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商业租金" sheetId="84" r:id="rId49"/>
    <sheet name="Sheet1" sheetId="83" r:id="rId50"/>
  </sheets>
  <externalReferences>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分摊土地!$I$2:$N$345</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7">'[3]数据-汇总表'!$C$17:$C$26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J23" i="68" l="1"/>
  <c r="J22" i="68"/>
  <c r="J21" i="68"/>
  <c r="J20" i="68"/>
  <c r="I22" i="68"/>
  <c r="K22" i="68" s="1"/>
  <c r="I21" i="68"/>
  <c r="K21" i="68" s="1"/>
  <c r="I20" i="68"/>
  <c r="K20" i="68" s="1"/>
  <c r="T33" i="1"/>
  <c r="K28" i="1"/>
  <c r="K27" i="1"/>
  <c r="S33" i="1"/>
  <c r="S29" i="1"/>
  <c r="S28" i="1"/>
  <c r="S30" i="1" s="1"/>
  <c r="S24" i="1"/>
  <c r="S25" i="1"/>
  <c r="S26" i="1"/>
  <c r="S27" i="1"/>
  <c r="S23" i="1"/>
  <c r="V23" i="1" s="1"/>
  <c r="M13" i="3"/>
  <c r="K13" i="3"/>
  <c r="I13" i="3"/>
  <c r="A3" i="3"/>
  <c r="J13" i="74"/>
  <c r="T28" i="1"/>
  <c r="U28" i="1" s="1"/>
  <c r="T27" i="1"/>
  <c r="C7" i="85"/>
  <c r="C6" i="85"/>
  <c r="C5" i="85"/>
  <c r="C4" i="85"/>
  <c r="E57" i="39"/>
  <c r="J49" i="15"/>
  <c r="U25" i="1"/>
  <c r="V25" i="1" s="1"/>
  <c r="U26" i="1"/>
  <c r="U27" i="1"/>
  <c r="U29" i="1"/>
  <c r="U24" i="1"/>
  <c r="V24" i="1" s="1"/>
  <c r="Y6" i="1"/>
  <c r="N6" i="1"/>
  <c r="K23" i="68" l="1"/>
  <c r="C6" i="68" s="1"/>
  <c r="W33" i="1"/>
  <c r="U33" i="1" s="1"/>
  <c r="V33" i="1" s="1"/>
  <c r="S34" i="1"/>
  <c r="V29" i="1"/>
  <c r="V28" i="1"/>
  <c r="V27" i="1"/>
  <c r="V26" i="1"/>
  <c r="V30" i="1" s="1"/>
  <c r="U30" i="1" s="1"/>
  <c r="M28" i="1"/>
  <c r="V34" i="1" l="1"/>
  <c r="U34" i="1" s="1"/>
  <c r="F21" i="82"/>
  <c r="D21" i="82"/>
  <c r="E426" i="80"/>
  <c r="E427" i="80" s="1"/>
  <c r="D426" i="80"/>
  <c r="D427" i="80" s="1"/>
  <c r="M344" i="80"/>
  <c r="F20" i="82" s="1"/>
  <c r="F22" i="82" s="1"/>
  <c r="L344" i="80"/>
  <c r="D20" i="82" s="1"/>
  <c r="M343" i="80"/>
  <c r="L343" i="80"/>
  <c r="J28" i="82"/>
  <c r="L342" i="80"/>
  <c r="L345" i="80" l="1"/>
  <c r="M345" i="80"/>
  <c r="F6" i="82"/>
  <c r="D6" i="82"/>
  <c r="G19" i="6" s="1"/>
  <c r="F5" i="82"/>
  <c r="D5" i="82"/>
  <c r="J12" i="82"/>
  <c r="F7" i="82" l="1"/>
  <c r="E425" i="80"/>
  <c r="D425" i="80"/>
  <c r="D424" i="80"/>
  <c r="E424" i="80"/>
  <c r="M342" i="80"/>
  <c r="E771" i="80" l="1"/>
  <c r="G766" i="80"/>
  <c r="F43" i="82" l="1"/>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F19" i="6" l="1"/>
  <c r="F35" i="82"/>
  <c r="F44" i="82"/>
  <c r="N30" i="82"/>
  <c r="B44" i="82"/>
  <c r="D7" i="82"/>
  <c r="M12" i="82" s="1"/>
  <c r="D22" i="82"/>
  <c r="M28" i="82" s="1"/>
  <c r="D29" i="82"/>
  <c r="D11" i="82"/>
  <c r="G14" i="73"/>
  <c r="F14" i="73"/>
  <c r="E14" i="73"/>
  <c r="M27" i="1" l="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M31" i="1" s="1"/>
  <c r="G15" i="73"/>
  <c r="F15" i="73"/>
  <c r="E15" i="73"/>
  <c r="G16" i="73"/>
  <c r="F16" i="73"/>
  <c r="E16" i="73"/>
  <c r="L25" i="1"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O37" i="71"/>
  <c r="N37" i="71"/>
  <c r="B38" i="71" s="1"/>
  <c r="D37" i="71"/>
  <c r="Q36" i="71"/>
  <c r="P36" i="71"/>
  <c r="AA35" i="71" s="1"/>
  <c r="O36" i="71"/>
  <c r="N36" i="71"/>
  <c r="Q35" i="71"/>
  <c r="AB35" i="71"/>
  <c r="P35" i="71"/>
  <c r="O35" i="71"/>
  <c r="N35" i="71"/>
  <c r="Q34" i="71"/>
  <c r="AB34" i="71" s="1"/>
  <c r="P34" i="71"/>
  <c r="O34" i="71"/>
  <c r="N34" i="71"/>
  <c r="Q33" i="71"/>
  <c r="F34"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E34" i="71"/>
  <c r="C34" i="71"/>
  <c r="D34" i="71" s="1"/>
  <c r="P28" i="71"/>
  <c r="E28" i="71" s="1"/>
  <c r="U68" i="71"/>
  <c r="E67" i="71"/>
  <c r="E66" i="71" s="1"/>
  <c r="Q28" i="71"/>
  <c r="F28" i="71" s="1"/>
  <c r="C63" i="71"/>
  <c r="C64" i="71" s="1"/>
  <c r="D62" i="71"/>
  <c r="T68" i="71"/>
  <c r="D68" i="71"/>
  <c r="C67" i="71"/>
  <c r="D67" i="71" s="1"/>
  <c r="D72" i="71"/>
  <c r="E79" i="71"/>
  <c r="E78" i="71"/>
  <c r="C87" i="71"/>
  <c r="C86" i="71" s="1"/>
  <c r="D86" i="71" s="1"/>
  <c r="F27" i="71"/>
  <c r="F26" i="71" s="1"/>
  <c r="D63" i="71"/>
  <c r="D87" i="71"/>
  <c r="D59"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25" i="40"/>
  <c r="W18" i="36"/>
  <c r="U21" i="37"/>
  <c r="U21" i="34"/>
  <c r="J21" i="37"/>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B59" i="35"/>
  <c r="F12" i="35" s="1"/>
  <c r="B131" i="34"/>
  <c r="H47" i="34" s="1"/>
  <c r="B129" i="34"/>
  <c r="B127" i="34"/>
  <c r="H45" i="34" s="1"/>
  <c r="U45" i="34" s="1"/>
  <c r="B99" i="34"/>
  <c r="B97" i="34"/>
  <c r="J31" i="34" s="1"/>
  <c r="AC31" i="34" s="1"/>
  <c r="B95" i="34"/>
  <c r="B93" i="34"/>
  <c r="J29" i="34" s="1"/>
  <c r="B75" i="34"/>
  <c r="B73" i="34"/>
  <c r="H13" i="34" s="1"/>
  <c r="U13" i="34" s="1"/>
  <c r="B71" i="34"/>
  <c r="J12" i="34" s="1"/>
  <c r="W12" i="34" s="1"/>
  <c r="B130" i="33"/>
  <c r="B128" i="33"/>
  <c r="B126" i="33"/>
  <c r="H44" i="33" s="1"/>
  <c r="AB44" i="33" s="1"/>
  <c r="B98" i="33"/>
  <c r="B96" i="33"/>
  <c r="H30" i="33" s="1"/>
  <c r="U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H30" i="21" s="1"/>
  <c r="AB30" i="21" s="1"/>
  <c r="B94" i="21"/>
  <c r="J29" i="21"/>
  <c r="AC29" i="21" s="1"/>
  <c r="B92" i="21"/>
  <c r="B90" i="21"/>
  <c r="J27" i="2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F45" i="39"/>
  <c r="S45" i="39" s="1"/>
  <c r="J45" i="39"/>
  <c r="W45" i="39" s="1"/>
  <c r="F36" i="39"/>
  <c r="S36" i="39" s="1"/>
  <c r="H36" i="39"/>
  <c r="AB36" i="39"/>
  <c r="F35" i="39"/>
  <c r="AA35" i="39" s="1"/>
  <c r="J36" i="39"/>
  <c r="AC36" i="39" s="1"/>
  <c r="U9" i="39"/>
  <c r="W25" i="37"/>
  <c r="U30" i="37"/>
  <c r="W31" i="37"/>
  <c r="F39" i="37"/>
  <c r="S39" i="37" s="1"/>
  <c r="F29" i="36"/>
  <c r="AA29" i="36" s="1"/>
  <c r="F16" i="36"/>
  <c r="AA16" i="36" s="1"/>
  <c r="W28" i="36"/>
  <c r="U31" i="36"/>
  <c r="J33" i="36"/>
  <c r="AC33" i="36" s="1"/>
  <c r="H22" i="35"/>
  <c r="AB22" i="35" s="1"/>
  <c r="W28" i="35"/>
  <c r="U31" i="35"/>
  <c r="W22" i="35"/>
  <c r="U34" i="35"/>
  <c r="F36" i="34"/>
  <c r="J35" i="34"/>
  <c r="W9" i="34"/>
  <c r="U34" i="34"/>
  <c r="H39" i="33"/>
  <c r="AB39" i="33" s="1"/>
  <c r="F26" i="33"/>
  <c r="AA26" i="33" s="1"/>
  <c r="U33" i="33"/>
  <c r="U35" i="33"/>
  <c r="W33" i="33"/>
  <c r="W39" i="33"/>
  <c r="H39" i="37"/>
  <c r="AB39" i="37" s="1"/>
  <c r="S27" i="35"/>
  <c r="F11" i="40"/>
  <c r="AA11" i="40" s="1"/>
  <c r="H11" i="40"/>
  <c r="AB11" i="40" s="1"/>
  <c r="W8" i="40"/>
  <c r="U9"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J23" i="40"/>
  <c r="AC23" i="40" s="1"/>
  <c r="F21" i="40"/>
  <c r="AA21" i="40" s="1"/>
  <c r="J21" i="40"/>
  <c r="W21" i="40" s="1"/>
  <c r="H42" i="39"/>
  <c r="AB42" i="39" s="1"/>
  <c r="J34" i="39"/>
  <c r="AC34" i="39" s="1"/>
  <c r="J31" i="39"/>
  <c r="H27" i="39"/>
  <c r="U27" i="39" s="1"/>
  <c r="J19" i="39"/>
  <c r="AC19" i="39" s="1"/>
  <c r="J27" i="39"/>
  <c r="AC27" i="39" s="1"/>
  <c r="F27" i="39"/>
  <c r="S27" i="39" s="1"/>
  <c r="F11" i="21"/>
  <c r="S11" i="21" s="1"/>
  <c r="S40" i="21"/>
  <c r="C25"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W32" i="40"/>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c r="J19" i="34"/>
  <c r="AC19" i="34" s="1"/>
  <c r="F17" i="34"/>
  <c r="AA17" i="34"/>
  <c r="J17" i="34"/>
  <c r="W17" i="34" s="1"/>
  <c r="S41" i="33"/>
  <c r="H37" i="33"/>
  <c r="AB37" i="33"/>
  <c r="H15" i="33"/>
  <c r="AB15" i="33" s="1"/>
  <c r="H11" i="33"/>
  <c r="AB11" i="33" s="1"/>
  <c r="F28" i="40"/>
  <c r="AA28" i="40"/>
  <c r="AA42" i="34"/>
  <c r="S42" i="34"/>
  <c r="AC38" i="34"/>
  <c r="J37" i="34"/>
  <c r="AC37" i="34" s="1"/>
  <c r="J11" i="33"/>
  <c r="W11" i="33" s="1"/>
  <c r="S28" i="34"/>
  <c r="J42" i="21"/>
  <c r="AC42" i="21"/>
  <c r="H42" i="21"/>
  <c r="U42" i="21" s="1"/>
  <c r="J44" i="34"/>
  <c r="F44" i="34"/>
  <c r="S44" i="34" s="1"/>
  <c r="AA44" i="34"/>
  <c r="J10" i="35"/>
  <c r="AC10" i="35" s="1"/>
  <c r="W14" i="21"/>
  <c r="F14" i="21"/>
  <c r="S14" i="21" s="1"/>
  <c r="H14" i="21"/>
  <c r="U14" i="21" s="1"/>
  <c r="H28" i="21"/>
  <c r="AB28" i="21" s="1"/>
  <c r="F28" i="21"/>
  <c r="AA28" i="21" s="1"/>
  <c r="J28" i="21"/>
  <c r="W28" i="21" s="1"/>
  <c r="U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W11" i="35" s="1"/>
  <c r="F11" i="35"/>
  <c r="S11" i="35" s="1"/>
  <c r="J26" i="36"/>
  <c r="AC26" i="36" s="1"/>
  <c r="W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AB37" i="37" s="1"/>
  <c r="H40" i="37"/>
  <c r="U40" i="37" s="1"/>
  <c r="J40" i="37"/>
  <c r="AC40" i="37"/>
  <c r="F40" i="37"/>
  <c r="AA40" i="37" s="1"/>
  <c r="AC12" i="40"/>
  <c r="H14" i="33"/>
  <c r="U14" i="33" s="1"/>
  <c r="F14" i="33"/>
  <c r="S14" i="33" s="1"/>
  <c r="J14" i="33"/>
  <c r="AB30" i="33"/>
  <c r="F30" i="33"/>
  <c r="J30" i="33"/>
  <c r="J44" i="33"/>
  <c r="AC44" i="33" s="1"/>
  <c r="F44" i="33"/>
  <c r="S44" i="33" s="1"/>
  <c r="J46" i="33"/>
  <c r="AC46" i="33" s="1"/>
  <c r="F46" i="33"/>
  <c r="AA46" i="33" s="1"/>
  <c r="H46" i="33"/>
  <c r="AB46" i="33"/>
  <c r="J13" i="34"/>
  <c r="W13" i="34" s="1"/>
  <c r="F13" i="34"/>
  <c r="AA13" i="34" s="1"/>
  <c r="F29" i="34"/>
  <c r="S29" i="34"/>
  <c r="H29" i="34"/>
  <c r="AB29" i="34" s="1"/>
  <c r="H31" i="34"/>
  <c r="F31" i="34"/>
  <c r="S31" i="34"/>
  <c r="J45" i="34"/>
  <c r="W45" i="34" s="1"/>
  <c r="F45" i="34"/>
  <c r="S45" i="34" s="1"/>
  <c r="U47" i="34"/>
  <c r="F47" i="34"/>
  <c r="S47" i="34" s="1"/>
  <c r="J47" i="34"/>
  <c r="AC47" i="34" s="1"/>
  <c r="J13" i="35"/>
  <c r="W13" i="35" s="1"/>
  <c r="AC13" i="35"/>
  <c r="H13" i="35"/>
  <c r="U13" i="35" s="1"/>
  <c r="J25" i="35"/>
  <c r="W25" i="35"/>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AA14" i="39" s="1"/>
  <c r="H14" i="39"/>
  <c r="AB14" i="39"/>
  <c r="F12" i="40"/>
  <c r="AA12" i="40" s="1"/>
  <c r="H12" i="40"/>
  <c r="AB12" i="40"/>
  <c r="H30" i="40"/>
  <c r="U30" i="40" s="1"/>
  <c r="F33" i="40"/>
  <c r="AA33" i="40"/>
  <c r="H33" i="40"/>
  <c r="U33" i="40" s="1"/>
  <c r="J35" i="40"/>
  <c r="AC35" i="40" s="1"/>
  <c r="J37" i="40"/>
  <c r="W37" i="40" s="1"/>
  <c r="H13" i="40"/>
  <c r="U13" i="40" s="1"/>
  <c r="J13" i="40"/>
  <c r="W13" i="40" s="1"/>
  <c r="F13" i="40"/>
  <c r="AA13" i="40" s="1"/>
  <c r="F14" i="37"/>
  <c r="AA14" i="37" s="1"/>
  <c r="F27" i="37"/>
  <c r="AA27" i="37" s="1"/>
  <c r="F13" i="39"/>
  <c r="AA13" i="39" s="1"/>
  <c r="J13" i="39"/>
  <c r="W13" i="39" s="1"/>
  <c r="H13" i="39"/>
  <c r="AB13" i="39" s="1"/>
  <c r="H14" i="40"/>
  <c r="AB14" i="40"/>
  <c r="J14" i="40"/>
  <c r="W14" i="40" s="1"/>
  <c r="F14" i="40"/>
  <c r="AA14" i="40" s="1"/>
  <c r="J14" i="37"/>
  <c r="J27" i="37"/>
  <c r="AC27" i="37" s="1"/>
  <c r="AA44" i="33"/>
  <c r="U46" i="33"/>
  <c r="J36" i="37"/>
  <c r="AC36" i="37" s="1"/>
  <c r="J10" i="36"/>
  <c r="AC10" i="36" s="1"/>
  <c r="AB26" i="33"/>
  <c r="W31" i="34"/>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s="1"/>
  <c r="BA526" i="3"/>
  <c r="AZ526" i="3" s="1"/>
  <c r="BA524" i="3"/>
  <c r="BA522" i="3"/>
  <c r="BA520" i="3"/>
  <c r="AZ520" i="3" s="1"/>
  <c r="BA518" i="3"/>
  <c r="BA516" i="3"/>
  <c r="BA514" i="3"/>
  <c r="BA512" i="3"/>
  <c r="AZ512" i="3" s="1"/>
  <c r="BA510" i="3"/>
  <c r="AZ510" i="3" s="1"/>
  <c r="BA508" i="3"/>
  <c r="BA506" i="3"/>
  <c r="BA504" i="3"/>
  <c r="AZ504" i="3" s="1"/>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s="1"/>
  <c r="AZ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AZ530"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AZ315" i="3" s="1"/>
  <c r="G316" i="3"/>
  <c r="BA318" i="3"/>
  <c r="AZ318" i="3" s="1"/>
  <c r="BL319" i="3"/>
  <c r="AZ319" i="3" s="1"/>
  <c r="G320" i="3"/>
  <c r="BA322" i="3"/>
  <c r="BL323" i="3"/>
  <c r="G324" i="3"/>
  <c r="BA326" i="3"/>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BA379" i="3"/>
  <c r="BL380" i="3"/>
  <c r="G381" i="3"/>
  <c r="BA383" i="3"/>
  <c r="BL384" i="3"/>
  <c r="G385" i="3"/>
  <c r="BA387" i="3"/>
  <c r="AZ387" i="3" s="1"/>
  <c r="BL388" i="3"/>
  <c r="G389" i="3"/>
  <c r="BA391" i="3"/>
  <c r="BL392" i="3"/>
  <c r="G393" i="3"/>
  <c r="BM5" i="3"/>
  <c r="BJ5" i="3"/>
  <c r="BH5" i="3"/>
  <c r="BF5" i="3"/>
  <c r="BD5" i="3"/>
  <c r="AZ325" i="3"/>
  <c r="AZ506" i="3"/>
  <c r="AZ496" i="3"/>
  <c r="G548" i="3"/>
  <c r="G538" i="3"/>
  <c r="G520" i="3"/>
  <c r="G502" i="3"/>
  <c r="BS5" i="3"/>
  <c r="BP5" i="3"/>
  <c r="BN5" i="3"/>
  <c r="BK5" i="3"/>
  <c r="BI5" i="3"/>
  <c r="BG5" i="3"/>
  <c r="BE5" i="3"/>
  <c r="BC5" i="3"/>
  <c r="G17" i="3"/>
  <c r="BA17" i="3"/>
  <c r="BT5" i="3"/>
  <c r="BA15" i="3"/>
  <c r="BR5" i="3"/>
  <c r="G509" i="3"/>
  <c r="BL493" i="3"/>
  <c r="U36" i="40"/>
  <c r="F83" i="43"/>
  <c r="H85" i="43" s="1"/>
  <c r="F50" i="43"/>
  <c r="H54" i="43" s="1"/>
  <c r="F72" i="43"/>
  <c r="H75" i="43" s="1"/>
  <c r="S14" i="35"/>
  <c r="U43" i="21"/>
  <c r="U35" i="21"/>
  <c r="AC35" i="21"/>
  <c r="G8" i="1"/>
  <c r="G10" i="1"/>
  <c r="W37" i="37"/>
  <c r="W44" i="34"/>
  <c r="AC44" i="34"/>
  <c r="S15" i="37"/>
  <c r="U13" i="37"/>
  <c r="U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B33" i="36"/>
  <c r="U33" i="36"/>
  <c r="AC12" i="39"/>
  <c r="W12" i="39"/>
  <c r="AC39" i="40"/>
  <c r="W39" i="40"/>
  <c r="AA32" i="36"/>
  <c r="S32" i="36"/>
  <c r="BL14" i="3"/>
  <c r="AC13" i="34"/>
  <c r="AA47"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S23" i="36"/>
  <c r="U13" i="36"/>
  <c r="U26" i="36"/>
  <c r="S33" i="36"/>
  <c r="AA26" i="36"/>
  <c r="AA34" i="36"/>
  <c r="W14" i="36"/>
  <c r="AB14" i="36"/>
  <c r="U22" i="36"/>
  <c r="S16" i="36"/>
  <c r="AA25" i="36"/>
  <c r="S24" i="36"/>
  <c r="U24" i="36"/>
  <c r="U23" i="36"/>
  <c r="AB20" i="36"/>
  <c r="U16" i="36"/>
  <c r="S14" i="36"/>
  <c r="W24" i="35"/>
  <c r="AB13"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F85" i="21" s="1"/>
  <c r="G85" i="21" s="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S31" i="40"/>
  <c r="AB13" i="40"/>
  <c r="U15" i="40"/>
  <c r="AB17" i="40"/>
  <c r="U8" i="40"/>
  <c r="S8" i="40"/>
  <c r="U42" i="39"/>
  <c r="U13" i="39"/>
  <c r="S14" i="39"/>
  <c r="U43" i="39"/>
  <c r="AB43" i="39"/>
  <c r="AA27" i="39"/>
  <c r="W31" i="39"/>
  <c r="AC31" i="39"/>
  <c r="AA45" i="39"/>
  <c r="AB39" i="39"/>
  <c r="S8" i="39"/>
  <c r="AC25" i="36"/>
  <c r="U32" i="36"/>
  <c r="W29" i="36"/>
  <c r="U25" i="36"/>
  <c r="AB28" i="36"/>
  <c r="AA13" i="36"/>
  <c r="W9" i="36"/>
  <c r="W22"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AC32"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W17" i="21" s="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J25" i="33"/>
  <c r="W25" i="33" s="1"/>
  <c r="F23" i="33"/>
  <c r="AA19" i="33"/>
  <c r="H19" i="33"/>
  <c r="AB19" i="33" s="1"/>
  <c r="G81" i="33"/>
  <c r="H17" i="33"/>
  <c r="U17" i="33" s="1"/>
  <c r="F17" i="33"/>
  <c r="S17" i="33" s="1"/>
  <c r="AC17" i="33"/>
  <c r="AA23" i="21"/>
  <c r="J23" i="21"/>
  <c r="W23" i="21" s="1"/>
  <c r="H23" i="21"/>
  <c r="U23" i="21" s="1"/>
  <c r="D6" i="52"/>
  <c r="AP7" i="1"/>
  <c r="AB9" i="21"/>
  <c r="U9" i="21"/>
  <c r="W9" i="21"/>
  <c r="W23" i="37"/>
  <c r="AC23" i="37"/>
  <c r="J11" i="37"/>
  <c r="AC11" i="37" s="1"/>
  <c r="J11" i="34"/>
  <c r="W11" i="34" s="1"/>
  <c r="W27" i="33"/>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F16" i="67"/>
  <c r="M6" i="15"/>
  <c r="F6" i="73"/>
  <c r="F7" i="67"/>
  <c r="M23" i="15"/>
  <c r="L48" i="15"/>
  <c r="E10" i="76"/>
  <c r="L48" i="67"/>
  <c r="F36" i="15"/>
  <c r="F38" i="15"/>
  <c r="F42" i="15"/>
  <c r="L47" i="67"/>
  <c r="M28" i="15"/>
  <c r="M22" i="15"/>
  <c r="E8" i="76"/>
  <c r="B12" i="76"/>
  <c r="B7" i="76"/>
  <c r="F13" i="15"/>
  <c r="F9" i="67"/>
  <c r="F26" i="15"/>
  <c r="F38" i="67"/>
  <c r="F43" i="67"/>
  <c r="AO13" i="1"/>
  <c r="F7" i="73"/>
  <c r="M29" i="67"/>
  <c r="C76" i="15"/>
  <c r="M26" i="15"/>
  <c r="M8" i="67"/>
  <c r="F6" i="15"/>
  <c r="M24" i="15"/>
  <c r="M29" i="15"/>
  <c r="E2" i="69"/>
  <c r="L47" i="15"/>
  <c r="F26" i="67"/>
  <c r="F37" i="15"/>
  <c r="F16" i="15"/>
  <c r="B10" i="76"/>
  <c r="F3" i="73"/>
  <c r="F5" i="73"/>
  <c r="B13" i="76"/>
  <c r="B11" i="76"/>
  <c r="M6" i="67"/>
  <c r="J15" i="15"/>
  <c r="M24" i="67"/>
  <c r="E11" i="76"/>
  <c r="M23" i="67"/>
  <c r="E13" i="76"/>
  <c r="M26" i="67"/>
  <c r="F42" i="67"/>
  <c r="B8" i="76"/>
  <c r="E2" i="68"/>
  <c r="E9" i="76"/>
  <c r="E12" i="76"/>
  <c r="D6" i="73"/>
  <c r="M9" i="15"/>
  <c r="F43" i="15"/>
  <c r="E7" i="76"/>
  <c r="F9" i="15"/>
  <c r="B9" i="76"/>
  <c r="M8" i="15"/>
  <c r="F20" i="31"/>
  <c r="F8" i="15"/>
  <c r="F4" i="73"/>
  <c r="F7" i="15"/>
  <c r="G22" i="69" l="1"/>
  <c r="G22" i="11"/>
  <c r="E1" i="73"/>
  <c r="G26" i="12"/>
  <c r="BA13" i="3"/>
  <c r="F23" i="39"/>
  <c r="H23" i="39"/>
  <c r="U23" i="39" s="1"/>
  <c r="F17" i="39"/>
  <c r="J17" i="39"/>
  <c r="H17" i="39"/>
  <c r="J11" i="39"/>
  <c r="W11" i="39" s="1"/>
  <c r="H11" i="39"/>
  <c r="W8" i="39"/>
  <c r="AB8" i="39"/>
  <c r="S42" i="39"/>
  <c r="U40" i="39"/>
  <c r="AC41" i="39"/>
  <c r="U38" i="39"/>
  <c r="S31" i="39"/>
  <c r="W27" i="39"/>
  <c r="AC25" i="39"/>
  <c r="U25" i="39"/>
  <c r="W23" i="39"/>
  <c r="U21" i="39"/>
  <c r="W34" i="39"/>
  <c r="S34" i="39"/>
  <c r="AB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AB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AZ469" i="3"/>
  <c r="BA145" i="3"/>
  <c r="G152" i="3"/>
  <c r="BA153" i="3"/>
  <c r="G156" i="3"/>
  <c r="BA157" i="3"/>
  <c r="G160" i="3"/>
  <c r="BA162" i="3"/>
  <c r="W18" i="35"/>
  <c r="AC18" i="35"/>
  <c r="AB29" i="39"/>
  <c r="U29" i="39"/>
  <c r="Y29" i="71"/>
  <c r="Z29" i="71" s="1"/>
  <c r="C30" i="71"/>
  <c r="D30" i="71" s="1"/>
  <c r="C31" i="7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AZ245" i="3" s="1"/>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AZ443" i="3" s="1"/>
  <c r="G452" i="3"/>
  <c r="BA456" i="3"/>
  <c r="BL456" i="3"/>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AZ82" i="3" s="1"/>
  <c r="BL99" i="3"/>
  <c r="BA102" i="3"/>
  <c r="BA111" i="3"/>
  <c r="B57" i="43"/>
  <c r="E71" i="71"/>
  <c r="E70" i="71" s="1"/>
  <c r="AA34" i="71"/>
  <c r="C43" i="7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03"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AZ405" i="3" s="1"/>
  <c r="BL410" i="3"/>
  <c r="G412" i="3"/>
  <c r="G418" i="3"/>
  <c r="AZ444" i="3"/>
  <c r="AZ464"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BL460" i="3"/>
  <c r="BL461" i="3"/>
  <c r="BL463" i="3"/>
  <c r="G465" i="3"/>
  <c r="BA471" i="3"/>
  <c r="G488" i="3"/>
  <c r="G384" i="3"/>
  <c r="G213" i="3"/>
  <c r="G226" i="3"/>
  <c r="BA260" i="3"/>
  <c r="BA270" i="3"/>
  <c r="BA275" i="3"/>
  <c r="AZ275" i="3" s="1"/>
  <c r="BL289" i="3"/>
  <c r="BA367" i="3"/>
  <c r="BA370" i="3"/>
  <c r="AZ370" i="3" s="1"/>
  <c r="BA386" i="3"/>
  <c r="AZ386" i="3" s="1"/>
  <c r="BA216" i="3"/>
  <c r="AZ216" i="3" s="1"/>
  <c r="BA218" i="3"/>
  <c r="AZ218" i="3" s="1"/>
  <c r="BL218" i="3"/>
  <c r="BL220" i="3"/>
  <c r="BL221" i="3"/>
  <c r="BL223" i="3"/>
  <c r="BA227" i="3"/>
  <c r="AZ227" i="3" s="1"/>
  <c r="BA229" i="3"/>
  <c r="AZ229" i="3" s="1"/>
  <c r="BL229" i="3"/>
  <c r="BL231" i="3"/>
  <c r="BL233" i="3"/>
  <c r="AZ233" i="3" s="1"/>
  <c r="BL235" i="3"/>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BL256" i="3"/>
  <c r="BA258" i="3"/>
  <c r="BL264" i="3"/>
  <c r="BL266" i="3"/>
  <c r="BA268" i="3"/>
  <c r="BL273" i="3"/>
  <c r="AZ273" i="3" s="1"/>
  <c r="G274" i="3"/>
  <c r="BA277" i="3"/>
  <c r="BL277" i="3"/>
  <c r="BA282" i="3"/>
  <c r="BL282" i="3"/>
  <c r="BA284" i="3"/>
  <c r="AZ284" i="3" s="1"/>
  <c r="BL290" i="3"/>
  <c r="BL291" i="3"/>
  <c r="BL293" i="3"/>
  <c r="BL294" i="3"/>
  <c r="AZ294" i="3" s="1"/>
  <c r="BA297" i="3"/>
  <c r="AZ297" i="3" s="1"/>
  <c r="BL297" i="3"/>
  <c r="BL300" i="3"/>
  <c r="BA302" i="3"/>
  <c r="AZ302" i="3" s="1"/>
  <c r="BL123" i="3"/>
  <c r="AZ123" i="3" s="1"/>
  <c r="BL125" i="3"/>
  <c r="BL126" i="3"/>
  <c r="AZ126" i="3" s="1"/>
  <c r="BL175" i="3"/>
  <c r="AZ175" i="3" s="1"/>
  <c r="AZ177" i="3"/>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D31" i="71"/>
  <c r="C32" i="71"/>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L54" i="3"/>
  <c r="BL55" i="3"/>
  <c r="AZ55" i="3" s="1"/>
  <c r="G57" i="3"/>
  <c r="G58" i="3"/>
  <c r="BA59" i="3"/>
  <c r="AZ59" i="3" s="1"/>
  <c r="G61" i="3"/>
  <c r="BL61" i="3"/>
  <c r="G64" i="3"/>
  <c r="BA64" i="3"/>
  <c r="BA68" i="3"/>
  <c r="BL70" i="3"/>
  <c r="AZ70" i="3" s="1"/>
  <c r="BL71" i="3"/>
  <c r="BA61" i="3"/>
  <c r="BL69" i="3"/>
  <c r="AZ69" i="3" s="1"/>
  <c r="BA72" i="3"/>
  <c r="AZ72" i="3" s="1"/>
  <c r="BA73" i="3"/>
  <c r="BA80" i="3"/>
  <c r="BL84" i="3"/>
  <c r="BA90" i="3"/>
  <c r="BL94" i="3"/>
  <c r="AZ94" i="3" s="1"/>
  <c r="BA105" i="3"/>
  <c r="C44" i="71"/>
  <c r="D43"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AZ71" i="3" s="1"/>
  <c r="G76" i="3"/>
  <c r="BL77" i="3"/>
  <c r="AZ77" i="3" s="1"/>
  <c r="BA79" i="3"/>
  <c r="AZ79" i="3" s="1"/>
  <c r="G82" i="3"/>
  <c r="G83" i="3"/>
  <c r="BA84" i="3"/>
  <c r="BL88" i="3"/>
  <c r="AZ88" i="3" s="1"/>
  <c r="G90" i="3"/>
  <c r="BL90" i="3"/>
  <c r="AZ90" i="3" s="1"/>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BA83" i="3"/>
  <c r="AZ83" i="3" s="1"/>
  <c r="G91" i="3"/>
  <c r="BL95" i="3"/>
  <c r="AZ95" i="3" s="1"/>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15"/>
  <c r="C36" i="68"/>
  <c r="D9" i="69"/>
  <c r="C36" i="69"/>
  <c r="D9" i="68"/>
  <c r="D4" i="73"/>
  <c r="F40" i="67"/>
  <c r="F37" i="67"/>
  <c r="F36" i="67"/>
  <c r="C16" i="15"/>
  <c r="D5" i="73"/>
  <c r="F8" i="67"/>
  <c r="M22" i="67"/>
  <c r="C76" i="67"/>
  <c r="C16" i="67"/>
  <c r="F6" i="67"/>
  <c r="D7" i="73"/>
  <c r="F13" i="67"/>
  <c r="M28" i="67"/>
  <c r="D3" i="73"/>
  <c r="M9" i="67"/>
  <c r="J15" i="67"/>
  <c r="H26" i="43" l="1"/>
  <c r="Q16" i="1"/>
  <c r="G16" i="1"/>
  <c r="F10" i="39" s="1"/>
  <c r="H16" i="1"/>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D26" i="43" s="1"/>
  <c r="C25" i="43" s="1"/>
  <c r="J26" i="43"/>
  <c r="G26" i="43"/>
  <c r="N370" i="46"/>
  <c r="F68" i="67"/>
  <c r="Q71" i="67"/>
  <c r="F64" i="67"/>
  <c r="C6" i="67"/>
  <c r="C32" i="67" s="1"/>
  <c r="F31" i="67"/>
  <c r="F51" i="67"/>
  <c r="F59" i="67" s="1"/>
  <c r="F65" i="67"/>
  <c r="J7" i="37"/>
  <c r="AC7" i="37" s="1"/>
  <c r="G5" i="3"/>
  <c r="B3" i="3" s="1"/>
  <c r="E424" i="3" s="1"/>
  <c r="T28" i="71"/>
  <c r="D28" i="71"/>
  <c r="U28" i="71" s="1"/>
  <c r="C27" i="71"/>
  <c r="D79" i="71"/>
  <c r="C78" i="71"/>
  <c r="D78" i="71" s="1"/>
  <c r="C56" i="71"/>
  <c r="D55" i="71"/>
  <c r="AZ235" i="3"/>
  <c r="AZ459" i="3"/>
  <c r="AZ37" i="3"/>
  <c r="AZ5" i="3" s="1"/>
  <c r="AZ300" i="3"/>
  <c r="AZ129" i="3"/>
  <c r="AZ57" i="3"/>
  <c r="D83" i="71"/>
  <c r="C82" i="71"/>
  <c r="D82" i="71" s="1"/>
  <c r="O65" i="71"/>
  <c r="D66" i="71"/>
  <c r="O66" i="71"/>
  <c r="C36" i="71"/>
  <c r="D35" i="71"/>
  <c r="AZ130" i="3"/>
  <c r="T52" i="71"/>
  <c r="D52" i="71"/>
  <c r="N65" i="71"/>
  <c r="N66" i="71"/>
  <c r="T32" i="71"/>
  <c r="D32"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A7" i="36"/>
  <c r="R36" i="36" s="1"/>
  <c r="W7" i="37"/>
  <c r="F7" i="33"/>
  <c r="E58" i="21"/>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G1" i="73"/>
  <c r="E119" i="3" l="1"/>
  <c r="E268" i="3"/>
  <c r="E228" i="3"/>
  <c r="E384" i="3"/>
  <c r="E253" i="3"/>
  <c r="E121" i="3"/>
  <c r="E153" i="3"/>
  <c r="E315" i="3"/>
  <c r="E433" i="3"/>
  <c r="E229" i="3"/>
  <c r="E131" i="3"/>
  <c r="E215" i="3"/>
  <c r="E561" i="3"/>
  <c r="E302" i="3"/>
  <c r="X6" i="3"/>
  <c r="E377" i="3"/>
  <c r="E347" i="3"/>
  <c r="E27" i="3"/>
  <c r="E578" i="3"/>
  <c r="E443" i="3"/>
  <c r="E196" i="3"/>
  <c r="E378" i="3"/>
  <c r="E563" i="3"/>
  <c r="E89" i="3"/>
  <c r="E216" i="3"/>
  <c r="E318" i="3"/>
  <c r="V6" i="3"/>
  <c r="E212" i="3"/>
  <c r="E371" i="3"/>
  <c r="E287" i="3"/>
  <c r="E78" i="3"/>
  <c r="E498" i="3"/>
  <c r="E299" i="3"/>
  <c r="E524" i="3"/>
  <c r="E250" i="3"/>
  <c r="E284" i="3"/>
  <c r="E341" i="3"/>
  <c r="E179" i="3"/>
  <c r="E154" i="3"/>
  <c r="E98" i="3"/>
  <c r="E461" i="3"/>
  <c r="E313" i="3"/>
  <c r="E288" i="3"/>
  <c r="E54" i="3"/>
  <c r="E93" i="3"/>
  <c r="E379"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442" i="3"/>
  <c r="E264" i="3"/>
  <c r="E86" i="3"/>
  <c r="E326" i="3"/>
  <c r="E43" i="3"/>
  <c r="E218" i="3"/>
  <c r="E421" i="3"/>
  <c r="E436" i="3"/>
  <c r="Y6" i="3"/>
  <c r="E167" i="3"/>
  <c r="E82" i="3"/>
  <c r="E157" i="3"/>
  <c r="W6" i="3"/>
  <c r="E257" i="3"/>
  <c r="E145"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62" i="3"/>
  <c r="E204" i="3"/>
  <c r="E345" i="3"/>
  <c r="E70" i="3"/>
  <c r="E572" i="3"/>
  <c r="AJ6" i="3"/>
  <c r="E201" i="3"/>
  <c r="AB6" i="3"/>
  <c r="E189" i="3"/>
  <c r="E172" i="3"/>
  <c r="E135" i="3"/>
  <c r="AI6" i="3"/>
  <c r="E100" i="3"/>
  <c r="E132" i="3"/>
  <c r="E483" i="3"/>
  <c r="E240" i="3"/>
  <c r="E142" i="3"/>
  <c r="E491" i="3"/>
  <c r="E456" i="3"/>
  <c r="E223" i="3"/>
  <c r="E137" i="3"/>
  <c r="E398" i="3"/>
  <c r="E520" i="3"/>
  <c r="E266" i="3"/>
  <c r="E459" i="3"/>
  <c r="E413" i="3"/>
  <c r="E122" i="3"/>
  <c r="E532" i="3"/>
  <c r="E471" i="3"/>
  <c r="E357" i="3"/>
  <c r="U6" i="3"/>
  <c r="E403" i="3"/>
  <c r="E272" i="3"/>
  <c r="E319" i="3"/>
  <c r="O6" i="3"/>
  <c r="E390" i="3"/>
  <c r="E321" i="3"/>
  <c r="E565" i="3"/>
  <c r="E254" i="3"/>
  <c r="E280" i="3"/>
  <c r="E128" i="3"/>
  <c r="Q6" i="3"/>
  <c r="E429" i="3"/>
  <c r="E256" i="3"/>
  <c r="I6"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133" i="3"/>
  <c r="E587" i="3"/>
  <c r="E146" i="3"/>
  <c r="E74" i="3"/>
  <c r="Z6" i="3"/>
  <c r="E557" i="3"/>
  <c r="E182" i="3"/>
  <c r="E217" i="3"/>
  <c r="E509" i="3"/>
  <c r="E311" i="3"/>
  <c r="E387" i="3"/>
  <c r="E69" i="3"/>
  <c r="E445" i="3"/>
  <c r="E191" i="3"/>
  <c r="E385" i="3"/>
  <c r="E200" i="3"/>
  <c r="E296" i="3"/>
  <c r="E487" i="3"/>
  <c r="E118" i="3"/>
  <c r="E198" i="3"/>
  <c r="E225" i="3"/>
  <c r="E346" i="3"/>
  <c r="E147" i="3"/>
  <c r="E65" i="3"/>
  <c r="E582" i="3"/>
  <c r="E259" i="3"/>
  <c r="E195" i="3"/>
  <c r="E307" i="3"/>
  <c r="E306" i="3"/>
  <c r="E64" i="3"/>
  <c r="E360" i="3"/>
  <c r="E440" i="3"/>
  <c r="E123" i="3"/>
  <c r="E90" i="3"/>
  <c r="E209" i="3"/>
  <c r="E39" i="3"/>
  <c r="E488" i="3"/>
  <c r="E504" i="3"/>
  <c r="E352" i="3"/>
  <c r="E529" i="3"/>
  <c r="E475" i="3"/>
  <c r="E39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511" i="3"/>
  <c r="E458" i="3"/>
  <c r="E450" i="3"/>
  <c r="E279" i="3"/>
  <c r="E269" i="3"/>
  <c r="E478" i="3"/>
  <c r="E476" i="3"/>
  <c r="E331" i="3"/>
  <c r="E530" i="3"/>
  <c r="E555" i="3"/>
  <c r="AR6" i="3"/>
  <c r="E231" i="3"/>
  <c r="E183" i="3"/>
  <c r="E301" i="3"/>
  <c r="E399" i="3"/>
  <c r="E545" i="3"/>
  <c r="E560" i="3"/>
  <c r="E577" i="3"/>
  <c r="E171" i="3"/>
  <c r="E368" i="3"/>
  <c r="AO6" i="3"/>
  <c r="E531" i="3"/>
  <c r="E273" i="3"/>
  <c r="E526" i="3"/>
  <c r="E579" i="3"/>
  <c r="E570" i="3"/>
  <c r="E335" i="3"/>
  <c r="E278" i="3"/>
  <c r="E535" i="3"/>
  <c r="E263" i="3"/>
  <c r="E246" i="3"/>
  <c r="E148" i="3"/>
  <c r="E275" i="3"/>
  <c r="E219" i="3"/>
  <c r="E94" i="3"/>
  <c r="E369" i="3"/>
  <c r="E139" i="3"/>
  <c r="E423" i="3"/>
  <c r="M6" i="3"/>
  <c r="E28" i="3"/>
  <c r="E468" i="3"/>
  <c r="E350" i="3"/>
  <c r="E337" i="3"/>
  <c r="E414" i="3"/>
  <c r="E527" i="3"/>
  <c r="E117" i="3"/>
  <c r="E282" i="3"/>
  <c r="E164" i="3"/>
  <c r="E177" i="3"/>
  <c r="E169" i="3"/>
  <c r="AM6" i="3"/>
  <c r="E208" i="3"/>
  <c r="E248" i="3"/>
  <c r="E242" i="3"/>
  <c r="E161" i="3"/>
  <c r="E247" i="3"/>
  <c r="E485" i="3"/>
  <c r="E472" i="3"/>
  <c r="E503" i="3"/>
  <c r="E343" i="3"/>
  <c r="E271" i="3"/>
  <c r="E45" i="3"/>
  <c r="E130" i="3"/>
  <c r="E30" i="3"/>
  <c r="E580" i="3"/>
  <c r="E156" i="3"/>
  <c r="E506" i="3"/>
  <c r="E92" i="3"/>
  <c r="E438" i="3"/>
  <c r="E55" i="3"/>
  <c r="E402" i="3"/>
  <c r="E285" i="3"/>
  <c r="E432" i="3"/>
  <c r="AY6" i="3"/>
  <c r="F27" i="69"/>
  <c r="Q19" i="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E3" i="6"/>
  <c r="D37" i="11" s="1"/>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144" i="3"/>
  <c r="AY155" i="3"/>
  <c r="AY152" i="3"/>
  <c r="AY131" i="3"/>
  <c r="AY253" i="3"/>
  <c r="AY268" i="3"/>
  <c r="AY303" i="3"/>
  <c r="AY103" i="3"/>
  <c r="AY74" i="3"/>
  <c r="AY183" i="3"/>
  <c r="AY363" i="3"/>
  <c r="AY319" i="3"/>
  <c r="AY409" i="3"/>
  <c r="AY529" i="3"/>
  <c r="AY228" i="3"/>
  <c r="AY217" i="3"/>
  <c r="AY465" i="3"/>
  <c r="AY463" i="3"/>
  <c r="BK6" i="3"/>
  <c r="AY544" i="3"/>
  <c r="AY108" i="3"/>
  <c r="AY92" i="3"/>
  <c r="AY28" i="3"/>
  <c r="AY33" i="3"/>
  <c r="AY138" i="3"/>
  <c r="AY165" i="3"/>
  <c r="AY294" i="3"/>
  <c r="AY278" i="3"/>
  <c r="AY214" i="3"/>
  <c r="AY219" i="3"/>
  <c r="AY554" i="3"/>
  <c r="BH6" i="3"/>
  <c r="AY24" i="3"/>
  <c r="AY202" i="3"/>
  <c r="AY290" i="3"/>
  <c r="AY259" i="3"/>
  <c r="AY349" i="3"/>
  <c r="AY333" i="3"/>
  <c r="AY488" i="3"/>
  <c r="AY472" i="3"/>
  <c r="AY427" i="3"/>
  <c r="AY411" i="3"/>
  <c r="BF6" i="3"/>
  <c r="AY571" i="3"/>
  <c r="AY98" i="3"/>
  <c r="AY18" i="3"/>
  <c r="AY334" i="3"/>
  <c r="AY486" i="3"/>
  <c r="AY390" i="3"/>
  <c r="AY355" i="3"/>
  <c r="AY574" i="3"/>
  <c r="BO6" i="3"/>
  <c r="AY25" i="3"/>
  <c r="AY182" i="3"/>
  <c r="AY271" i="3"/>
  <c r="AY239" i="3"/>
  <c r="BI6" i="3"/>
  <c r="AY93" i="3"/>
  <c r="AY243" i="3"/>
  <c r="AY226" i="3"/>
  <c r="AY464" i="3"/>
  <c r="AY454" i="3"/>
  <c r="AY527" i="3"/>
  <c r="AY518" i="3"/>
  <c r="AY523" i="3"/>
  <c r="AY112" i="3"/>
  <c r="AY292" i="3"/>
  <c r="AY147" i="3"/>
  <c r="AY43" i="3"/>
  <c r="AY116" i="3"/>
  <c r="AY436" i="3"/>
  <c r="AY417" i="3"/>
  <c r="AY69" i="3"/>
  <c r="AY84" i="3"/>
  <c r="AY141" i="3"/>
  <c r="AY134" i="3"/>
  <c r="AY384" i="3"/>
  <c r="AY373" i="3"/>
  <c r="AY181" i="3"/>
  <c r="AY161" i="3"/>
  <c r="AY309" i="3"/>
  <c r="AY324" i="3"/>
  <c r="AY503" i="3"/>
  <c r="AY580" i="3"/>
  <c r="AY584" i="3"/>
  <c r="AY494" i="3"/>
  <c r="AY101" i="3"/>
  <c r="AY96" i="3"/>
  <c r="AY37" i="3"/>
  <c r="AY189" i="3"/>
  <c r="AY129" i="3"/>
  <c r="AY287" i="3"/>
  <c r="AY234" i="3"/>
  <c r="AY223" i="3"/>
  <c r="AY345" i="3"/>
  <c r="AY313" i="3"/>
  <c r="AY487" i="3"/>
  <c r="AY471" i="3"/>
  <c r="AY458" i="3"/>
  <c r="AY442" i="3"/>
  <c r="AY423" i="3"/>
  <c r="AY579" i="3"/>
  <c r="D3" i="6"/>
  <c r="AY524" i="3"/>
  <c r="AY542" i="3"/>
  <c r="BR6" i="3"/>
  <c r="BA6" i="3"/>
  <c r="AY94" i="3"/>
  <c r="AY35" i="3"/>
  <c r="AY192" i="3"/>
  <c r="AY135" i="3"/>
  <c r="AY127" i="3"/>
  <c r="AY264" i="3"/>
  <c r="AY221" i="3"/>
  <c r="AY331" i="3"/>
  <c r="AY346" i="3"/>
  <c r="AY456" i="3"/>
  <c r="AY424" i="3"/>
  <c r="AY517" i="3"/>
  <c r="AY512" i="3"/>
  <c r="AY86" i="3"/>
  <c r="AY55" i="3"/>
  <c r="AY184" i="3"/>
  <c r="AY179" i="3"/>
  <c r="AY119" i="3"/>
  <c r="AY273" i="3"/>
  <c r="AY213" i="3"/>
  <c r="AY391" i="3"/>
  <c r="AY338" i="3"/>
  <c r="AY306" i="3"/>
  <c r="AY416" i="3"/>
  <c r="AY550" i="3"/>
  <c r="AY504" i="3"/>
  <c r="AY586" i="3"/>
  <c r="AY142" i="3"/>
  <c r="AY122" i="3"/>
  <c r="AY385" i="3"/>
  <c r="AY321" i="3"/>
  <c r="AY461" i="3"/>
  <c r="AY450" i="3"/>
  <c r="AY17" i="3"/>
  <c r="AY564" i="3"/>
  <c r="AY548" i="3"/>
  <c r="AY110" i="3"/>
  <c r="AY140" i="3"/>
  <c r="AY120" i="3"/>
  <c r="AY383" i="3"/>
  <c r="AY347" i="3"/>
  <c r="AY421" i="3"/>
  <c r="AY528" i="3"/>
  <c r="AY22" i="3"/>
  <c r="AY19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34"/>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H6" i="3" l="1"/>
  <c r="M18" i="9"/>
  <c r="B118" i="9" s="1"/>
  <c r="D3" i="33"/>
  <c r="E6" i="6"/>
  <c r="D10" i="11" s="1"/>
  <c r="C10" i="11" s="1"/>
  <c r="C17" i="4"/>
  <c r="B4" i="52" s="1"/>
  <c r="B43" i="72" s="1"/>
  <c r="D3" i="2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L18" i="9"/>
  <c r="D14" i="12"/>
  <c r="D17" i="12" s="1"/>
  <c r="C17" i="12" s="1"/>
  <c r="BT6" i="3"/>
  <c r="AY443" i="3"/>
  <c r="AY386" i="3"/>
  <c r="AY143" i="3"/>
  <c r="AY71" i="3"/>
  <c r="AY500" i="3"/>
  <c r="AY315" i="3"/>
  <c r="AY265" i="3"/>
  <c r="AY19" i="3"/>
  <c r="BP6" i="3"/>
  <c r="AY522" i="3"/>
  <c r="AY402" i="3"/>
  <c r="AY479" i="3"/>
  <c r="AY361" i="3"/>
  <c r="AY113" i="3"/>
  <c r="AY64" i="3"/>
  <c r="AY413" i="3"/>
  <c r="AY339" i="3"/>
  <c r="AY288" i="3"/>
  <c r="AY102" i="3"/>
  <c r="AY440" i="3"/>
  <c r="AY216" i="3"/>
  <c r="AY30" i="3"/>
  <c r="AY530" i="3"/>
  <c r="AY399" i="3"/>
  <c r="AY304" i="3"/>
  <c r="AY218" i="3"/>
  <c r="AY205" i="3"/>
  <c r="BC6" i="3"/>
  <c r="AY448" i="3"/>
  <c r="AY323" i="3"/>
  <c r="AY256" i="3"/>
  <c r="AY128" i="3"/>
  <c r="AY27" i="3"/>
  <c r="AY587" i="3"/>
  <c r="AY558" i="3"/>
  <c r="AY466" i="3"/>
  <c r="AY376" i="3"/>
  <c r="AY249" i="3"/>
  <c r="AY167" i="3"/>
  <c r="AY78" i="3"/>
  <c r="AY578" i="3"/>
  <c r="AY509" i="3"/>
  <c r="AY499" i="3"/>
  <c r="AY439" i="3"/>
  <c r="AY453" i="3"/>
  <c r="AY328" i="3"/>
  <c r="AY364" i="3"/>
  <c r="AY266" i="3"/>
  <c r="AY169" i="3"/>
  <c r="AY48" i="3"/>
  <c r="AY519"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B14" i="74"/>
  <c r="B1" i="74" s="1"/>
  <c r="D3" i="37"/>
  <c r="D19" i="11"/>
  <c r="C19" i="11" s="1"/>
  <c r="AY566" i="3"/>
  <c r="AY477" i="3"/>
  <c r="AY240" i="3"/>
  <c r="AY164" i="3"/>
  <c r="AY107" i="3"/>
  <c r="AY408" i="3"/>
  <c r="AY359" i="3"/>
  <c r="AY301" i="3"/>
  <c r="AY62" i="3"/>
  <c r="AY545" i="3"/>
  <c r="AY538" i="3"/>
  <c r="AY434" i="3"/>
  <c r="AY320" i="3"/>
  <c r="AY396" i="3"/>
  <c r="AY153" i="3"/>
  <c r="AY567" i="3"/>
  <c r="AY432" i="3"/>
  <c r="AY375" i="3"/>
  <c r="AY175" i="3"/>
  <c r="AY576" i="3"/>
  <c r="AY482" i="3"/>
  <c r="AY296" i="3"/>
  <c r="AY47" i="3"/>
  <c r="AY537" i="3"/>
  <c r="AY418" i="3"/>
  <c r="AY336" i="3"/>
  <c r="AY235" i="3"/>
  <c r="AY498" i="3"/>
  <c r="BD6" i="3"/>
  <c r="AY459" i="3"/>
  <c r="AY367" i="3"/>
  <c r="AY241" i="3"/>
  <c r="AY159" i="3"/>
  <c r="AY70" i="3"/>
  <c r="BL6" i="3"/>
  <c r="AY405" i="3"/>
  <c r="AY314" i="3"/>
  <c r="AY378" i="3"/>
  <c r="AY280" i="3"/>
  <c r="AY187" i="3"/>
  <c r="AY63" i="3"/>
  <c r="AY531" i="3"/>
  <c r="AY502" i="3"/>
  <c r="AY506" i="3"/>
  <c r="AY410" i="3"/>
  <c r="AY484" i="3"/>
  <c r="AY344" i="3"/>
  <c r="AY369" i="3"/>
  <c r="AY282" i="3"/>
  <c r="AY158" i="3"/>
  <c r="AY80" i="3"/>
  <c r="AY514"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C47" i="69"/>
  <c r="D45" i="69" s="1"/>
  <c r="C29" i="69"/>
  <c r="D27" i="69" s="1"/>
  <c r="F45" i="69"/>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D6" i="6" l="1"/>
  <c r="D30" i="6"/>
  <c r="H22" i="6"/>
  <c r="H25" i="6"/>
  <c r="R25" i="6" s="1"/>
  <c r="R12" i="1" s="1"/>
  <c r="C14" i="74"/>
  <c r="B2" i="74" s="1"/>
  <c r="F41" i="68"/>
  <c r="C26" i="69"/>
  <c r="D22" i="69" s="1"/>
  <c r="T20" i="71"/>
  <c r="D20" i="71"/>
  <c r="U20" i="71" s="1"/>
  <c r="C19" i="71"/>
  <c r="C60" i="67"/>
  <c r="C24" i="11"/>
  <c r="C25" i="11"/>
  <c r="C23" i="11"/>
  <c r="C26" i="11"/>
  <c r="D22" i="11" s="1"/>
  <c r="C26" i="68"/>
  <c r="D22" i="68" s="1"/>
  <c r="C44" i="69"/>
  <c r="D41"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8" i="74" l="1"/>
  <c r="D7" i="74"/>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1" i="1"/>
  <c r="AO10" i="1"/>
  <c r="AO7" i="1"/>
  <c r="AO8"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2" i="9" l="1"/>
  <c r="D21" i="9"/>
  <c r="C48" i="39"/>
  <c r="B64" i="39" s="1"/>
  <c r="F64" i="39" s="1"/>
  <c r="B6" i="70"/>
  <c r="B2" i="70" s="1"/>
  <c r="B3" i="70" s="1"/>
  <c r="B3" i="15"/>
  <c r="D10" i="71"/>
  <c r="C9" i="71"/>
  <c r="B56" i="39"/>
  <c r="F56" i="39" s="1"/>
  <c r="I46" i="40"/>
  <c r="J46" i="40" s="1"/>
  <c r="R43" i="40"/>
  <c r="E42" i="40"/>
  <c r="G47" i="40"/>
  <c r="H47" i="40" s="1"/>
  <c r="G46" i="40"/>
  <c r="H46" i="40" s="1"/>
  <c r="D20" i="9"/>
  <c r="B63" i="39" l="1"/>
  <c r="F63"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7" i="68"/>
  <c r="C5" i="68" s="1"/>
  <c r="D7" i="71"/>
  <c r="C6" i="71"/>
  <c r="C23" i="68" l="1"/>
  <c r="C20" i="68"/>
  <c r="D6" i="71"/>
  <c r="C5" i="71"/>
  <c r="D5" i="71" s="1"/>
  <c r="M24" i="43" s="1"/>
  <c r="C28" i="68" l="1"/>
  <c r="C27" i="68" s="1"/>
  <c r="C25" i="68"/>
  <c r="C22" i="68" s="1"/>
  <c r="C31" i="68" l="1"/>
  <c r="C52" i="68" s="1"/>
  <c r="B2" i="68" s="1"/>
  <c r="C19" i="9"/>
  <c r="G19" i="9" l="1"/>
  <c r="C102" i="9"/>
  <c r="D22" i="9"/>
  <c r="C21" i="9"/>
  <c r="B3" i="68"/>
  <c r="C57" i="68"/>
  <c r="C56" i="68" s="1"/>
  <c r="D35" i="9"/>
  <c r="D34" i="9"/>
  <c r="C20" i="9"/>
  <c r="G20" i="9" l="1"/>
  <c r="C103" i="9"/>
  <c r="C32" i="9"/>
  <c r="C35" i="9" s="1"/>
  <c r="C34" i="9" s="1"/>
  <c r="G21" i="9"/>
  <c r="F118" i="9" l="1"/>
  <c r="D118" i="9"/>
  <c r="H118" i="9"/>
  <c r="C104" i="9" l="1"/>
  <c r="G118" i="9"/>
  <c r="D4" i="52"/>
  <c r="B47" i="72" s="1"/>
  <c r="H4" i="52"/>
  <c r="I118" i="9"/>
  <c r="D119" i="9"/>
  <c r="D5" i="52" s="1"/>
  <c r="B49" i="72" s="1"/>
  <c r="H119" i="9"/>
  <c r="H5" i="52" s="1"/>
  <c r="F4" i="52"/>
  <c r="B51" i="72" s="1"/>
  <c r="F119" i="9"/>
  <c r="F5" i="52" s="1"/>
  <c r="B53" i="72" s="1"/>
  <c r="H101" i="9"/>
  <c r="D14" i="74" s="1"/>
  <c r="H102" i="9" l="1"/>
  <c r="D7" i="53" s="1"/>
  <c r="B21" i="72" s="1"/>
  <c r="G4" i="52"/>
  <c r="B52" i="72" s="1"/>
  <c r="E14" i="74"/>
  <c r="F14" i="74"/>
  <c r="B5" i="74"/>
  <c r="D5" i="74" s="1"/>
  <c r="E118" i="9"/>
  <c r="C105" i="9"/>
  <c r="I4" i="52"/>
  <c r="H107" i="9"/>
  <c r="G14" i="74" s="1"/>
  <c r="M48" i="9"/>
  <c r="D45" i="9"/>
  <c r="D5" i="53"/>
  <c r="E4" i="52" l="1"/>
  <c r="B48" i="72" s="1"/>
  <c r="B6" i="74"/>
  <c r="D6" i="74" s="1"/>
  <c r="C5" i="74"/>
  <c r="D6" i="53"/>
  <c r="B22" i="72" s="1"/>
  <c r="B20" i="72"/>
  <c r="C78" i="9"/>
  <c r="C73" i="9" s="1"/>
  <c r="D52" i="9"/>
  <c r="C85" i="9"/>
  <c r="D55" i="9"/>
  <c r="M53" i="9" s="1"/>
  <c r="D53" i="9"/>
  <c r="C64" i="9"/>
  <c r="C63" i="9" s="1"/>
  <c r="C67" i="9" s="1"/>
  <c r="C93" i="9"/>
  <c r="C86" i="9" s="1"/>
  <c r="C72" i="9"/>
  <c r="D122" i="9"/>
  <c r="H108" i="9"/>
  <c r="D13" i="53"/>
  <c r="M49" i="9"/>
  <c r="B30" i="72" l="1"/>
  <c r="D14" i="53"/>
  <c r="B32" i="72" s="1"/>
  <c r="C95" i="9"/>
  <c r="D59" i="9"/>
  <c r="M55" i="9" s="1"/>
  <c r="C68" i="9"/>
  <c r="D54" i="9" s="1"/>
  <c r="D8" i="52"/>
  <c r="D123" i="9"/>
  <c r="D9" i="52" s="1"/>
  <c r="D15" i="53"/>
  <c r="B31" i="72" s="1"/>
  <c r="C6" i="74"/>
  <c r="L64" i="9"/>
  <c r="M64" i="9" s="1"/>
  <c r="L68" i="9"/>
  <c r="M68" i="9" s="1"/>
  <c r="L63" i="9"/>
  <c r="M63" i="9" s="1"/>
  <c r="L65" i="9"/>
  <c r="M65" i="9" s="1"/>
  <c r="L67" i="9"/>
  <c r="M67" i="9" s="1"/>
  <c r="L66" i="9"/>
  <c r="M66" i="9" s="1"/>
  <c r="C79" i="9"/>
  <c r="M69" i="9" l="1"/>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<sst xmlns="http://schemas.openxmlformats.org/spreadsheetml/2006/main" count="10371" uniqueCount="4371">
  <si>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</si>
  <si>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</si>
  <si>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</si>
  <si>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</si>
  <si>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</si>
  <si>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</si>
  <si>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</si>
  <si>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</si>
  <si>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</si>
  <si>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</si>
  <si>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</si>
  <si>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</si>
  <si>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</si>
  <si>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</si>
  <si>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</si>
  <si>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</si>
  <si>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</si>
  <si>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</si>
  <si>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</si>
  <si>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</si>
  <si>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</si>
  <si>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</si>
  <si>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</si>
  <si>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</si>
  <si>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</si>
  <si>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</si>
  <si>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</si>
  <si>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</si>
  <si>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</si>
  <si>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</si>
  <si>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</si>
  <si>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</si>
  <si>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</si>
  <si>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</si>
  <si>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</si>
  <si>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</si>
  <si>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</si>
  <si>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</si>
  <si>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</si>
  <si>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</si>
  <si>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</si>
  <si>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</si>
  <si>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</si>
  <si>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</si>
  <si>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</si>
  <si>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</si>
  <si>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</si>
  <si>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</si>
  <si>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</si>
  <si>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</si>
  <si>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</si>
  <si>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</si>
  <si>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</si>
  <si>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</si>
  <si>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</si>
  <si>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</si>
  <si>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</si>
  <si>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</si>
  <si>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</si>
  <si>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</si>
  <si>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</si>
  <si>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</si>
  <si>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</si>
  <si>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</si>
  <si>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</si>
  <si>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</si>
  <si>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</si>
  <si>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</si>
  <si>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</si>
  <si>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</si>
  <si>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</si>
  <si>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</si>
  <si>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</si>
  <si>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</si>
  <si>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</si>
  <si>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</si>
  <si>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</si>
  <si>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</si>
  <si>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</si>
  <si>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</si>
  <si>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</si>
  <si>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</si>
  <si>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</si>
  <si>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</si>
  <si>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</si>
  <si>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</si>
  <si>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</si>
  <si>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</si>
  <si>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</si>
  <si>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</si>
  <si>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</si>
  <si>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</si>
  <si>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</si>
  <si>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</si>
  <si>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</si>
  <si>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</si>
  <si>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</si>
  <si>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</si>
  <si>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</si>
  <si>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</si>
  <si>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</si>
  <si>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</si>
  <si>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</si>
  <si>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</si>
  <si>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</si>
  <si>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</si>
  <si>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</si>
  <si>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</si>
  <si>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</si>
  <si>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</si>
  <si>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</si>
  <si>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</si>
  <si>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</si>
  <si>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</si>
  <si>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</si>
  <si>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</si>
  <si>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</si>
  <si>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</si>
  <si>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</si>
  <si>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</si>
  <si>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</si>
  <si>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</si>
  <si>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</si>
  <si>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</si>
  <si>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</si>
  <si>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</si>
  <si>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</si>
  <si>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</si>
  <si>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</si>
  <si>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</si>
  <si>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</si>
  <si>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</si>
  <si>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</si>
  <si>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</si>
  <si>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</si>
  <si>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</si>
  <si>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</si>
  <si>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</si>
  <si>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</si>
  <si>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</si>
  <si>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</si>
  <si>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</si>
  <si>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</si>
  <si>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</si>
  <si>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</si>
  <si>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</si>
  <si>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</si>
  <si>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</si>
  <si>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</si>
  <si>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</si>
  <si>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</si>
  <si>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</si>
  <si>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</si>
  <si>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</si>
  <si>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</si>
  <si>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</si>
  <si>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</si>
  <si>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</si>
  <si>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</si>
  <si>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</si>
  <si>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</si>
  <si>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</si>
  <si>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</si>
  <si>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</si>
  <si>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</si>
  <si>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</si>
  <si>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</si>
  <si>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</si>
  <si>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</si>
  <si>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</si>
  <si>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</si>
  <si>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</si>
  <si>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</si>
  <si>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</si>
  <si>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</si>
  <si>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</si>
  <si>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</si>
  <si>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</si>
  <si>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</si>
  <si>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</si>
  <si>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</si>
  <si>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</si>
  <si>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</si>
  <si>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</si>
  <si>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</si>
  <si>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</si>
  <si>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</si>
  <si>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</si>
  <si>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</si>
  <si>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</si>
  <si>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</si>
  <si>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</si>
  <si>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</si>
  <si>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</si>
  <si>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</si>
  <si>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</si>
  <si>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</si>
  <si>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</si>
  <si>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</si>
  <si>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</si>
  <si>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</si>
  <si>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</si>
  <si>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</si>
  <si>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</si>
  <si>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</si>
  <si>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</si>
  <si>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</si>
  <si>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</si>
  <si>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</si>
  <si>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</si>
  <si>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</si>
  <si>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</si>
  <si>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</si>
  <si>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</si>
  <si>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</si>
  <si>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</si>
  <si>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</si>
  <si>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</si>
  <si>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</si>
  <si>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</si>
  <si>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</si>
  <si>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</si>
  <si>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</si>
  <si>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</si>
  <si>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</si>
  <si>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</si>
  <si>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</si>
  <si>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</si>
  <si>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</si>
  <si>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</si>
  <si>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</si>
  <si>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</si>
  <si>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</si>
  <si>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</si>
  <si>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</si>
  <si>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</si>
  <si>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</si>
  <si>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</si>
  <si>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</si>
  <si>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</si>
  <si>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</si>
  <si>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</si>
  <si>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</si>
  <si>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</si>
  <si>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</si>
  <si>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</si>
  <si>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</si>
  <si>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</si>
  <si>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</si>
  <si>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</si>
  <si>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</si>
  <si>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</si>
  <si>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</si>
  <si>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</si>
  <si>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</si>
  <si>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</si>
  <si>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</si>
  <si>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</si>
  <si>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</si>
  <si>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</si>
  <si>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</si>
  <si>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</si>
  <si>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</si>
  <si>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</si>
  <si>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</si>
  <si>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</si>
  <si>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</si>
  <si>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</si>
  <si>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</si>
  <si>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</si>
  <si>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</si>
  <si>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</si>
  <si>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</si>
  <si>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</si>
  <si>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</si>
  <si>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</si>
  <si>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</si>
  <si>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</si>
  <si>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</si>
  <si>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</si>
  <si>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</si>
  <si>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</si>
  <si>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</si>
  <si>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</si>
  <si>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</si>
  <si>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</si>
  <si>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</si>
  <si>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</si>
  <si>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</si>
  <si>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</si>
  <si>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</si>
  <si>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</si>
  <si>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</si>
  <si>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</si>
  <si>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</si>
  <si>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</si>
  <si>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</si>
  <si>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</si>
  <si>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</si>
  <si>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</si>
  <si>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</si>
  <si>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</si>
  <si>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</si>
  <si>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</si>
  <si>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</si>
  <si>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</si>
  <si>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</si>
  <si>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</si>
  <si>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</si>
  <si>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</si>
  <si>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</si>
  <si>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</si>
  <si>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</si>
  <si>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</si>
  <si>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</si>
  <si>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</si>
  <si>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</si>
  <si>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</si>
  <si>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</si>
  <si>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</si>
  <si>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</si>
  <si>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</si>
  <si>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</si>
  <si>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</si>
  <si>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</si>
  <si>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</si>
  <si>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</si>
  <si>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</si>
  <si>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</si>
  <si>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</si>
  <si>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</si>
  <si>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</si>
  <si>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</si>
  <si>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</si>
  <si>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</si>
  <si>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</si>
  <si>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</si>
  <si>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</si>
  <si>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</si>
  <si>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</si>
  <si>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</si>
  <si>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</si>
  <si>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</si>
  <si>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</si>
  <si>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</si>
  <si>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</si>
  <si>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</si>
  <si>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</si>
  <si>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</si>
  <si>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</si>
  <si>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</si>
  <si>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</si>
  <si>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</si>
  <si>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</si>
  <si>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</si>
  <si>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</si>
  <si>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</si>
  <si>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</si>
  <si>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</si>
  <si>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</si>
  <si>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</si>
  <si>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</si>
  <si>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</si>
  <si>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</si>
  <si>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</si>
  <si>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</si>
  <si>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</si>
  <si>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</si>
  <si>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</si>
  <si>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</si>
  <si>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</si>
  <si>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</si>
  <si>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</si>
  <si>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</si>
  <si>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</si>
  <si>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</si>
  <si>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</si>
  <si>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</si>
  <si>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</si>
  <si>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</si>
  <si>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</si>
  <si>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</si>
  <si>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</si>
  <si>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</si>
  <si>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</si>
  <si>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</si>
  <si>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</si>
  <si>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</si>
  <si>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</si>
  <si>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</si>
  <si>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</si>
  <si>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</si>
  <si>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</si>
  <si>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</si>
  <si>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</si>
  <si>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</si>
  <si>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</si>
  <si>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</si>
  <si>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</si>
  <si>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</si>
  <si>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</si>
  <si>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</si>
  <si>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</si>
  <si>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</si>
  <si>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</si>
  <si>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</si>
  <si>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</si>
  <si>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</si>
  <si>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</si>
  <si>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</si>
  <si>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</si>
  <si>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</si>
  <si>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</si>
  <si>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</si>
  <si>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</si>
  <si>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</si>
  <si>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</si>
  <si>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</si>
  <si>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</si>
  <si>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</si>
  <si>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</si>
  <si>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</si>
  <si>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</si>
  <si>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</si>
  <si>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</si>
  <si>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</si>
  <si>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</si>
  <si>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</si>
  <si>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</si>
  <si>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</si>
  <si>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</si>
  <si>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</si>
  <si>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</si>
  <si>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</si>
  <si>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</si>
  <si>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</si>
  <si>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</si>
  <si>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</si>
  <si>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</si>
  <si>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</si>
  <si>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</si>
  <si>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</si>
  <si>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</si>
  <si>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</si>
  <si>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</si>
  <si>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</si>
  <si>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</si>
  <si>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</si>
  <si>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</si>
  <si>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</si>
  <si>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</si>
  <si>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</si>
  <si>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</si>
  <si>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</si>
  <si>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</si>
  <si>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</si>
  <si>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</si>
  <si>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</si>
  <si>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</si>
  <si>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</si>
  <si>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</si>
  <si>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</si>
  <si>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</si>
  <si>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</si>
  <si>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</si>
  <si>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</si>
  <si>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</si>
  <si>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</si>
  <si>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</si>
  <si>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</si>
  <si>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</si>
  <si>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</si>
  <si>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</si>
  <si>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</si>
  <si>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</si>
  <si>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</si>
  <si>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</si>
  <si>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</si>
  <si>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</si>
  <si>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</si>
  <si>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</si>
  <si>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</si>
  <si>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</si>
  <si>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</si>
  <si>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</si>
  <si>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</si>
  <si>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</si>
  <si>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</si>
  <si>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</si>
  <si>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</si>
  <si>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</si>
  <si>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</si>
  <si>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</si>
  <si>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</si>
  <si>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</si>
  <si>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</si>
  <si>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</si>
  <si>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</si>
  <si>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</si>
  <si>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</si>
  <si>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</si>
  <si>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</si>
  <si>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</si>
  <si>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</si>
  <si>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</si>
  <si>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</si>
  <si>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</si>
  <si>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</si>
  <si>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</si>
  <si>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</si>
  <si>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</si>
  <si>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</si>
  <si>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</si>
  <si>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</si>
  <si>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</si>
  <si>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</si>
  <si>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</si>
  <si>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</si>
  <si>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</si>
  <si>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</si>
  <si>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</si>
  <si>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</si>
  <si>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</si>
  <si>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</si>
  <si>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</si>
  <si>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</si>
  <si>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</si>
  <si>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</si>
  <si>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</si>
  <si>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</si>
  <si>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</si>
  <si>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</si>
  <si>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</si>
  <si>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</si>
  <si>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</si>
  <si>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</si>
  <si>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</si>
  <si>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</si>
  <si>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</si>
  <si>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</si>
  <si>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</si>
  <si>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</si>
  <si>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</si>
  <si>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</si>
  <si>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</si>
  <si>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</si>
  <si>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</si>
  <si>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</si>
  <si>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</si>
  <si>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</si>
  <si>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</si>
  <si>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</si>
  <si>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</si>
  <si>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</si>
  <si>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</si>
  <si>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</si>
  <si>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</si>
  <si>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</si>
  <si>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</si>
  <si>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</si>
  <si>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</si>
  <si>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</si>
  <si>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</si>
  <si>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</si>
  <si>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</si>
  <si>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</si>
  <si>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</si>
  <si>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</si>
  <si>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</si>
  <si>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</si>
  <si>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</si>
  <si>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</si>
  <si>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</si>
  <si>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</si>
  <si>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</si>
  <si>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</si>
  <si>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</si>
  <si>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</si>
  <si>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</si>
  <si>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</si>
  <si>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</si>
  <si>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</si>
  <si>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</si>
  <si>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</si>
  <si>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</si>
  <si>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</si>
  <si>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</si>
  <si>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</si>
  <si>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</si>
  <si>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</si>
  <si>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</si>
  <si>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</si>
  <si>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</si>
  <si>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</si>
  <si>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</si>
  <si>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</si>
  <si>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</si>
  <si>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</si>
  <si>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</si>
  <si>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</si>
  <si>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</si>
  <si>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</si>
  <si>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</si>
  <si>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</si>
  <si>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</si>
  <si>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</si>
  <si>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</si>
  <si>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</si>
  <si>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</si>
  <si>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</si>
  <si>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</si>
  <si>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</si>
  <si>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</si>
  <si>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</si>
  <si>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</si>
  <si>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</si>
  <si>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</si>
  <si>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</si>
  <si>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</si>
  <si>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</si>
  <si>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</si>
  <si>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</si>
  <si>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</si>
  <si>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</si>
  <si>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</si>
  <si>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</si>
  <si>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</si>
  <si>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</si>
  <si>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</si>
  <si>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</si>
  <si>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</si>
  <si>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</si>
  <si>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</si>
  <si>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</si>
  <si>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</si>
  <si>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</si>
  <si>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</si>
  <si>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</si>
  <si>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</si>
  <si>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</si>
  <si>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</si>
  <si>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</si>
  <si>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</si>
  <si>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</si>
  <si>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</si>
  <si>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</si>
  <si>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</si>
  <si>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</si>
  <si>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</si>
  <si>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</si>
  <si>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</si>
  <si>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</si>
  <si>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</si>
  <si>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</si>
  <si>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</si>
  <si>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</si>
  <si>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</si>
  <si>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</si>
  <si>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</si>
  <si>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</si>
  <si>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</si>
  <si>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</si>
  <si>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</si>
  <si>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</si>
  <si>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</si>
  <si>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</si>
  <si>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</si>
  <si>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</si>
  <si>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</si>
  <si>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</si>
  <si>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</si>
  <si>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</si>
  <si>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</si>
  <si>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</si>
  <si>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</si>
  <si>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</si>
  <si>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</si>
  <si>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</si>
  <si>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</si>
  <si>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</si>
  <si>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</si>
  <si>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</si>
  <si>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</si>
  <si>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</si>
  <si>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</si>
  <si>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</si>
  <si>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</si>
  <si>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</si>
  <si>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</si>
  <si>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</si>
  <si>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</si>
  <si>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</si>
  <si>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</si>
  <si>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</si>
  <si>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</si>
  <si>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</si>
  <si>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</si>
  <si>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</si>
  <si>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</si>
  <si>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</si>
  <si>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</si>
  <si>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</si>
  <si>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</si>
  <si>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</si>
  <si>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</si>
  <si>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</si>
  <si>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</si>
  <si>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</si>
  <si>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</si>
  <si>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</si>
  <si>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</si>
  <si>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</si>
  <si>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</si>
  <si>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</si>
  <si>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</si>
  <si>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</si>
  <si>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</si>
  <si>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</si>
  <si>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</si>
  <si>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</si>
  <si>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</si>
  <si>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</si>
  <si>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</si>
  <si>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</si>
  <si>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</si>
  <si>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</si>
  <si>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</si>
  <si>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</si>
  <si>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</si>
  <si>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</si>
  <si>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</si>
  <si>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</si>
  <si>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</si>
  <si>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</si>
  <si>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</si>
  <si>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</si>
  <si>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</si>
  <si>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</si>
  <si>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</si>
  <si>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</si>
  <si>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</si>
  <si>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</si>
  <si>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</si>
  <si>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</si>
  <si>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</si>
  <si>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</si>
  <si>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</si>
  <si>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</si>
  <si>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</si>
  <si>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</si>
  <si>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</si>
  <si>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</si>
  <si>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</si>
  <si>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</si>
  <si>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</si>
  <si>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</si>
  <si>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</si>
  <si>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</si>
  <si>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</si>
  <si>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</si>
  <si>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</si>
  <si>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</si>
  <si>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</si>
  <si>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</si>
  <si>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</si>
  <si>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</si>
  <si>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</si>
  <si>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</si>
  <si>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</si>
  <si>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</si>
  <si>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</si>
  <si>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</si>
  <si>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</si>
  <si>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</si>
  <si>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</si>
  <si>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</si>
  <si>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</si>
  <si>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</si>
  <si>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</si>
  <si>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</si>
  <si>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</si>
  <si>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</si>
  <si>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</si>
  <si>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</si>
  <si>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</si>
  <si>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</si>
  <si>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</si>
  <si>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</si>
  <si>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</si>
  <si>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</si>
  <si>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</si>
  <si>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</si>
  <si>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</si>
  <si>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</si>
  <si>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</si>
  <si>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</si>
  <si>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</si>
  <si>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</si>
  <si>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</si>
  <si>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</si>
  <si>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</si>
  <si>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</si>
  <si>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</si>
  <si>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</si>
  <si>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</si>
  <si>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</si>
  <si>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</si>
  <si>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</si>
  <si>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</si>
  <si>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</si>
  <si>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</si>
  <si>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</si>
  <si>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</si>
  <si>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</si>
  <si>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</si>
  <si>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</si>
  <si>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</si>
  <si>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</si>
  <si>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</si>
  <si>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</si>
  <si>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</si>
  <si>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</si>
  <si>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</si>
  <si>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</si>
  <si>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</si>
  <si>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</si>
  <si>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</si>
  <si>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</si>
  <si>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</si>
  <si>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</si>
  <si>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</si>
  <si>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</si>
  <si>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</si>
  <si>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</si>
  <si>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</si>
  <si>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</si>
  <si>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</si>
  <si>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</si>
  <si>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</si>
  <si>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</si>
  <si>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</si>
  <si>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</si>
  <si>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</si>
  <si>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</si>
  <si>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</si>
  <si>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</si>
  <si>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</si>
  <si>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</si>
  <si>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</si>
  <si>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</si>
  <si>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</si>
  <si>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</si>
  <si>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</si>
  <si>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</si>
  <si>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</si>
  <si>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</si>
  <si>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</si>
  <si>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</si>
  <si>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</si>
  <si>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</si>
  <si>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</si>
  <si>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</si>
  <si>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</si>
  <si>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</si>
  <si>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</si>
  <si>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</si>
  <si>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</si>
  <si>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</si>
  <si>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</si>
  <si>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</si>
  <si>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</si>
  <si>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</si>
  <si>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</si>
  <si>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</si>
  <si>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</si>
  <si>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</si>
  <si>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</si>
  <si>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</si>
  <si>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</si>
  <si>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</si>
  <si>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</si>
  <si>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</si>
  <si>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</si>
  <si>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</si>
  <si>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</si>
  <si>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</si>
  <si>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</si>
  <si>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</si>
  <si>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</si>
  <si>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</si>
  <si>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</si>
  <si>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</si>
  <si>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</si>
  <si>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</si>
  <si>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</si>
  <si>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</si>
  <si>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</si>
  <si>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</si>
  <si>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</si>
  <si>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</si>
  <si>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</si>
  <si>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</si>
  <si>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</si>
  <si>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</si>
  <si>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</si>
  <si>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</si>
  <si>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</si>
  <si>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</si>
  <si>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</si>
  <si>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</si>
  <si>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</si>
  <si>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</si>
  <si>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</si>
  <si>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</si>
  <si>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</si>
  <si>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</si>
  <si>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</si>
  <si>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</si>
  <si>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</si>
  <si>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</si>
  <si>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</si>
  <si>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</si>
  <si>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</si>
  <si>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</si>
  <si>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</si>
  <si>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</si>
  <si>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</si>
  <si>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</si>
  <si>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</si>
  <si>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</si>
  <si>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</si>
  <si>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</si>
  <si>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</si>
  <si>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</si>
  <si>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</si>
  <si>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</si>
  <si>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</si>
  <si>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</si>
  <si>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</si>
  <si>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</si>
  <si>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</si>
  <si>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</si>
  <si>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</si>
  <si>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</si>
  <si>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</si>
  <si>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</si>
  <si>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</si>
  <si>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</si>
  <si>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</si>
  <si>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</si>
  <si>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</si>
  <si>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</si>
  <si>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</si>
  <si>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</si>
  <si>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</si>
  <si>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</si>
  <si>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</si>
  <si>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</si>
  <si>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</si>
  <si>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</si>
  <si>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</si>
  <si>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</si>
  <si>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</si>
  <si>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</si>
  <si>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</si>
  <si>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</si>
  <si>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</si>
  <si>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</si>
  <si>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</si>
  <si>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</si>
  <si>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</si>
  <si>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</si>
  <si>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</si>
  <si>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</si>
  <si>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</si>
  <si>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</si>
  <si>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</si>
  <si>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</si>
  <si>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</si>
  <si>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</si>
  <si>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</si>
  <si>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</si>
  <si>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</si>
  <si>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</si>
  <si>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</si>
  <si>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</si>
  <si>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</si>
  <si>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</si>
  <si>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</si>
  <si>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</si>
  <si>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</si>
  <si>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</si>
  <si>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</si>
  <si>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</si>
  <si>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</si>
  <si>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</si>
  <si>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</si>
  <si>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</si>
  <si>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</si>
  <si>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</si>
  <si>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</si>
  <si>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</si>
  <si>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</si>
  <si>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</si>
  <si>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</si>
  <si>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</si>
  <si>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</si>
  <si>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</si>
  <si>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</si>
  <si>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</si>
  <si>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</si>
  <si>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</si>
  <si>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</si>
  <si>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</si>
  <si>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</si>
  <si>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</si>
  <si>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</si>
  <si>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</si>
  <si>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</si>
  <si>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</si>
  <si>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</si>
  <si>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</si>
  <si>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</si>
  <si>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</si>
  <si>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</si>
  <si>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</si>
  <si>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</si>
  <si>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</si>
  <si>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</si>
  <si>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</si>
  <si>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</si>
  <si>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</si>
  <si>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</si>
  <si>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</si>
  <si>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</si>
  <si>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</si>
  <si>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</si>
  <si>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</si>
  <si>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</si>
  <si>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</si>
  <si>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</si>
  <si>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</si>
  <si>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</si>
  <si>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</si>
  <si>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</si>
  <si>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</si>
  <si>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</si>
  <si>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</si>
  <si>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</si>
  <si>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</si>
  <si>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</si>
  <si>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</si>
  <si>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</si>
  <si>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</si>
  <si>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</si>
  <si>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</si>
  <si>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</si>
  <si>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</si>
  <si>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</si>
  <si>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</si>
  <si>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</si>
  <si>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</si>
  <si>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</si>
  <si>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</si>
  <si>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</si>
  <si>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</si>
  <si>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</si>
  <si>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</si>
  <si>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</si>
  <si>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</si>
  <si>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</si>
  <si>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</si>
  <si>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</si>
  <si>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</si>
  <si>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</si>
  <si>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</si>
  <si>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</si>
  <si>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</si>
  <si>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</si>
  <si>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</si>
  <si>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</si>
  <si>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</si>
  <si>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</si>
  <si>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</si>
  <si>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</si>
  <si>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</si>
  <si>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</si>
  <si>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</si>
  <si>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</si>
  <si>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</si>
  <si>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</si>
  <si>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</si>
  <si>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</si>
  <si>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</si>
  <si>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</si>
  <si>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</si>
  <si>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</si>
  <si>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</si>
  <si>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</si>
  <si>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</si>
  <si>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</si>
  <si>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</si>
  <si>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</si>
  <si>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</si>
  <si>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</si>
  <si>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</si>
  <si>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</si>
  <si>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</si>
  <si>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</si>
  <si>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</si>
  <si>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</si>
  <si>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</si>
  <si>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</si>
  <si>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</si>
  <si>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</si>
  <si>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</si>
  <si>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</si>
  <si>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</si>
  <si>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</si>
  <si>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</si>
  <si>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</si>
  <si>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</si>
  <si>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</si>
  <si>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</si>
  <si>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</si>
  <si>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</si>
  <si>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</si>
  <si>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</si>
  <si>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</si>
  <si>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</si>
  <si>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</si>
  <si>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</si>
  <si>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</si>
  <si>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</si>
  <si>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</si>
  <si>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</si>
  <si>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</si>
  <si>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</si>
  <si>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</si>
  <si>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</si>
  <si>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</si>
  <si>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</si>
  <si>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</si>
  <si>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</si>
  <si>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</si>
  <si>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</si>
  <si>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</si>
  <si>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</si>
  <si>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</si>
  <si>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</si>
  <si>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</si>
  <si>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</si>
  <si>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</si>
  <si>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</si>
  <si>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</si>
  <si>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</si>
  <si>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</si>
  <si>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</si>
  <si>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</si>
  <si>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</si>
  <si>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</si>
  <si>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</si>
  <si>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</si>
  <si>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</si>
  <si>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</si>
  <si>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</si>
  <si>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</si>
  <si>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</si>
  <si>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</si>
  <si>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</si>
  <si>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</si>
  <si>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</si>
  <si>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</si>
  <si>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</si>
  <si>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</si>
  <si>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</si>
  <si>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</si>
  <si>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</si>
  <si>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</si>
  <si>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</si>
  <si>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</si>
  <si>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</si>
  <si>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</si>
  <si>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</si>
  <si>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</si>
  <si>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</si>
  <si>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</si>
  <si>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</si>
  <si>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</si>
  <si>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</si>
  <si>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</si>
  <si>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</si>
  <si>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</si>
  <si>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</si>
  <si>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</si>
  <si>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</si>
  <si>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</si>
  <si>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</si>
  <si>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</si>
  <si>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</si>
  <si>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</si>
  <si>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</si>
  <si>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</si>
  <si>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</si>
  <si>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</si>
  <si>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</si>
  <si>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</si>
  <si>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</si>
  <si>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</si>
  <si>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</si>
  <si>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</si>
  <si>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</si>
  <si>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</si>
  <si>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</si>
  <si>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</si>
  <si>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</si>
  <si>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</si>
  <si>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</si>
  <si>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</si>
  <si>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</si>
  <si>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</si>
  <si>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</si>
  <si>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</si>
  <si>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</si>
  <si>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</si>
  <si>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</si>
  <si>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</si>
  <si>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</si>
  <si>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</si>
  <si>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</si>
  <si>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</si>
  <si>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</si>
  <si>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</si>
  <si>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</si>
  <si>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</si>
  <si>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</si>
  <si>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</si>
  <si>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</si>
  <si>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</si>
  <si>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</si>
  <si>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</si>
  <si>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</si>
  <si>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</si>
  <si>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</si>
  <si>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</si>
  <si>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</si>
  <si>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</si>
  <si>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</si>
  <si>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</si>
  <si>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</si>
  <si>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</si>
  <si>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</si>
  <si>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</si>
  <si>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</si>
  <si>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</si>
  <si>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</si>
  <si>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</si>
  <si>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</si>
  <si>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</si>
  <si>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</si>
  <si>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</si>
  <si>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</si>
  <si>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</si>
  <si>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</si>
  <si>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</si>
  <si>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</si>
  <si>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</si>
  <si>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</si>
  <si>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</si>
  <si>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</si>
  <si>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</si>
  <si>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</si>
  <si>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</si>
  <si>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</si>
  <si>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</si>
  <si>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</si>
  <si>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</si>
  <si>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</si>
  <si>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</si>
  <si>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</si>
  <si>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</si>
  <si>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</si>
  <si>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</si>
  <si>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</si>
  <si>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</si>
  <si>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</si>
  <si>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</si>
  <si>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</si>
  <si>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</si>
  <si>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</si>
  <si>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</si>
  <si>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</si>
  <si>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</si>
  <si>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</si>
  <si>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</si>
  <si>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</si>
  <si>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</si>
  <si>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</si>
  <si>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</si>
  <si>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</si>
  <si>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</si>
  <si>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</si>
  <si>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</si>
  <si>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</si>
  <si>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</si>
  <si>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</si>
  <si>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</si>
  <si>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</si>
  <si>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</si>
  <si>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</si>
  <si>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</si>
  <si>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</si>
  <si>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</si>
  <si>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</si>
  <si>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</si>
  <si>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</si>
  <si>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</si>
  <si>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</si>
  <si>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</si>
  <si>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</si>
  <si>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</si>
  <si>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</si>
  <si>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</si>
  <si>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</si>
  <si>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</si>
  <si>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</si>
  <si>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</si>
  <si>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</si>
  <si>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</si>
  <si>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</si>
  <si>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</si>
  <si>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</si>
  <si>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</si>
  <si>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</si>
  <si>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</si>
  <si>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</si>
  <si>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</si>
  <si>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</si>
  <si>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</si>
  <si>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</si>
  <si>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</si>
  <si>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</si>
  <si>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</si>
  <si>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</si>
  <si>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</si>
  <si>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</si>
  <si>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</si>
  <si>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</si>
  <si>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</si>
  <si>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</si>
  <si>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</si>
  <si>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</si>
  <si>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</si>
  <si>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</si>
  <si>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</si>
  <si>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</si>
  <si>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</si>
  <si>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</si>
  <si>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</si>
  <si>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</si>
  <si>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</si>
  <si>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</si>
  <si>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</si>
  <si>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</si>
  <si>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</si>
  <si>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</si>
  <si>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</si>
  <si>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</si>
  <si>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</si>
  <si>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</si>
  <si>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</si>
  <si>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</si>
  <si>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</si>
  <si>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</si>
  <si>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</si>
  <si>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</si>
  <si>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</si>
  <si>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</si>
  <si>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</si>
  <si>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</si>
  <si>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</si>
  <si>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</si>
  <si>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</si>
  <si>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</si>
  <si>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</si>
  <si>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</si>
  <si>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</si>
  <si>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</si>
  <si>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</si>
  <si>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</si>
  <si>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</si>
  <si>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</si>
  <si>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</si>
  <si>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</si>
  <si>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</si>
  <si>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</si>
  <si>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</si>
  <si>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</si>
  <si>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</si>
  <si>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</si>
  <si>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</si>
  <si>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</si>
  <si>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</si>
  <si>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</si>
  <si>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</si>
  <si>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</si>
  <si>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</si>
  <si>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</si>
  <si>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</si>
  <si>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</si>
  <si>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</si>
  <si>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</si>
  <si>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</si>
  <si>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</si>
  <si>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</si>
  <si>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</si>
  <si>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</si>
  <si>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</si>
  <si>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</si>
  <si>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</si>
  <si>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</si>
  <si>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</si>
  <si>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</si>
  <si>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</si>
  <si>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</si>
  <si>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</si>
  <si>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</si>
  <si>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</si>
  <si>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</si>
  <si>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</si>
  <si>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</si>
  <si>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</si>
  <si>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</si>
  <si>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</si>
  <si>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</si>
  <si>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</si>
  <si>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</si>
  <si>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</si>
  <si>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</si>
  <si>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</si>
  <si>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</si>
  <si>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</si>
  <si>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</si>
  <si>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</si>
  <si>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</si>
  <si>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</si>
  <si>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</si>
  <si>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</si>
  <si>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</si>
  <si>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</si>
  <si>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</si>
  <si>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</si>
  <si>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</si>
  <si>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</si>
  <si>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</si>
  <si>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</si>
  <si>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</si>
  <si>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</si>
  <si>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</si>
  <si>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</si>
  <si>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</si>
  <si>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</si>
  <si>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</si>
  <si>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</si>
  <si>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</si>
  <si>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</si>
  <si>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</si>
  <si>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</si>
  <si>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</si>
  <si>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</si>
  <si>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</si>
  <si>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</si>
  <si>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</si>
  <si>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</si>
  <si>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</si>
  <si>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</si>
  <si>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</si>
  <si>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</si>
  <si>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</si>
  <si>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</si>
  <si>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</si>
  <si>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</si>
  <si>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</si>
  <si>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</si>
  <si>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</si>
  <si>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</si>
  <si>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</si>
  <si>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</si>
  <si>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</si>
  <si>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</si>
  <si>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</si>
  <si>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</si>
  <si>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</si>
  <si>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</si>
  <si>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</si>
  <si>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</si>
  <si>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</si>
  <si>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</si>
  <si>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</si>
  <si>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</si>
  <si>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</si>
  <si>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</si>
  <si>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</si>
  <si>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</si>
  <si>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</si>
  <si>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</si>
  <si>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</si>
  <si>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</si>
  <si>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</si>
  <si>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</si>
  <si>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</si>
  <si>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</si>
  <si>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</si>
  <si>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</si>
  <si>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</si>
  <si>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</si>
  <si>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</si>
  <si>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</si>
  <si>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</si>
  <si>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</si>
  <si>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</si>
  <si>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</si>
  <si>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</si>
  <si>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</si>
  <si>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</si>
  <si>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</si>
  <si>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</si>
  <si>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</si>
  <si>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</si>
  <si>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</si>
  <si>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</si>
  <si>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</si>
  <si>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</si>
  <si>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</si>
  <si>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</si>
  <si>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</si>
  <si>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</si>
  <si>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</si>
  <si>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</si>
  <si>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</si>
  <si>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</si>
  <si>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</si>
  <si>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</si>
  <si>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</si>
  <si>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</si>
  <si>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</si>
  <si>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</si>
  <si>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</si>
  <si>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</si>
  <si>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</si>
  <si>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</si>
  <si>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</si>
  <si>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</si>
  <si>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</si>
  <si>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</si>
  <si>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</si>
  <si>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</si>
  <si>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</si>
  <si>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</si>
  <si>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</si>
  <si>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</si>
  <si>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</si>
  <si>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</si>
  <si>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</si>
  <si>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</si>
  <si>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</si>
  <si>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</si>
  <si>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</si>
  <si>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</si>
  <si>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</si>
  <si>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</si>
  <si>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</si>
  <si>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</si>
  <si>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</si>
  <si>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</si>
  <si>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</si>
  <si>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</si>
  <si>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</si>
  <si>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</si>
  <si>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</si>
  <si>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</si>
  <si>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</si>
  <si>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</si>
  <si>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</si>
  <si>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</si>
  <si>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</si>
  <si>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</si>
  <si>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</si>
  <si>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</si>
  <si>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</si>
  <si>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</si>
  <si>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</si>
  <si>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</si>
  <si>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</si>
  <si>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</si>
  <si>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</si>
  <si>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</si>
  <si>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</si>
  <si>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</si>
  <si>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</si>
  <si>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</si>
  <si>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</si>
  <si>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</si>
  <si>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</si>
  <si>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</si>
  <si>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</si>
  <si>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</si>
  <si>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</si>
  <si>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</si>
  <si>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</si>
  <si>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</si>
  <si>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</si>
  <si>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</si>
  <si>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</si>
  <si>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</si>
  <si>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</si>
  <si>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</si>
  <si>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</si>
  <si>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</si>
  <si>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</si>
  <si>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</si>
  <si>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</si>
  <si>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</si>
  <si>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</si>
  <si>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</si>
  <si>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</si>
  <si>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</si>
  <si>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</si>
  <si>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</si>
  <si>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</si>
  <si>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</si>
  <si>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</si>
  <si>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</si>
  <si>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</si>
  <si>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</si>
  <si>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</si>
  <si>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</si>
  <si>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</si>
  <si>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</si>
  <si>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</si>
  <si>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</si>
  <si>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</si>
  <si>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</si>
  <si>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</si>
  <si>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</si>
  <si>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</si>
  <si>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</si>
  <si>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</si>
  <si>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</si>
  <si>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</si>
  <si>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</si>
  <si>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</si>
  <si>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</si>
  <si>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</si>
  <si>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</si>
  <si>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</si>
  <si>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</si>
  <si>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</si>
  <si>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</si>
  <si>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</si>
  <si>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</si>
  <si>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</si>
  <si>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</si>
  <si>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</si>
  <si>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</si>
  <si>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</si>
  <si>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</si>
  <si>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</si>
  <si>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</si>
  <si>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</si>
  <si>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</si>
  <si>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</si>
  <si>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</si>
  <si>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</si>
  <si>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</si>
  <si>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</si>
  <si>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</si>
  <si>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</si>
  <si>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</si>
  <si>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</si>
  <si>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</si>
  <si>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</si>
  <si>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</si>
  <si>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</si>
  <si>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</si>
  <si>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</si>
  <si>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</si>
  <si>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</si>
  <si>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</si>
  <si>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</si>
  <si>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</si>
  <si>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</si>
  <si>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</si>
  <si>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</si>
  <si>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</si>
  <si>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</si>
  <si>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</si>
  <si>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</si>
  <si>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</si>
  <si>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</si>
  <si>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</si>
  <si>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</si>
  <si>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</si>
  <si>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</si>
  <si>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</si>
  <si>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</si>
  <si>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</si>
  <si>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</si>
  <si>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</si>
  <si>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</si>
  <si>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</si>
  <si>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</si>
  <si>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</si>
  <si>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</si>
  <si>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</si>
  <si>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</si>
  <si>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</si>
  <si>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</si>
  <si>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</si>
  <si>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</si>
  <si>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</si>
  <si>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</si>
  <si>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</si>
  <si>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</si>
  <si>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</si>
  <si>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</si>
  <si>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</si>
  <si>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</si>
  <si>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</si>
  <si>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</si>
  <si>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</si>
  <si>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</si>
  <si>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</si>
  <si>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</si>
  <si>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</si>
  <si>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</si>
  <si>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</si>
  <si>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</si>
  <si>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</si>
  <si>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</si>
  <si>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</si>
  <si>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</si>
  <si>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</si>
  <si>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</si>
  <si>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</si>
  <si>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</si>
  <si>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</si>
  <si>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</si>
  <si>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</si>
  <si>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</si>
  <si>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</si>
  <si>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</si>
  <si>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</si>
  <si>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</si>
  <si>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</si>
  <si>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</si>
  <si>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</si>
  <si>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</si>
  <si>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</si>
  <si>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</si>
  <si>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</si>
  <si>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</si>
  <si>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</si>
  <si>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</si>
  <si>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</si>
  <si>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</si>
  <si>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</si>
  <si>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</si>
  <si>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</si>
  <si>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</si>
  <si>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</si>
  <si>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</si>
  <si>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</si>
  <si>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</si>
  <si>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</si>
  <si>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</si>
  <si>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</si>
  <si>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</si>
  <si>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</si>
  <si>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</si>
  <si>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</si>
  <si>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</si>
  <si>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</si>
  <si>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</si>
  <si>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</si>
  <si>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</si>
  <si>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</si>
  <si>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</si>
  <si>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</si>
  <si>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</si>
  <si>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</si>
  <si>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</si>
  <si>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</si>
  <si>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</si>
  <si>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</si>
  <si>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</si>
  <si>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</si>
  <si>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</si>
  <si>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</si>
  <si>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</si>
  <si>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</si>
  <si>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</si>
  <si>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</si>
  <si>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</si>
  <si>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</si>
  <si>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</si>
  <si>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</si>
  <si>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</si>
  <si>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</si>
  <si>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</si>
  <si>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</si>
  <si>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</si>
  <si>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</si>
  <si>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</si>
  <si>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</si>
  <si>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</si>
  <si>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</si>
  <si>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</si>
  <si>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</si>
  <si>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</si>
  <si>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</si>
  <si>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</si>
  <si>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</si>
  <si>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</si>
  <si>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</si>
  <si>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</si>
  <si>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</si>
  <si>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</si>
  <si>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</si>
  <si>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</si>
  <si>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</si>
  <si>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</si>
  <si>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</si>
  <si>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</si>
  <si>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</si>
  <si>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</si>
  <si>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</si>
  <si>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</si>
  <si>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</si>
  <si>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</si>
  <si>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</si>
  <si>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</si>
  <si>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</si>
  <si>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</si>
  <si>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</si>
  <si>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</si>
  <si>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</si>
  <si>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</si>
  <si>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</si>
  <si>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</si>
  <si>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</si>
  <si>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</si>
  <si>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</si>
  <si>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</si>
  <si>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</si>
  <si>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</si>
  <si>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</si>
  <si>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</si>
  <si>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</si>
  <si>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</si>
  <si>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</si>
  <si>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</si>
  <si>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</si>
  <si>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</si>
  <si>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</si>
  <si>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</si>
  <si>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</si>
  <si>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</si>
  <si>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</si>
  <si>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</si>
  <si>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</si>
  <si>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</si>
  <si>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</si>
  <si>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</si>
  <si>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</si>
  <si>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</si>
  <si>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</si>
  <si>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</si>
  <si>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</si>
  <si>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</si>
  <si>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</si>
  <si>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</si>
  <si>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</si>
  <si>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</si>
  <si>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</si>
  <si>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</si>
  <si>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</si>
  <si>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</si>
  <si>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</si>
  <si>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</si>
  <si>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</si>
  <si>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</si>
  <si>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</si>
  <si>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</si>
  <si>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</si>
  <si>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</si>
  <si>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</si>
  <si>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</si>
  <si>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</si>
  <si>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</si>
  <si>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</si>
  <si>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</si>
  <si>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</si>
  <si>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</si>
  <si>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</si>
  <si>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</si>
  <si>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</si>
  <si>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</si>
  <si>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</si>
  <si>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</si>
  <si>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</si>
  <si>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</si>
  <si>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</si>
  <si>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</si>
  <si>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</si>
  <si>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</si>
  <si>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</si>
  <si>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</si>
  <si>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</si>
  <si>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</si>
  <si>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</si>
  <si>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</si>
  <si>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</si>
  <si>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</si>
  <si>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</si>
  <si>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</si>
  <si>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</si>
  <si>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</si>
  <si>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</si>
  <si>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</si>
  <si>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</si>
  <si>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</si>
  <si>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</si>
  <si>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</si>
  <si>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</si>
  <si>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</si>
  <si>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</si>
  <si>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</si>
  <si>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</si>
  <si>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</si>
  <si>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</si>
  <si>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</si>
  <si>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</si>
  <si>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</si>
  <si>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</si>
  <si>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</si>
  <si>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</si>
  <si>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</si>
  <si>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</si>
  <si>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</si>
  <si>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</si>
  <si>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</si>
  <si>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</si>
  <si>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</si>
  <si>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</si>
  <si>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</si>
  <si>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</si>
  <si>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</si>
  <si>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</si>
  <si>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</si>
  <si>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</si>
  <si>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</si>
  <si>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</si>
  <si>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</si>
  <si>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</si>
  <si>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</si>
  <si>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</si>
  <si>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</si>
  <si>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</si>
  <si>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</si>
  <si>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</si>
  <si>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</si>
  <si>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</si>
  <si>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</si>
  <si>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</si>
  <si>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</si>
  <si>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</si>
  <si>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</si>
  <si>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</si>
  <si>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</si>
  <si>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</si>
  <si>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</si>
  <si>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</si>
  <si>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</si>
  <si>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</si>
  <si>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</si>
  <si>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</si>
  <si>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</si>
  <si>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</si>
  <si>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</si>
  <si>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</si>
  <si>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</si>
  <si>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</si>
  <si>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</si>
  <si>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</si>
  <si>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</si>
  <si>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</si>
  <si>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</si>
  <si>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</si>
  <si>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</si>
  <si>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</si>
  <si>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</si>
  <si>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</si>
  <si>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</si>
  <si>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</si>
  <si>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</si>
  <si>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</si>
  <si>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</si>
  <si>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</si>
  <si>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</si>
  <si>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</si>
  <si>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</si>
  <si>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</si>
  <si>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</si>
  <si>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</si>
  <si>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</si>
  <si>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</si>
  <si>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</si>
  <si>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</si>
  <si>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</si>
  <si>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</si>
  <si>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</si>
  <si>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</si>
  <si>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</si>
  <si>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</si>
  <si>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</si>
  <si>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</si>
  <si>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</si>
  <si>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</si>
  <si>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</si>
  <si>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</si>
  <si>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</si>
  <si>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</si>
  <si>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</si>
  <si>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</si>
  <si>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</si>
  <si>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</si>
  <si>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</si>
  <si>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</si>
  <si>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</si>
  <si>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</si>
  <si>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</si>
  <si>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</si>
  <si>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</si>
  <si>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</si>
  <si>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</si>
  <si>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</si>
  <si>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</si>
  <si>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</si>
  <si>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</si>
  <si>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</si>
  <si>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</si>
  <si>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</si>
  <si>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</si>
  <si>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</si>
  <si>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</si>
  <si>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</si>
  <si>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</si>
  <si>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</si>
  <si>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</si>
  <si>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</si>
  <si>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</si>
  <si>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</si>
  <si>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</si>
  <si>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</si>
  <si>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</si>
  <si>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</si>
  <si>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</si>
  <si>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</si>
  <si>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</si>
  <si>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</si>
  <si>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</si>
  <si>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</si>
  <si>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</si>
  <si>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</si>
  <si>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</si>
  <si>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</si>
  <si>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</si>
  <si>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</si>
  <si>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</si>
  <si>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</si>
  <si>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</si>
  <si>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</si>
  <si>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</si>
  <si>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</si>
  <si>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</si>
  <si>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</si>
  <si>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</si>
  <si>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</si>
  <si>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</si>
  <si>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</si>
  <si>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</si>
  <si>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</si>
  <si>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</si>
  <si>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</si>
  <si>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</si>
  <si>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</si>
  <si>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</si>
  <si>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</si>
  <si>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</si>
  <si>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</si>
  <si>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</si>
  <si>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</si>
  <si>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</si>
  <si>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</si>
  <si>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</si>
  <si>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</si>
  <si>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</si>
  <si>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</si>
  <si>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</si>
  <si>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</si>
  <si>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</si>
  <si>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</si>
  <si>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</si>
  <si>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</si>
  <si>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</si>
  <si>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</si>
  <si>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</si>
  <si>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</si>
  <si>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</si>
  <si>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</si>
  <si>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</si>
  <si>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</si>
  <si>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</si>
  <si>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</si>
  <si>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</si>
  <si>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</si>
  <si>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</si>
  <si>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</si>
  <si>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</si>
  <si>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</si>
  <si>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</si>
  <si>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</si>
  <si>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</si>
  <si>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</si>
  <si>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</si>
  <si>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</si>
  <si>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</si>
  <si>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</si>
  <si>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</si>
  <si>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</si>
  <si>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</si>
  <si>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</si>
  <si>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</si>
  <si>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</si>
  <si>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</si>
  <si>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</si>
  <si>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</si>
  <si>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</si>
  <si>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</si>
  <si>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</si>
  <si>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</si>
  <si>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</si>
  <si>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</si>
  <si>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</si>
  <si>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</si>
  <si>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</si>
  <si>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</si>
  <si>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</si>
  <si>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</si>
  <si>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</si>
  <si>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</si>
  <si>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</si>
  <si>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</si>
  <si>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</si>
  <si>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</si>
  <si>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</si>
  <si>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</si>
  <si>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</si>
  <si>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</si>
  <si>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</si>
  <si>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</si>
  <si>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</si>
  <si>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</si>
  <si>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</si>
  <si>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</si>
  <si>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</si>
  <si>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</si>
  <si>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</si>
  <si>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</si>
  <si>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</si>
  <si>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</si>
  <si>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</si>
  <si>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</si>
  <si>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</si>
  <si>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</si>
  <si>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</si>
  <si>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</si>
  <si>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</si>
  <si>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</si>
  <si>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</si>
  <si>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</si>
  <si>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</si>
  <si>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</si>
  <si>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</si>
  <si>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</si>
  <si>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</si>
  <si>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</si>
  <si>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</si>
  <si>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</si>
  <si>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</si>
  <si>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</si>
  <si>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</si>
  <si>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</si>
  <si>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</si>
  <si>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</si>
  <si>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</si>
  <si>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</si>
  <si>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</si>
  <si>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</si>
  <si>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</si>
  <si>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</si>
  <si>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</si>
  <si>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</si>
  <si>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</si>
  <si>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</si>
  <si>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</si>
  <si>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</si>
  <si>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</si>
  <si>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</si>
  <si>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</si>
  <si>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</si>
  <si>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</si>
  <si>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</si>
  <si>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</si>
  <si>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</si>
  <si>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</si>
  <si>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</si>
  <si>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</si>
  <si>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</si>
  <si>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</si>
  <si>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</si>
  <si>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</si>
  <si>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</si>
  <si>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</si>
  <si>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</si>
  <si>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</si>
  <si>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</si>
  <si>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</si>
  <si>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</si>
  <si>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</si>
  <si>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</si>
  <si>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</si>
  <si>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</si>
  <si>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</si>
  <si>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</si>
  <si>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</si>
  <si>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</si>
  <si>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</si>
  <si>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</si>
  <si>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</si>
  <si>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</si>
  <si>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</si>
  <si>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</si>
  <si>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</si>
  <si>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</si>
  <si>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</si>
  <si>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</si>
  <si>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</si>
  <si>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</si>
  <si>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</si>
  <si>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</si>
  <si>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</si>
  <si>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</si>
  <si>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</si>
  <si>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</si>
  <si>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</si>
  <si>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</si>
  <si>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</si>
  <si>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</si>
  <si>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</si>
  <si>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</si>
  <si>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</si>
  <si>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</si>
  <si>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</si>
  <si>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</si>
  <si>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</si>
  <si>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</si>
  <si>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</si>
  <si>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</si>
  <si>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</si>
  <si>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</si>
  <si>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</si>
  <si>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</si>
  <si>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</si>
  <si>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</si>
  <si>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</si>
  <si>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</si>
  <si>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</si>
  <si>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</si>
  <si>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</si>
  <si>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</si>
  <si>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</si>
  <si>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</si>
  <si>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</si>
  <si>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</si>
  <si>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</si>
  <si>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</si>
  <si>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</si>
  <si>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</si>
  <si>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</si>
  <si>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</si>
  <si>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</si>
  <si>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</si>
  <si>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</si>
  <si>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</si>
  <si>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</si>
  <si>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</si>
  <si>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</si>
  <si>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</si>
  <si>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</si>
  <si>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</si>
  <si>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</si>
  <si>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</si>
  <si>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</si>
  <si>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</si>
  <si>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</si>
  <si>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</si>
  <si>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</si>
  <si>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</si>
  <si>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</si>
  <si>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</si>
  <si>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</si>
  <si>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</si>
  <si>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</si>
  <si>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</si>
  <si>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</si>
  <si>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</si>
  <si>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</si>
  <si>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</si>
  <si>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</si>
  <si>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</si>
  <si>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</si>
  <si>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</si>
  <si>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</si>
  <si>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</si>
  <si>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</si>
  <si>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</si>
  <si>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</si>
  <si>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</si>
  <si>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</si>
  <si>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</si>
  <si>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</si>
  <si>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</si>
  <si>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</si>
  <si>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</si>
  <si>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</si>
  <si>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</si>
  <si>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</si>
  <si>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</si>
  <si>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</si>
  <si>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</si>
  <si>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</si>
  <si>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</si>
  <si>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</si>
  <si>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</si>
  <si>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</si>
  <si>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</si>
  <si>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</si>
  <si>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</si>
  <si>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</si>
  <si>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</si>
  <si>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</si>
  <si>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</si>
  <si>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</si>
  <si>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</si>
  <si>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</si>
  <si>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</si>
  <si>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</si>
  <si>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</si>
  <si>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</si>
  <si>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</si>
  <si>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</si>
  <si>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</si>
  <si>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</si>
  <si>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</si>
  <si>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</si>
  <si>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</si>
  <si>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</si>
  <si>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</si>
  <si>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</si>
  <si>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</si>
  <si>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</si>
  <si>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</si>
  <si>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</si>
  <si>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</si>
  <si>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</si>
  <si>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</si>
  <si>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</si>
  <si>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</si>
  <si>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</si>
  <si>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</si>
  <si>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</si>
  <si>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</si>
  <si>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</si>
  <si>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</si>
  <si>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</si>
  <si>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</si>
  <si>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</si>
  <si>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</si>
  <si>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</si>
  <si>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</si>
  <si>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</si>
  <si>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</si>
  <si>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</si>
  <si>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</si>
  <si>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</si>
  <si>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</si>
  <si>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</si>
  <si>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</si>
  <si>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</si>
  <si>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</si>
  <si>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</si>
  <si>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</si>
  <si>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</si>
  <si>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</si>
  <si>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</si>
  <si>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</si>
  <si>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</si>
  <si>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</si>
  <si>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</si>
  <si>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</si>
  <si>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</si>
  <si>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</si>
  <si>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</si>
  <si>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</si>
  <si>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</si>
  <si>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</si>
  <si>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</si>
  <si>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</si>
  <si>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</si>
  <si>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</si>
  <si>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</si>
  <si>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</si>
  <si>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</si>
  <si>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</si>
  <si>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</si>
  <si>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</si>
  <si>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</si>
  <si>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</si>
  <si>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</si>
  <si>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</si>
  <si>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</si>
  <si>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</si>
  <si>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</si>
  <si>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</si>
  <si>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</si>
  <si>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</si>
  <si>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</si>
  <si>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</si>
  <si>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</si>
  <si>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</si>
  <si>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</si>
  <si>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</si>
  <si>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</si>
  <si>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</si>
  <si>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</si>
  <si>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</si>
  <si>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</si>
  <si>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</si>
  <si>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</si>
  <si>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</si>
  <si>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</si>
  <si>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</si>
  <si>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</si>
  <si>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</si>
  <si>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</si>
  <si>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</si>
  <si>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</si>
  <si>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</si>
  <si>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</si>
  <si>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</si>
  <si>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</si>
  <si>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</si>
  <si>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</si>
  <si>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</si>
  <si>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</si>
  <si>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</si>
  <si>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</si>
  <si>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</si>
  <si>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</si>
  <si>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</si>
  <si>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</si>
  <si>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</si>
  <si>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</si>
  <si>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</si>
  <si>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</si>
  <si>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</si>
  <si>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</si>
  <si>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</si>
  <si>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</si>
  <si>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</si>
  <si>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</si>
  <si>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</si>
  <si>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</si>
  <si>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</si>
  <si>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</si>
  <si>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</si>
  <si>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</si>
  <si>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</si>
  <si>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</si>
  <si>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</si>
  <si>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</si>
  <si>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</si>
  <si>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</si>
  <si>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</si>
  <si>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</si>
  <si>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</si>
  <si>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</si>
  <si>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</si>
  <si>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</si>
  <si>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</si>
  <si>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</si>
  <si>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</si>
  <si>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</si>
  <si>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</si>
  <si>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</si>
  <si>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</si>
  <si>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</si>
  <si>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</si>
  <si>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</si>
  <si>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</si>
  <si>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</si>
  <si>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</si>
  <si>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</si>
  <si>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</si>
  <si>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</si>
  <si>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</si>
  <si>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</si>
  <si>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</si>
  <si>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</si>
  <si>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</si>
  <si>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</si>
  <si>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</si>
  <si>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</si>
  <si>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</si>
  <si>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</si>
  <si>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</si>
  <si>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</si>
  <si>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</si>
  <si>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</si>
  <si>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</si>
  <si>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</si>
  <si>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</si>
  <si>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</si>
  <si>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</si>
  <si>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</si>
  <si>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</si>
  <si>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</si>
  <si>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</si>
  <si>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</si>
  <si>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</si>
  <si>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</si>
  <si>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</si>
  <si>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</si>
  <si>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</si>
  <si>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</si>
  <si>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</si>
  <si>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</si>
  <si>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</si>
  <si>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</si>
  <si>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</si>
  <si>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</si>
  <si>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</si>
  <si>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</si>
  <si>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</si>
  <si>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</si>
  <si>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</si>
  <si>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</si>
  <si>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</si>
  <si>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</si>
  <si>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</si>
  <si>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</si>
  <si>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</si>
  <si>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</si>
  <si>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</si>
  <si>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</si>
  <si>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</si>
  <si>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</si>
  <si>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</si>
  <si>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</si>
  <si>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</si>
  <si>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</si>
  <si>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</si>
  <si>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</si>
  <si>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</si>
  <si>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</si>
  <si>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</si>
  <si>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</si>
  <si>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</si>
  <si>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</si>
  <si>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</si>
  <si>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</si>
  <si>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</si>
  <si>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</si>
  <si>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</si>
  <si>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</si>
  <si>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</si>
  <si>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</si>
  <si>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</si>
  <si>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</si>
  <si>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</si>
  <si>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</si>
  <si>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</si>
  <si>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</si>
  <si>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</si>
  <si>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</si>
  <si>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</si>
  <si>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</si>
  <si>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</si>
  <si>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</si>
  <si>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</si>
  <si>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</si>
  <si>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</si>
  <si>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</si>
  <si>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</si>
  <si>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</si>
  <si>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</si>
  <si>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</si>
  <si>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</si>
  <si>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</si>
  <si>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</si>
  <si>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</si>
  <si>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</si>
  <si>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</si>
  <si>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</si>
  <si>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</si>
  <si>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</si>
  <si>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</si>
  <si>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</si>
  <si>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</si>
  <si>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</si>
  <si>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</si>
  <si>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</si>
  <si>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</si>
  <si>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</si>
  <si>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</si>
  <si>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</si>
  <si>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</si>
  <si>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</si>
  <si>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</si>
  <si>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</si>
  <si>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</si>
  <si>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</si>
  <si>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</si>
  <si>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</si>
  <si>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</si>
  <si>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</si>
  <si>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</si>
  <si>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</si>
  <si>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</si>
  <si>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</si>
  <si>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</si>
  <si>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</si>
  <si>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</si>
  <si>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</si>
  <si>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</si>
  <si>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</si>
  <si>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</si>
  <si>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</si>
  <si>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</si>
  <si>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</si>
  <si>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</si>
  <si>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</si>
  <si>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</si>
  <si>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</si>
  <si>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</si>
  <si>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</si>
  <si>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</si>
  <si>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</si>
  <si>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</si>
  <si>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</si>
  <si>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</si>
  <si>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</si>
  <si>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</si>
  <si>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</si>
  <si>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</si>
  <si>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</si>
  <si>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</si>
  <si>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</si>
  <si>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</si>
  <si>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</si>
  <si>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</si>
  <si>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</si>
  <si>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</si>
  <si>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</si>
  <si>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</si>
  <si>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</si>
  <si>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</si>
  <si>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</si>
  <si>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</si>
  <si>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</si>
  <si>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</si>
  <si>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</si>
  <si>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</si>
  <si>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</si>
  <si>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</si>
  <si>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</si>
  <si>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</si>
  <si>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</si>
  <si>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</si>
  <si>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</si>
  <si>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</si>
  <si>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</si>
  <si>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</si>
  <si>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</si>
  <si>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</si>
  <si>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</si>
  <si>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</si>
  <si>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</si>
  <si>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</si>
  <si>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</si>
  <si>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</si>
  <si>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</si>
  <si>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</si>
  <si>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</si>
  <si>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</si>
  <si>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</si>
  <si>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</si>
  <si>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</si>
  <si>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</si>
  <si>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</si>
  <si>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</si>
  <si>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</si>
  <si>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</si>
  <si>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</si>
  <si>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</si>
  <si>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</si>
  <si>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</si>
  <si>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</si>
  <si>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</si>
  <si>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</si>
  <si>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</si>
  <si>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</si>
  <si>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</si>
  <si>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</si>
  <si>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</si>
  <si>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</si>
  <si>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</si>
  <si>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</si>
  <si>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</si>
  <si>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</si>
  <si>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</si>
  <si>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</si>
  <si>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</si>
  <si>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</si>
  <si>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</si>
  <si>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</si>
  <si>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</si>
  <si>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</si>
  <si>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</si>
  <si>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</si>
  <si>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</si>
  <si>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</si>
  <si>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</si>
  <si>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</si>
  <si>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</si>
  <si>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</si>
  <si>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</si>
  <si>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</si>
  <si>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</si>
  <si>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</si>
  <si>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</si>
  <si>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</si>
  <si>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</si>
  <si>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</si>
  <si>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</si>
  <si>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</si>
  <si>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</si>
  <si>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</si>
  <si>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</si>
  <si>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</si>
  <si>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</si>
  <si>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</si>
  <si>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</si>
  <si>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</si>
  <si>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</si>
  <si>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</si>
  <si>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</si>
  <si>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</si>
  <si>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</si>
  <si>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</si>
  <si>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</si>
  <si>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</si>
  <si>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</si>
  <si>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</si>
  <si>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</si>
  <si>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</si>
  <si>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</si>
  <si>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</si>
  <si>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</si>
  <si>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</si>
  <si>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</si>
  <si>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</si>
  <si>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</si>
  <si>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</si>
  <si>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</si>
  <si>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</si>
  <si>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</si>
  <si>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</si>
  <si>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</si>
  <si>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</si>
  <si>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</si>
  <si>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</si>
  <si>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</si>
  <si>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</si>
  <si>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</si>
  <si>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</si>
  <si>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</si>
  <si>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</si>
  <si>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</si>
  <si>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</si>
  <si>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</si>
  <si>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</si>
  <si>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</si>
  <si>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</si>
  <si>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</si>
  <si>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</si>
  <si>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</si>
  <si>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</si>
  <si>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</si>
  <si>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</si>
  <si>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</si>
  <si>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</si>
  <si>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</si>
  <si>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</si>
  <si>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</si>
  <si>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</si>
  <si>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</si>
  <si>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</si>
  <si>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</si>
  <si>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</si>
  <si>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</si>
  <si>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</si>
  <si>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</si>
  <si>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</si>
  <si>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</si>
  <si>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</si>
  <si>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</si>
  <si>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</si>
  <si>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</si>
  <si>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</si>
  <si>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</si>
  <si>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</si>
  <si>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</si>
  <si>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</si>
  <si>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</si>
  <si>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</si>
  <si>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</si>
  <si>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</si>
  <si>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</si>
  <si>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</si>
  <si>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</si>
  <si>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</si>
  <si>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</si>
  <si>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</si>
  <si>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</si>
  <si>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</si>
  <si>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</si>
  <si>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</si>
  <si>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</si>
  <si>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</si>
  <si>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</si>
  <si>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</si>
  <si>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</si>
  <si>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</si>
  <si>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</si>
  <si>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</si>
  <si>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</si>
  <si>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</si>
  <si>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</si>
  <si>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</si>
  <si>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</si>
  <si>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</si>
  <si>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</si>
  <si>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</si>
  <si>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</si>
  <si>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</si>
  <si>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</si>
  <si>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</si>
  <si>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</si>
  <si>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</si>
  <si>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</si>
  <si>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</si>
  <si>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</si>
  <si>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</si>
  <si>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</si>
  <si>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</si>
  <si>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</si>
  <si>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</si>
  <si>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</si>
  <si>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</si>
  <si>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</si>
  <si>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</si>
  <si>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</si>
  <si>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</si>
  <si>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</si>
  <si>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</si>
  <si>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</si>
  <si>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</si>
  <si>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</si>
  <si>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</si>
  <si>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</si>
  <si>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</si>
  <si>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</si>
  <si>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</si>
  <si>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</si>
  <si>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</si>
  <si>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</si>
  <si>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</si>
  <si>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</si>
  <si>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</si>
  <si>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</si>
  <si>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</si>
  <si>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</si>
  <si>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</si>
  <si>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</si>
  <si>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</si>
  <si>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</si>
  <si>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</si>
  <si>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</si>
  <si>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</si>
  <si>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</si>
  <si>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</si>
  <si>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</si>
  <si>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</si>
  <si>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</si>
  <si>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</si>
  <si>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</si>
  <si>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</si>
  <si>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</si>
  <si>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</si>
  <si>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</si>
  <si>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</si>
  <si>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</si>
  <si>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</si>
  <si>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</si>
  <si>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</si>
  <si>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</si>
  <si>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</si>
  <si>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</si>
  <si>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</si>
  <si>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</si>
  <si>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</si>
  <si>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</si>
  <si>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</si>
  <si>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</si>
  <si>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</si>
  <si>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</si>
  <si>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</si>
  <si>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</si>
  <si>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</si>
  <si>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</si>
  <si>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</si>
  <si>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</si>
  <si>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</si>
  <si>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</si>
  <si>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</si>
  <si>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</si>
  <si>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</si>
  <si>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</si>
  <si>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</si>
  <si>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</si>
  <si>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</si>
  <si>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</si>
  <si>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</si>
  <si>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</si>
  <si>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</si>
  <si>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</si>
  <si>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</si>
  <si>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</si>
  <si>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</si>
  <si>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</si>
  <si>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</si>
  <si>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</si>
  <si>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</si>
  <si>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</si>
  <si>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</si>
  <si>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</si>
  <si>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</si>
  <si>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</si>
  <si>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</si>
  <si>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</si>
  <si>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</si>
  <si>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</si>
  <si>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</si>
  <si>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</si>
  <si>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</si>
  <si>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</si>
  <si>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</si>
  <si>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</si>
  <si>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</si>
  <si>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</si>
  <si>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</si>
  <si>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</si>
  <si>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</si>
  <si>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</si>
  <si>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</si>
  <si>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</si>
  <si>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</si>
  <si>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</si>
  <si>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</si>
  <si>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</si>
  <si>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</si>
  <si>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</si>
  <si>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</si>
  <si>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</si>
  <si>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</si>
  <si>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</si>
  <si>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</si>
  <si>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</si>
  <si>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</si>
  <si>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</si>
  <si>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</si>
  <si>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</si>
  <si>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</si>
  <si>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</si>
  <si>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</si>
  <si>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</si>
  <si>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</si>
  <si>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</si>
  <si>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</si>
  <si>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</si>
  <si>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</si>
  <si>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</si>
  <si>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</si>
  <si>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</si>
  <si>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</si>
  <si>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</si>
  <si>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</si>
  <si>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</si>
  <si>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</si>
  <si>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</si>
  <si>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</si>
  <si>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</si>
  <si>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</si>
  <si>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</si>
  <si>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</si>
  <si>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</si>
  <si>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</si>
  <si>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</si>
  <si>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</si>
  <si>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</si>
  <si>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</si>
  <si>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</si>
  <si>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</si>
  <si>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</si>
  <si>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</si>
  <si>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</si>
  <si>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</si>
  <si>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</si>
  <si>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</si>
  <si>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</si>
  <si>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</si>
  <si>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</si>
  <si>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</si>
  <si>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</si>
  <si>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</si>
  <si>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</si>
  <si>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</si>
  <si>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</si>
  <si>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</si>
  <si>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</si>
  <si>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</si>
  <si>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</si>
  <si>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</si>
  <si>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</si>
  <si>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</si>
  <si>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</si>
  <si>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</si>
  <si>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</si>
  <si>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</si>
  <si>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</si>
  <si>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</si>
  <si>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</si>
  <si>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</si>
  <si>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</si>
  <si>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</si>
  <si>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</si>
  <si>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</si>
  <si>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</si>
  <si>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</si>
  <si>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</si>
  <si>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</si>
  <si>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</si>
  <si>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</si>
  <si>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</si>
  <si>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</si>
  <si>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</si>
  <si>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</si>
  <si>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</si>
  <si>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</si>
  <si>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</si>
  <si>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</si>
  <si>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</si>
  <si>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</si>
  <si>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</si>
  <si>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</si>
  <si>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</si>
  <si>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</si>
  <si>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</si>
  <si>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</si>
  <si>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</si>
  <si>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</si>
  <si>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</si>
  <si>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</si>
  <si>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</si>
  <si>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</si>
  <si>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</si>
  <si>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</si>
  <si>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</si>
  <si>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</si>
  <si>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</si>
  <si>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</si>
  <si>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</si>
  <si>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</si>
  <si>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</si>
  <si>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</si>
  <si>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</si>
  <si>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</si>
  <si>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</si>
  <si>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</si>
  <si>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</si>
  <si>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</si>
  <si>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</si>
  <si>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</si>
  <si>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</si>
  <si>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</si>
  <si>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</si>
  <si>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</si>
  <si>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</si>
  <si>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</si>
  <si>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</si>
  <si>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</si>
  <si>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</si>
  <si>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</si>
  <si>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</si>
  <si>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</si>
  <si>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</si>
  <si>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</si>
  <si>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</si>
  <si>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</si>
  <si>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</si>
  <si>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</si>
  <si>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</si>
  <si>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</si>
  <si>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</si>
  <si>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</si>
  <si>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</si>
  <si>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</si>
  <si>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</si>
  <si>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</si>
  <si>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</si>
  <si>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</si>
  <si>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</si>
  <si>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</si>
  <si>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</si>
  <si>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</si>
  <si>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</si>
  <si>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</si>
  <si>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</si>
  <si>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</si>
  <si>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</si>
  <si>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</si>
  <si>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</si>
  <si>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</si>
  <si>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</si>
  <si>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</si>
  <si>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</si>
  <si>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</si>
  <si>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</si>
  <si>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</si>
  <si>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</si>
  <si>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</si>
  <si>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</si>
  <si>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</si>
  <si>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</si>
  <si>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</si>
  <si>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</si>
  <si>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</si>
  <si>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</si>
  <si>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</si>
  <si>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</si>
  <si>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</si>
  <si>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</si>
  <si>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</si>
  <si>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</si>
  <si>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</si>
  <si>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</si>
  <si>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</si>
  <si>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</si>
  <si>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</si>
  <si>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</si>
  <si>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</si>
  <si>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</si>
  <si>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</si>
  <si>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</si>
  <si>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</si>
  <si>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</si>
  <si>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</si>
  <si>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</si>
  <si>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</si>
  <si>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</si>
  <si>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</si>
  <si>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</si>
  <si>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</si>
  <si>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</si>
  <si>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</si>
  <si>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</si>
  <si>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</si>
  <si>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</si>
  <si>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</si>
  <si>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</si>
  <si>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</si>
  <si>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</si>
  <si>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</si>
  <si>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</si>
  <si>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</si>
  <si>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</si>
  <si>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</si>
  <si>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</si>
  <si>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</si>
  <si>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</si>
  <si>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</si>
  <si>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</si>
  <si>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</si>
  <si>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</si>
  <si>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</si>
  <si>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</si>
  <si>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</si>
  <si>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</si>
  <si>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</si>
  <si>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</si>
  <si>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</si>
  <si>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</si>
  <si>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</si>
  <si>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</si>
  <si>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</si>
  <si>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</si>
  <si>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</si>
  <si>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</si>
  <si>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</si>
  <si>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</si>
  <si>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</si>
  <si>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</si>
  <si>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</si>
  <si>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</si>
  <si>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</si>
  <si>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</si>
  <si>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</si>
  <si>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</si>
  <si>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</si>
  <si>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</si>
  <si>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</si>
  <si>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</si>
  <si>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</si>
  <si>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</si>
  <si>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</si>
  <si>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</si>
  <si>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</si>
  <si>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</si>
  <si>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</si>
  <si>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</si>
  <si>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</si>
  <si>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</si>
  <si>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</si>
  <si>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</si>
  <si>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</si>
  <si>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</si>
  <si>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</si>
  <si>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</si>
  <si>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</si>
  <si>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</si>
  <si>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</si>
  <si>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</si>
  <si>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</si>
  <si>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</si>
  <si>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</si>
  <si>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</si>
  <si>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</si>
  <si>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</si>
  <si>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</si>
  <si>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</si>
  <si>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</si>
  <si>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</si>
  <si>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</si>
  <si>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</si>
  <si>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</si>
  <si>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</si>
  <si>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</si>
  <si>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</si>
  <si>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</si>
  <si>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</si>
  <si>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</si>
  <si>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</si>
  <si>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</si>
  <si>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</si>
  <si>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</si>
  <si>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</si>
  <si>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</si>
  <si>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</si>
  <si>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</si>
  <si>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</si>
  <si>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</si>
  <si>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</si>
  <si>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</si>
  <si>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</si>
  <si>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</si>
  <si>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</si>
  <si>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</si>
  <si>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</si>
  <si>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</si>
  <si>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</si>
  <si>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</si>
  <si>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</si>
  <si>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</si>
  <si>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</si>
  <si>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</si>
  <si>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</si>
  <si>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</si>
  <si>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</si>
  <si>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</si>
  <si>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</si>
  <si>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</si>
  <si>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</si>
  <si>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</si>
  <si>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</si>
  <si>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</si>
  <si>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</si>
  <si>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</si>
  <si>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</si>
  <si>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</si>
  <si>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</si>
  <si>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</si>
  <si>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</si>
  <si>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</si>
  <si>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</si>
  <si>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</si>
  <si>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</si>
  <si>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</si>
  <si>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</si>
  <si>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</si>
  <si>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</si>
  <si>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</si>
  <si>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</si>
  <si>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</si>
  <si>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</si>
  <si>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</si>
  <si>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</si>
  <si>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</si>
  <si>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</si>
  <si>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</si>
  <si>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</si>
  <si>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</si>
  <si>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</si>
  <si>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</si>
  <si>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</si>
  <si>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</si>
  <si>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</si>
  <si>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</si>
  <si>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</si>
  <si>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</si>
  <si>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</si>
  <si>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</si>
  <si>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</si>
  <si>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</si>
  <si>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</si>
  <si>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</si>
  <si>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</si>
  <si>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</si>
  <si>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</si>
  <si>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</si>
  <si>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</si>
  <si>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</si>
  <si>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</si>
  <si>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</si>
  <si>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</si>
  <si>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</si>
  <si>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</si>
  <si>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</si>
  <si>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</si>
  <si>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</si>
  <si>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</si>
  <si>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</si>
  <si>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</si>
  <si>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</si>
  <si>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</si>
  <si>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</si>
  <si>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</si>
  <si>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</si>
  <si>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</si>
  <si>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</si>
  <si>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</si>
  <si>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</si>
  <si>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</si>
  <si>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</si>
  <si>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</si>
  <si>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</si>
  <si>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</si>
  <si>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</si>
  <si>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</si>
  <si>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</si>
  <si>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</si>
  <si>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</si>
  <si>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</si>
  <si>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</si>
  <si>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</si>
  <si>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</si>
  <si>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</si>
  <si>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</si>
  <si>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</si>
  <si>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</si>
  <si>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</si>
  <si>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</si>
  <si>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</si>
  <si>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</si>
  <si>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</si>
  <si>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</si>
  <si>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</si>
  <si>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</si>
  <si>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</si>
  <si>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</si>
  <si>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</si>
  <si>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</si>
  <si>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</si>
  <si>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</si>
  <si>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</si>
  <si>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</si>
  <si>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</si>
  <si>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</si>
  <si>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</si>
  <si>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</si>
  <si>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</si>
  <si>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</si>
  <si>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</si>
  <si>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</si>
  <si>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</si>
  <si>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</si>
  <si>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</si>
  <si>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</si>
  <si>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</si>
  <si>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</si>
  <si>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</si>
  <si>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</si>
  <si>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</si>
  <si>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</si>
  <si>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</si>
  <si>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</si>
  <si>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</si>
  <si>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</si>
  <si>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</si>
  <si>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</si>
  <si>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</si>
  <si>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</si>
  <si>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</si>
  <si>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</si>
  <si>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</si>
  <si>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</si>
  <si>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</si>
  <si>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</si>
  <si>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</si>
  <si>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</si>
  <si>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</si>
  <si>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</si>
  <si>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</si>
  <si>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</si>
  <si>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</si>
  <si>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</si>
  <si>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</si>
  <si>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</si>
  <si>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</si>
  <si>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</si>
  <si>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</si>
  <si>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</si>
  <si>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</si>
  <si>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</si>
  <si>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</si>
  <si>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</si>
  <si>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</si>
  <si>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</si>
  <si>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</si>
  <si>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</si>
  <si>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</si>
  <si>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</si>
  <si>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</si>
  <si>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</si>
  <si>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</si>
  <si>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</si>
  <si>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</si>
  <si>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</si>
  <si>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</si>
  <si>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</si>
  <si>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</si>
  <si>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</si>
  <si>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</si>
  <si>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</si>
  <si>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</si>
  <si>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</si>
  <si>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</si>
  <si>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</si>
  <si>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</si>
  <si>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</si>
  <si>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</si>
  <si>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</si>
  <si>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</si>
  <si>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</si>
  <si>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</si>
  <si>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</si>
  <si>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</si>
  <si>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</si>
  <si>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</si>
  <si>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</si>
  <si>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</si>
  <si>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</si>
  <si>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</si>
  <si>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</si>
  <si>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</si>
  <si>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</si>
  <si>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</si>
  <si>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</si>
  <si>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</si>
  <si>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</si>
  <si>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</si>
  <si>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</si>
  <si>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</si>
  <si>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</si>
  <si>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</si>
  <si>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</si>
  <si>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</si>
  <si>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</si>
  <si>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</si>
  <si>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</si>
  <si>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</si>
  <si>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</si>
  <si>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</si>
  <si>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</si>
  <si>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</si>
  <si>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</si>
  <si>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</si>
  <si>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</si>
  <si>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</si>
  <si>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</si>
  <si>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</si>
  <si>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</si>
  <si>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</si>
  <si>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</si>
  <si>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</si>
  <si>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</si>
  <si>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</si>
  <si>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</si>
  <si>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</si>
  <si>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</si>
  <si>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</si>
  <si>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</si>
  <si>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</si>
  <si>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</si>
  <si>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</si>
  <si>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</si>
  <si>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</si>
  <si>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</si>
  <si>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</si>
  <si>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</si>
  <si>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</si>
  <si>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</si>
  <si>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</si>
  <si>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</si>
  <si>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</si>
  <si>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</si>
  <si>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</si>
  <si>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</si>
  <si>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</si>
  <si>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</si>
  <si>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</si>
  <si>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</si>
  <si>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</si>
  <si>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</si>
  <si>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</si>
  <si>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</si>
  <si>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</si>
  <si>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</si>
  <si>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</si>
  <si>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</si>
  <si>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</si>
  <si>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</si>
  <si>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</si>
  <si>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</si>
  <si>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</si>
  <si>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</si>
  <si>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</si>
  <si>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</si>
  <si>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</si>
  <si>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</si>
  <si>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</si>
  <si>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</si>
  <si>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</si>
  <si>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</si>
  <si>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</si>
  <si>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</si>
  <si>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</si>
  <si>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</si>
  <si>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</si>
  <si>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</si>
  <si>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</si>
  <si>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</si>
  <si>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</si>
  <si>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</si>
  <si>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</si>
  <si>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</si>
  <si>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</si>
  <si>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</si>
  <si>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</si>
  <si>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</si>
  <si>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</si>
  <si>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</si>
  <si>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</si>
  <si>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</si>
  <si>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</si>
  <si>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</si>
  <si>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</si>
  <si>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</si>
  <si>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</si>
  <si>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</si>
  <si>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</si>
  <si>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</si>
  <si>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</si>
  <si>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</si>
  <si>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</si>
  <si>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</si>
  <si>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</si>
  <si>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</si>
  <si>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</si>
  <si>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</si>
  <si>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</si>
  <si>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</si>
  <si>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</si>
  <si>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</si>
  <si>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</si>
  <si>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</si>
  <si>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</si>
  <si>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</si>
  <si>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</si>
  <si>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</si>
  <si>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</si>
  <si>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</si>
  <si>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</si>
  <si>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</si>
  <si>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</si>
  <si>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</si>
  <si>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</si>
  <si>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</si>
  <si>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</si>
  <si>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</si>
  <si>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</si>
  <si>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</si>
  <si>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</si>
  <si>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</si>
  <si>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</si>
  <si>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</si>
  <si>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</si>
  <si>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</si>
  <si>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</si>
  <si>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</si>
  <si>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</si>
  <si>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</si>
  <si>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</si>
  <si>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</si>
  <si>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</si>
  <si>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</si>
  <si>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</si>
  <si>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</si>
  <si>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</si>
  <si>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</si>
  <si>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</si>
  <si>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</si>
  <si>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</si>
  <si>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</si>
  <si>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</si>
  <si>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</si>
  <si>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</si>
  <si>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</si>
  <si>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</si>
  <si>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</si>
  <si>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</si>
  <si>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</si>
  <si>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</si>
  <si>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</si>
  <si>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</si>
  <si>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</si>
  <si>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</si>
  <si>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</si>
  <si>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</si>
  <si>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</si>
  <si>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</si>
  <si>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</si>
  <si>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</si>
  <si>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</si>
  <si>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</si>
  <si>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</si>
  <si>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</si>
  <si>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</si>
  <si>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</si>
  <si>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</si>
  <si>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</si>
  <si>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</si>
  <si>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</si>
  <si>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</si>
  <si>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</si>
  <si>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</si>
  <si>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</si>
  <si>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</si>
  <si>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</si>
  <si>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</si>
  <si>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</si>
  <si>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</si>
  <si>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</si>
  <si>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</si>
  <si>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</si>
  <si>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</si>
  <si>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</si>
  <si>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</si>
  <si>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</si>
  <si>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</si>
  <si>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</si>
  <si>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</si>
  <si>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</si>
  <si>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</si>
  <si>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</si>
  <si>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</si>
  <si>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</si>
  <si>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</si>
  <si>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</si>
  <si>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</si>
  <si>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</si>
  <si>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</si>
  <si>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</si>
  <si>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</si>
  <si>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</si>
  <si>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</si>
  <si>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</si>
  <si>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</si>
  <si>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</si>
  <si>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</si>
  <si>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</si>
  <si>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</si>
  <si>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</si>
  <si>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</si>
  <si>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</si>
  <si>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</si>
  <si>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</si>
  <si>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</si>
  <si>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</si>
  <si>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</si>
  <si>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</si>
  <si>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</si>
  <si>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</si>
  <si>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</si>
  <si>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</si>
  <si>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</si>
  <si>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</si>
  <si>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</si>
  <si>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</si>
  <si>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</si>
  <si>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</si>
  <si>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</si>
  <si>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</si>
  <si>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</si>
  <si>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</si>
  <si>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</si>
  <si>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</si>
  <si>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</si>
  <si>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</si>
  <si>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</si>
  <si>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</si>
  <si>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</si>
  <si>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</si>
  <si>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</si>
  <si>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</si>
  <si>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</si>
  <si>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</si>
  <si>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</si>
  <si>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</si>
  <si>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</si>
  <si>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</si>
  <si>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</si>
  <si>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</si>
  <si>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</si>
  <si>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</si>
  <si>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</si>
  <si>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</si>
  <si>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</si>
  <si>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</si>
  <si>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</si>
  <si>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</si>
  <si>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</si>
  <si>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</si>
  <si>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</si>
  <si>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</si>
  <si>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</si>
  <si>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</si>
  <si>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</si>
  <si>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</si>
  <si>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</si>
  <si>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</si>
  <si>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</si>
  <si>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</si>
  <si>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</si>
  <si>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</si>
  <si>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</si>
  <si>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</si>
  <si>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</si>
  <si>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</si>
  <si>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</si>
  <si>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</si>
  <si>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</si>
  <si>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</si>
  <si>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</si>
  <si>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</si>
  <si>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</si>
  <si>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</si>
  <si>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</si>
  <si>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</si>
  <si>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</si>
  <si>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</si>
  <si>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</si>
  <si>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</si>
  <si>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</si>
  <si>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</si>
  <si>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</si>
  <si>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</si>
  <si>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</si>
  <si>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</si>
  <si>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</si>
  <si>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</si>
  <si>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</si>
  <si>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</si>
  <si>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</si>
  <si>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</si>
  <si>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</si>
  <si>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</si>
  <si>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</si>
  <si>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</si>
  <si>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</si>
  <si>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</si>
  <si>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</si>
  <si>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</si>
  <si>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</si>
  <si>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</si>
  <si>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</si>
  <si>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</si>
  <si>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</si>
  <si>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</si>
  <si>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</si>
  <si>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</si>
  <si>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</si>
  <si>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</si>
  <si>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</si>
  <si>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</si>
  <si>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</si>
  <si>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</si>
  <si>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</si>
  <si>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</si>
  <si>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</si>
  <si>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</si>
  <si>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</si>
  <si>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</si>
  <si>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</si>
  <si>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</si>
  <si>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</si>
  <si>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</si>
  <si>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</si>
  <si>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</si>
  <si>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</si>
  <si>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</si>
  <si>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</si>
  <si>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</si>
  <si>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</si>
  <si>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</si>
  <si>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</si>
  <si>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</si>
  <si>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</si>
  <si>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</si>
  <si>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</si>
  <si>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</si>
  <si>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</si>
  <si>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</si>
  <si>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</si>
  <si>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</si>
  <si>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</si>
  <si>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</si>
  <si>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</si>
  <si>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</si>
  <si>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</si>
  <si>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</si>
  <si>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</si>
  <si>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</si>
  <si>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</si>
  <si>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</si>
  <si>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</si>
  <si>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</si>
  <si>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</si>
  <si>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</si>
  <si>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</si>
  <si>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</si>
  <si>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</si>
  <si>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</si>
  <si>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</si>
  <si>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</si>
  <si>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</si>
  <si>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</si>
  <si>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</si>
  <si>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</si>
  <si>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</si>
  <si>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</si>
  <si>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</si>
  <si>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</si>
  <si>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</si>
  <si>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</si>
  <si>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</si>
  <si>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</si>
  <si>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</si>
  <si>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</si>
  <si>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</si>
  <si>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</si>
  <si>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</si>
  <si>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</si>
  <si>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</si>
  <si>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</si>
  <si>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</si>
  <si>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</si>
  <si>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</si>
  <si>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</si>
  <si>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</si>
  <si>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</si>
  <si>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</si>
  <si>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</si>
  <si>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</si>
  <si>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</si>
  <si>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</si>
  <si>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</si>
  <si>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</si>
  <si>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</si>
  <si>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</si>
  <si>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</si>
  <si>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</si>
  <si>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</si>
  <si>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</si>
  <si>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</si>
  <si>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</si>
  <si>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</si>
  <si>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</si>
  <si>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</si>
  <si>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</si>
  <si>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</si>
  <si>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</si>
  <si>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</si>
  <si>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</si>
  <si>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</si>
  <si>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</si>
  <si>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</si>
  <si>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</si>
  <si>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</si>
  <si>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</si>
  <si>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</si>
  <si>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</si>
  <si>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</si>
  <si>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</si>
  <si>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</si>
  <si>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</si>
  <si>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</si>
  <si>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</si>
  <si>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</si>
  <si>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</si>
  <si>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</si>
  <si>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</si>
  <si>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</si>
  <si>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</si>
  <si>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</si>
  <si>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</si>
  <si>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</si>
  <si>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</si>
  <si>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</si>
  <si>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</si>
  <si>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</si>
  <si>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</si>
  <si>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</si>
  <si>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</si>
  <si>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</si>
  <si>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</si>
  <si>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</si>
  <si>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</si>
  <si>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</si>
  <si>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</si>
  <si>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</si>
  <si>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</si>
  <si>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</si>
  <si>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</si>
  <si>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</si>
  <si>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</si>
  <si>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</si>
  <si>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</si>
  <si>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</si>
  <si>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</si>
  <si>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</si>
  <si>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</si>
  <si>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</si>
  <si>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</si>
  <si>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</si>
  <si>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</si>
  <si>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</si>
  <si>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</si>
  <si>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</si>
  <si>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</si>
  <si>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</si>
  <si>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</si>
  <si>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</si>
  <si>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</si>
  <si>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</si>
  <si>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</si>
  <si>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</si>
  <si>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</si>
  <si>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</si>
  <si>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</si>
  <si>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</si>
  <si>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</si>
  <si>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</si>
  <si>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</si>
  <si>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</si>
  <si>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</si>
  <si>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</si>
  <si>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</si>
  <si>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</si>
  <si>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</si>
  <si>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</si>
  <si>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</si>
  <si>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</si>
  <si>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</si>
  <si>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</si>
  <si>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</si>
  <si>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</si>
  <si>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</si>
  <si>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</si>
  <si>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</si>
  <si>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</si>
  <si>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</si>
  <si>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</si>
  <si>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</si>
  <si>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</si>
  <si>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</si>
  <si>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</si>
  <si>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</si>
  <si>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</si>
  <si>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</si>
  <si>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</si>
  <si>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</si>
  <si>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</si>
  <si>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</si>
  <si>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</si>
  <si>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</si>
  <si>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</si>
  <si>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</si>
  <si>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</si>
  <si>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</si>
  <si>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</si>
  <si>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</si>
  <si>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</si>
  <si>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</si>
  <si>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</si>
  <si>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</si>
  <si>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</si>
  <si>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</si>
  <si>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</si>
  <si>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</si>
  <si>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</si>
  <si>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</si>
  <si>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</si>
  <si>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</si>
  <si>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</si>
  <si>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</si>
  <si>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</si>
  <si>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</si>
  <si>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</si>
  <si>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</si>
  <si>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</si>
  <si>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</si>
  <si>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</si>
  <si>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</si>
  <si>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</si>
  <si>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</si>
  <si>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</si>
  <si>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</si>
  <si>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</si>
  <si>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</si>
  <si>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</si>
  <si>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</si>
  <si>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</si>
  <si>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</si>
  <si>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</si>
  <si>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</si>
  <si>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</si>
  <si>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</si>
  <si>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</si>
  <si>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</si>
  <si>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</si>
  <si>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</si>
  <si>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</si>
  <si>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</si>
  <si>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</si>
  <si>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</si>
  <si>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</si>
  <si>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</si>
  <si>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</si>
  <si>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</si>
  <si>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</si>
  <si>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</si>
  <si>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</si>
  <si>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</si>
  <si>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</si>
  <si>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</si>
  <si>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</si>
  <si>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</si>
  <si>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</si>
  <si>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</si>
  <si>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</si>
  <si>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</si>
  <si>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</si>
  <si>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</si>
  <si>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</si>
  <si>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</si>
  <si>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</si>
  <si>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</si>
  <si>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</si>
  <si>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</si>
  <si>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</si>
  <si>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</si>
  <si>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</si>
  <si>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</si>
  <si>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</si>
  <si>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</si>
  <si>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</si>
  <si>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</si>
  <si>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</si>
  <si>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</si>
  <si>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</si>
  <si>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</si>
  <si>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</si>
  <si>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</si>
  <si>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</si>
  <si>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</si>
  <si>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</si>
  <si>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</si>
  <si>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</si>
  <si>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</si>
  <si>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</si>
  <si>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</si>
  <si>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</si>
  <si>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</si>
  <si>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</si>
  <si>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</si>
  <si>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</si>
  <si>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</si>
  <si>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</si>
  <si>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</si>
  <si>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</si>
  <si>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</si>
  <si>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</si>
  <si>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</si>
  <si>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</si>
  <si>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</si>
  <si>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</si>
  <si>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</si>
  <si>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</si>
  <si>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</si>
  <si>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</si>
  <si>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</si>
  <si>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</si>
  <si>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</si>
  <si>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</si>
  <si>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</si>
  <si>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</si>
  <si>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</si>
  <si>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</si>
  <si>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</si>
  <si>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</si>
  <si>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</si>
  <si>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</si>
  <si>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</si>
  <si>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</si>
  <si>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</si>
  <si>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</si>
  <si>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</si>
  <si>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</si>
  <si>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</si>
  <si>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</si>
  <si>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</si>
  <si>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</si>
  <si>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</si>
  <si>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</si>
  <si>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</si>
  <si>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</si>
  <si>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</si>
  <si>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</si>
  <si>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</si>
  <si>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</si>
  <si>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</si>
  <si>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</si>
  <si>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</si>
  <si>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</si>
  <si>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</si>
  <si>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</si>
  <si>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</si>
  <si>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</si>
  <si>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</si>
  <si>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</si>
  <si>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</si>
  <si>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</si>
  <si>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</si>
  <si>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</si>
  <si>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</si>
  <si>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</si>
  <si>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</si>
  <si>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</si>
  <si>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</si>
  <si>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</si>
  <si>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</si>
  <si>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</si>
  <si>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</si>
  <si>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</si>
  <si>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</si>
  <si>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</si>
  <si>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</si>
  <si>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</si>
  <si>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</si>
  <si>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</si>
  <si>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</si>
  <si>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</si>
  <si>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</si>
  <si>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</si>
  <si>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</si>
  <si>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</si>
  <si>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</si>
  <si>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</si>
  <si>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</si>
  <si>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</si>
  <si>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</si>
  <si>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</si>
  <si>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</si>
  <si>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</si>
  <si>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</si>
  <si>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</si>
  <si>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</si>
  <si>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</si>
  <si>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</si>
  <si>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</si>
  <si>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</si>
  <si>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</si>
  <si>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</si>
  <si>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</si>
  <si>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</si>
  <si>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</si>
  <si>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</si>
  <si>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</si>
  <si>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</si>
  <si>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</si>
  <si>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</si>
  <si>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</si>
  <si>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</si>
  <si>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</si>
  <si>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</si>
  <si>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</si>
  <si>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</si>
  <si>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</si>
  <si>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</si>
  <si>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</si>
  <si>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</si>
  <si>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</si>
  <si>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</si>
  <si>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</si>
  <si>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</si>
  <si>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</si>
  <si>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</si>
  <si>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</si>
  <si>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</si>
  <si>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</si>
  <si>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</si>
  <si>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</si>
  <si>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</si>
  <si>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</si>
  <si>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</si>
  <si>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</si>
  <si>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</si>
  <si>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</si>
  <si>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</si>
  <si>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</si>
  <si>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</si>
  <si>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</si>
  <si>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</si>
  <si>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</si>
  <si>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</si>
  <si>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</si>
  <si>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</si>
  <si>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</si>
  <si>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</si>
  <si>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</si>
  <si>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</si>
  <si>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</si>
  <si>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</si>
  <si>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</si>
  <si>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</si>
  <si>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</si>
  <si>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</si>
  <si>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</si>
  <si>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</si>
  <si>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</si>
  <si>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</si>
  <si>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</si>
  <si>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</si>
  <si>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</si>
  <si>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</si>
  <si>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</si>
  <si>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</si>
  <si>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</si>
  <si>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</si>
  <si>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</si>
  <si>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商业</t>
    <phoneticPr fontId="30" type="noConversion"/>
  </si>
  <si>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</si>
  <si>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</si>
  <si>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</si>
  <si>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</si>
  <si>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</si>
  <si>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</si>
  <si>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</si>
  <si>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</si>
  <si>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</si>
  <si>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</si>
  <si>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</si>
  <si>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</si>
  <si>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</si>
  <si>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</si>
  <si>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</si>
  <si>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</si>
  <si>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</si>
  <si>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</si>
  <si>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</si>
  <si>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</si>
  <si>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</si>
  <si>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</si>
  <si>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</si>
  <si>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</si>
  <si>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</si>
  <si>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</si>
  <si>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</si>
  <si>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</si>
  <si>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</si>
  <si>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</si>
  <si>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</si>
  <si>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</si>
  <si>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</si>
  <si>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</si>
  <si>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</si>
  <si>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</si>
  <si>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</si>
  <si>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</si>
  <si>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</si>
  <si>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</si>
  <si>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</si>
  <si>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馆</t>
    </r>
    <phoneticPr fontId="3" type="noConversion"/>
  </si>
  <si>
    <t>地上商业</t>
    <phoneticPr fontId="134" type="noConversion"/>
  </si>
  <si>
    <t>单价</t>
    <phoneticPr fontId="134" type="noConversion"/>
  </si>
  <si>
    <t>面积</t>
    <phoneticPr fontId="134" type="noConversion"/>
  </si>
  <si>
    <t>总价</t>
    <phoneticPr fontId="134" type="noConversion"/>
  </si>
  <si>
    <t>A馆面积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</si>
</sst>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21" borderId="1" xfId="0" applyFont="1" applyFill="1" applyBorder="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16" borderId="5"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 xmlns:a16="http://schemas.microsoft.com/office/drawing/2014/main"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 xmlns:a16="http://schemas.microsoft.com/office/drawing/2014/main"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 xmlns:a16="http://schemas.microsoft.com/office/drawing/2014/main"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27;&#34920;-B&#39302;2&#21495;&#27004;&#21450;100&#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商业综合体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2">
          <cell r="A72" t="str">
            <v>交易情况</v>
          </cell>
          <cell r="C72" t="str">
            <v>正常</v>
          </cell>
        </row>
        <row r="74">
          <cell r="B74" t="str">
            <v>用途</v>
          </cell>
          <cell r="C74" t="str">
            <v>B4</v>
          </cell>
          <cell r="D74" t="str">
            <v>F3</v>
          </cell>
          <cell r="E74" t="str">
            <v>B14旅馆</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cell r="C107" t="str">
            <v>五级</v>
          </cell>
          <cell r="D107" t="str">
            <v>六级</v>
          </cell>
          <cell r="E107" t="str">
            <v>七级</v>
          </cell>
        </row>
        <row r="118">
          <cell r="B118" t="str">
            <v>宗地形状</v>
          </cell>
          <cell r="C118" t="str">
            <v>规则</v>
          </cell>
          <cell r="D118" t="str">
            <v>较规则</v>
          </cell>
          <cell r="E118" t="str">
            <v>较不规则</v>
          </cell>
          <cell r="F118" t="str">
            <v>不规则</v>
          </cell>
        </row>
        <row r="120">
          <cell r="B120" t="str">
            <v>临街宽度及深度</v>
          </cell>
          <cell r="C120" t="str">
            <v>较合适</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较好</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row>
        <row r="100">
          <cell r="B100" t="str">
            <v>商业类型</v>
          </cell>
          <cell r="C100" t="str">
            <v>商业综合体</v>
          </cell>
          <cell r="D100" t="str">
            <v>商业街</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出租率及营业额"/>
      <sheetName val="数据-取费表"/>
      <sheetName val="估价对象房地状况"/>
      <sheetName val="系统读取表"/>
      <sheetName val="拆分结果"/>
      <sheetName val="结果表"/>
      <sheetName val="成本法"/>
      <sheetName val="成本法 (元)"/>
      <sheetName val="假设开发法"/>
      <sheetName val="土地比较法-住宅、综合"/>
      <sheetName val="土地案例"/>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B56">
            <v>13512</v>
          </cell>
        </row>
        <row r="57">
          <cell r="B57">
            <v>2027</v>
          </cell>
        </row>
        <row r="63">
          <cell r="B63">
            <v>507</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估价对象为北京市房地产，为所有。根据《国有土地使用证》[]，估价对象（分摊）出让国有建设用地使用权面积为15742.02平方米，建筑面积为68049.78平方米。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估价对象为北京市房地产,属开发建设的商业项目，该项目尚在开发建设中。根据《国有土地使用证》[]，估价对象（分摊）出让国有建设用地使用权面积为15742.02平方米，规划建筑面积为68049.78平方米。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2024年11月8日（评估专业人员实地查勘之日）</v>
      </c>
    </row>
    <row r="13" spans="1:2">
      <c r="A13" s="1118" t="s">
        <v>529</v>
      </c>
      <c r="B13" s="1119"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127561</v>
      </c>
    </row>
    <row r="21" spans="1:2">
      <c r="A21" s="1118" t="s">
        <v>537</v>
      </c>
      <c r="B21" s="1119">
        <f ca="1">'预评函-2'!D7</f>
        <v>18745</v>
      </c>
    </row>
    <row r="22" spans="1:2">
      <c r="A22" s="1118" t="s">
        <v>538</v>
      </c>
      <c r="B22" s="1119" t="str">
        <f ca="1">'预评函-2'!D6</f>
        <v>壹拾贰亿柒仟伍佰陆拾壹万元整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127561</v>
      </c>
    </row>
    <row r="31" spans="1:2">
      <c r="A31" s="1118" t="s">
        <v>576</v>
      </c>
      <c r="B31" s="1119">
        <f ca="1">'预评函-2'!D15</f>
        <v>18745</v>
      </c>
    </row>
    <row r="32" spans="1:2">
      <c r="A32" s="1118" t="s">
        <v>543</v>
      </c>
      <c r="B32" s="1119" t="str">
        <f ca="1">'预评函-2'!D14</f>
        <v>壹拾贰亿柒仟伍佰陆拾壹万元整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68049.77999999997</v>
      </c>
    </row>
    <row r="44" spans="1:2">
      <c r="A44" s="1118" t="s">
        <v>575</v>
      </c>
      <c r="B44" s="1119" t="str">
        <f>'预评函-3'!C2</f>
        <v>(分摊)土地面积</v>
      </c>
    </row>
    <row r="45" spans="1:2">
      <c r="A45" s="1118" t="s">
        <v>547</v>
      </c>
      <c r="B45" s="1119">
        <f>'预评函-3'!C4</f>
        <v>15742.02</v>
      </c>
    </row>
    <row r="46" spans="1:2">
      <c r="A46" s="1118" t="s">
        <v>573</v>
      </c>
      <c r="B46" s="1119" t="str">
        <f>'预评函-3'!D2</f>
        <v>出让国有建设用地使用权价值</v>
      </c>
    </row>
    <row r="47" spans="1:2">
      <c r="A47" s="1118" t="s">
        <v>548</v>
      </c>
      <c r="B47" s="1119">
        <f ca="1">'预评函-3'!D4</f>
        <v>82149</v>
      </c>
    </row>
    <row r="48" spans="1:2">
      <c r="A48" s="1118" t="s">
        <v>549</v>
      </c>
      <c r="B48" s="1119">
        <f ca="1">'预评函-3'!E4</f>
        <v>12072</v>
      </c>
    </row>
    <row r="49" spans="1:2">
      <c r="A49" s="1118" t="s">
        <v>550</v>
      </c>
      <c r="B49" s="1119" t="str">
        <f ca="1">'预评函-3'!D5</f>
        <v>捌亿贰仟壹佰肆拾玖万元整</v>
      </c>
    </row>
    <row r="50" spans="1:2">
      <c r="A50" s="1118" t="s">
        <v>574</v>
      </c>
      <c r="B50" s="1119" t="str">
        <f>'预评函-3'!F2</f>
        <v>建筑物价值</v>
      </c>
    </row>
    <row r="51" spans="1:2">
      <c r="A51" s="1118" t="s">
        <v>551</v>
      </c>
      <c r="B51" s="1119">
        <f ca="1">'预评函-3'!F4</f>
        <v>45412</v>
      </c>
    </row>
    <row r="52" spans="1:2">
      <c r="A52" s="1118" t="s">
        <v>552</v>
      </c>
      <c r="B52" s="1119">
        <f ca="1">'预评函-3'!G4</f>
        <v>6673</v>
      </c>
    </row>
    <row r="53" spans="1:2">
      <c r="A53" s="1118" t="s">
        <v>580</v>
      </c>
      <c r="B53" s="1119" t="str">
        <f ca="1">'预评函-3'!F5</f>
        <v>肆亿伍仟肆佰壹拾贰万元整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3348</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3334</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3335</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3336</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3337</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3338</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3339</v>
      </c>
    </row>
    <row r="8" spans="1:23">
      <c r="A8" s="1440" t="s">
        <v>1025</v>
      </c>
      <c r="B8" s="1440" t="s">
        <v>1026</v>
      </c>
      <c r="C8" s="1441" t="s">
        <v>319</v>
      </c>
      <c r="F8" s="1442" t="s">
        <v>1027</v>
      </c>
      <c r="H8" s="1442" t="s">
        <v>2574</v>
      </c>
      <c r="I8" s="1442" t="s">
        <v>3340</v>
      </c>
    </row>
    <row r="9" spans="1:23">
      <c r="A9" s="1440" t="s">
        <v>1028</v>
      </c>
      <c r="B9" s="1440" t="s">
        <v>1029</v>
      </c>
      <c r="C9" s="1441" t="s">
        <v>320</v>
      </c>
      <c r="F9" s="1442" t="s">
        <v>1030</v>
      </c>
      <c r="H9" s="1442"/>
      <c r="I9" s="1444" t="s">
        <v>3341</v>
      </c>
    </row>
    <row r="10" spans="1:23">
      <c r="A10" s="1440" t="s">
        <v>1031</v>
      </c>
      <c r="B10" s="1440" t="s">
        <v>1032</v>
      </c>
      <c r="C10" s="1441" t="s">
        <v>321</v>
      </c>
      <c r="F10" s="1442" t="s">
        <v>2575</v>
      </c>
      <c r="I10" s="1444" t="s">
        <v>3342</v>
      </c>
    </row>
    <row r="11" spans="1:23">
      <c r="A11" s="1440" t="s">
        <v>1033</v>
      </c>
      <c r="B11" s="1440" t="s">
        <v>1034</v>
      </c>
      <c r="C11" s="1441" t="s">
        <v>322</v>
      </c>
      <c r="F11" s="1442" t="s">
        <v>13</v>
      </c>
      <c r="I11" s="1444" t="s">
        <v>3343</v>
      </c>
    </row>
    <row r="12" spans="1:23">
      <c r="A12" s="1440" t="s">
        <v>1035</v>
      </c>
      <c r="B12" s="1440" t="s">
        <v>1036</v>
      </c>
      <c r="C12" s="1441" t="s">
        <v>323</v>
      </c>
      <c r="I12" s="1444" t="s">
        <v>3344</v>
      </c>
    </row>
    <row r="13" spans="1:23">
      <c r="A13" s="1440" t="s">
        <v>1037</v>
      </c>
      <c r="B13" s="1440" t="s">
        <v>1038</v>
      </c>
      <c r="C13" s="1441" t="s">
        <v>324</v>
      </c>
      <c r="I13" s="1444" t="s">
        <v>3345</v>
      </c>
    </row>
    <row r="14" spans="1:23">
      <c r="A14" s="1440" t="s">
        <v>1039</v>
      </c>
      <c r="B14" s="1440" t="s">
        <v>1040</v>
      </c>
      <c r="C14" s="1442" t="s">
        <v>13</v>
      </c>
      <c r="I14" s="1444" t="s">
        <v>3346</v>
      </c>
    </row>
    <row r="15" spans="1:23">
      <c r="A15" s="1440" t="s">
        <v>1041</v>
      </c>
      <c r="B15" s="1440" t="s">
        <v>1042</v>
      </c>
      <c r="C15" s="1441"/>
      <c r="I15" s="1444" t="s">
        <v>3347</v>
      </c>
    </row>
    <row r="16" spans="1:23">
      <c r="A16" s="1440" t="s">
        <v>1043</v>
      </c>
      <c r="B16" s="1440" t="s">
        <v>312</v>
      </c>
      <c r="C16" s="1441"/>
    </row>
    <row r="17" spans="1:3">
      <c r="A17" s="1440" t="s">
        <v>1044</v>
      </c>
      <c r="B17" s="1440" t="s">
        <v>2288</v>
      </c>
      <c r="C17" s="1441"/>
    </row>
    <row r="18" spans="1:3">
      <c r="A18" s="1440" t="s">
        <v>1045</v>
      </c>
      <c r="B18" s="1440" t="s">
        <v>2430</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220" t="s">
        <v>2577</v>
      </c>
      <c r="J2" s="3220"/>
      <c r="K2" s="3220"/>
      <c r="L2" s="3220"/>
      <c r="M2" s="3220"/>
      <c r="N2" s="3220"/>
      <c r="O2" s="3220"/>
      <c r="P2" s="3220"/>
      <c r="Q2" s="3220"/>
      <c r="R2" s="3220"/>
    </row>
    <row r="3" spans="1:18">
      <c r="A3" s="2762" t="s">
        <v>2498</v>
      </c>
      <c r="B3" s="2763">
        <f>项目基本情况!D3</f>
        <v>45604</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2.11</v>
      </c>
      <c r="D5" s="2767">
        <f>IF(ISERROR(ROUND(POWER(1+E5,A5-C5)*(POWER(1+E5,C5)-1)/(POWER(1+E5,A5)-1),3)),0,ROUND(POWER(1+E5,A5-C5)*(POWER(1+E5,C5)-1)/(POWER(1+E5,A5)-1),4))</f>
        <v>0.1003</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12.12</v>
      </c>
      <c r="D6" s="2767">
        <f>IF(ISERROR(ROUND(POWER(1+E6,A6-C6)*(POWER(1+E6,C6)-1)/(POWER(1+E6,A6)-1),3)),0,ROUND(POWER(1+E6,A6-C6)*(POWER(1+E6,C6)-1)/(POWER(1+E6,A6)-1),4))</f>
        <v>0.44030000000000002</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32.130000000000003</v>
      </c>
      <c r="D7" s="2767">
        <f>IF(ISERROR(ROUND(POWER(1+E7,A7-C7)*(POWER(1+E7,C7)-1)/(POWER(1+E7,A7)-1),3)),0,ROUND(POWER(1+E7,A7-C7)*(POWER(1+E7,C7)-1)/(POWER(1+E7,A7)-1),4))</f>
        <v>0.76559999999999995</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30" sqref="F30"/>
    </sheetView>
  </sheetViews>
  <sheetFormatPr defaultColWidth="10" defaultRowHeight="12.75"/>
  <cols>
    <col min="1" max="1" width="16.875" style="1617" customWidth="1"/>
    <col min="2" max="2" width="10" style="1617" customWidth="1"/>
    <col min="3" max="4" width="11.5" style="1617" customWidth="1"/>
    <col min="5" max="5" width="12.625" style="1617" customWidth="1"/>
    <col min="6" max="6" width="11.625"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2163</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2164</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2165</v>
      </c>
      <c r="B3" s="2184">
        <v>45604</v>
      </c>
      <c r="C3" s="2185" t="s">
        <v>2166</v>
      </c>
      <c r="D3" s="2184">
        <f>B3</f>
        <v>45604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2167</v>
      </c>
      <c r="B4" s="2186" t="s">
        <v>3385</v>
      </c>
      <c r="C4" s="2187">
        <f ca="1">SUMIF(注册房地产估价师,B4,估价师及机构信息!B3:B24)</f>
        <v>1419970001</v>
      </c>
      <c r="D4" s="2186" t="s">
        <v>3386</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2168</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2169</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2170</v>
      </c>
      <c r="B7" s="2197"/>
      <c r="C7" s="2195"/>
      <c r="D7" s="2196"/>
      <c r="E7" s="2440"/>
      <c r="F7" s="2441"/>
      <c r="G7" s="2441"/>
      <c r="H7" s="2441"/>
      <c r="I7" s="2441"/>
      <c r="J7" s="2244"/>
      <c r="K7" s="2401"/>
      <c r="L7" s="2398"/>
      <c r="M7" s="2398"/>
      <c r="N7" s="2244"/>
      <c r="O7" s="1669"/>
      <c r="P7" s="2244"/>
      <c r="Q7" s="2244"/>
      <c r="R7" s="2244"/>
    </row>
    <row r="8" spans="1:30">
      <c r="A8" s="2198" t="s">
        <v>2171</v>
      </c>
      <c r="B8" s="2199" t="s">
        <v>3387</v>
      </c>
      <c r="C8" s="2200"/>
      <c r="D8" s="3224" t="s">
        <v>2172</v>
      </c>
      <c r="E8" s="2201" t="s">
        <v>3388</v>
      </c>
      <c r="F8" s="2202"/>
      <c r="G8" s="2441"/>
      <c r="H8" s="2441"/>
      <c r="I8" s="2441"/>
      <c r="J8" s="2244"/>
      <c r="K8" s="2399"/>
      <c r="L8" s="2398"/>
      <c r="M8" s="2398"/>
      <c r="N8" s="2244"/>
      <c r="O8" s="1669"/>
      <c r="P8" s="2244"/>
      <c r="Q8" s="2244"/>
      <c r="R8" s="2244"/>
    </row>
    <row r="9" spans="1:30" ht="13.5" thickBot="1">
      <c r="A9" s="2203" t="s">
        <v>2173</v>
      </c>
      <c r="B9" s="2204" t="s">
        <v>3388</v>
      </c>
      <c r="C9" s="2205"/>
      <c r="D9" s="3225"/>
      <c r="E9" s="2204"/>
      <c r="F9" s="2206"/>
      <c r="G9" s="2442"/>
      <c r="H9" s="2442"/>
      <c r="I9" s="2442"/>
      <c r="J9" s="2244"/>
      <c r="K9" s="2401"/>
      <c r="L9" s="2398"/>
      <c r="M9" s="2398"/>
      <c r="N9" s="2244"/>
      <c r="O9" s="1669"/>
      <c r="P9" s="2244"/>
      <c r="Q9" s="2244"/>
      <c r="R9" s="2244"/>
    </row>
    <row r="10" spans="1:30" ht="13.5" thickTop="1">
      <c r="A10" s="2207" t="s">
        <v>2174</v>
      </c>
      <c r="B10" s="2208" t="s">
        <v>3389</v>
      </c>
      <c r="C10" s="2209"/>
      <c r="D10" s="2192"/>
      <c r="E10" s="2210" t="s">
        <v>2175</v>
      </c>
      <c r="F10" s="2443"/>
      <c r="G10" s="2444"/>
      <c r="H10" s="2445"/>
      <c r="I10" s="2446"/>
      <c r="J10" s="2244"/>
      <c r="K10" s="2401"/>
      <c r="L10" s="2398"/>
      <c r="M10" s="2398"/>
      <c r="N10" s="2244"/>
      <c r="O10" s="1669"/>
      <c r="P10" s="2244"/>
      <c r="Q10" s="2244"/>
      <c r="R10" s="2244"/>
    </row>
    <row r="11" spans="1:30">
      <c r="A11" s="2211" t="s">
        <v>2176</v>
      </c>
      <c r="B11" s="2212" t="s">
        <v>3390</v>
      </c>
      <c r="C11" s="2213"/>
      <c r="D11" s="2214"/>
      <c r="E11" s="2181"/>
      <c r="F11" s="2181"/>
      <c r="G11" s="2181"/>
      <c r="H11" s="2181"/>
      <c r="I11" s="2181"/>
      <c r="J11" s="2801"/>
      <c r="K11" s="2398"/>
      <c r="L11" s="2398"/>
      <c r="M11" s="2398"/>
      <c r="N11" s="2244"/>
      <c r="O11" s="1669"/>
      <c r="P11" s="2244"/>
      <c r="Q11" s="2244"/>
      <c r="R11" s="2244"/>
    </row>
    <row r="12" spans="1:30">
      <c r="A12" s="2215" t="s">
        <v>2177</v>
      </c>
      <c r="B12" s="315" t="s">
        <v>2178</v>
      </c>
      <c r="C12" s="2216" t="s">
        <v>2179</v>
      </c>
      <c r="D12" s="2216" t="s">
        <v>2180</v>
      </c>
      <c r="E12" s="2216" t="s">
        <v>2181</v>
      </c>
      <c r="F12" s="2216" t="s">
        <v>2182</v>
      </c>
      <c r="G12" s="2216" t="s">
        <v>2183</v>
      </c>
      <c r="H12" s="2216" t="s">
        <v>2184</v>
      </c>
      <c r="I12" s="2800" t="s">
        <v>2573</v>
      </c>
      <c r="J12" s="2802"/>
      <c r="K12" s="2398"/>
      <c r="L12" s="2398"/>
      <c r="M12" s="2244"/>
      <c r="N12" s="1669"/>
      <c r="O12" s="2244"/>
      <c r="P12" s="2244"/>
      <c r="Q12" s="2244"/>
      <c r="AD12" s="1617"/>
    </row>
    <row r="13" spans="1:30">
      <c r="A13" s="3121" t="s">
        <v>3329</v>
      </c>
      <c r="B13" s="2217" t="s">
        <v>2185</v>
      </c>
      <c r="C13" s="803"/>
      <c r="D13" s="803">
        <v>57339</v>
      </c>
      <c r="E13" s="803"/>
      <c r="F13" s="803">
        <v>60991</v>
      </c>
      <c r="G13" s="803"/>
      <c r="H13" s="803"/>
      <c r="I13" s="803"/>
      <c r="J13" s="2802"/>
      <c r="K13" s="2398"/>
      <c r="L13" s="2398"/>
      <c r="M13" s="2244"/>
      <c r="N13" s="1669"/>
      <c r="O13" s="2244"/>
      <c r="P13" s="2244"/>
      <c r="Q13" s="2244"/>
      <c r="AD13" s="1617"/>
    </row>
    <row r="14" spans="1:30">
      <c r="A14" s="1018"/>
      <c r="B14" s="2217" t="s">
        <v>2186</v>
      </c>
      <c r="C14" s="2218"/>
      <c r="D14" s="2218">
        <v>40</v>
      </c>
      <c r="E14" s="2218"/>
      <c r="F14" s="2218">
        <v>50</v>
      </c>
      <c r="G14" s="2218"/>
      <c r="H14" s="2218"/>
      <c r="I14" s="2218"/>
      <c r="J14" s="2803"/>
      <c r="K14" s="2398"/>
      <c r="L14" s="2398"/>
      <c r="M14" s="2244"/>
      <c r="N14" s="1669"/>
      <c r="O14" s="2244"/>
      <c r="P14" s="2244"/>
      <c r="Q14" s="2244"/>
      <c r="AD14" s="1617"/>
    </row>
    <row r="15" spans="1:30">
      <c r="A15" s="312"/>
      <c r="B15" s="2219" t="s">
        <v>2187</v>
      </c>
      <c r="C15" s="2220" t="str">
        <f>IF(A13="出让",IF(C13="","",ROUNDDOWN(MIN((C13-$D$3)/365,C14),2)),C14)</f>
        <v/>
      </c>
      <c r="D15" s="2220">
        <f>IF(A13="出让",IF(D13="","",ROUNDDOWN(MIN((D13-$D$3)/365,D14),2)),D14)</f>
        <v>32.15</v>
      </c>
      <c r="E15" s="2220" t="str">
        <f>IF(A13="出让",IF(E13="","",ROUNDDOWN(MIN((E13-$D$3)/365,E14),2)),E14)</f>
        <v/>
      </c>
      <c r="F15" s="2220">
        <f>IF(A13="出让",IF(F13="","",ROUNDDOWN(MIN((F13-$D$3)/365,F14),2)),F14)</f>
        <v>42.15</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2188</v>
      </c>
      <c r="B16" s="3231"/>
      <c r="C16" s="3232"/>
      <c r="D16" s="3233"/>
      <c r="E16" s="2221" t="s">
        <v>2189</v>
      </c>
      <c r="F16" s="3234"/>
      <c r="G16" s="3235"/>
      <c r="H16" s="3235"/>
      <c r="I16" s="3236"/>
      <c r="J16" s="2244"/>
      <c r="K16" s="2402"/>
      <c r="L16" s="1669"/>
      <c r="M16" s="1669"/>
      <c r="N16" s="2244"/>
      <c r="O16" s="1669"/>
      <c r="P16" s="2244"/>
      <c r="Q16" s="2244"/>
      <c r="R16" s="2244"/>
    </row>
    <row r="17" spans="1:28">
      <c r="A17" s="305" t="s">
        <v>2190</v>
      </c>
      <c r="B17" s="294" t="s">
        <v>2191</v>
      </c>
      <c r="C17" s="8">
        <f>'数据-汇总表'!E3</f>
        <v>68049.77999999997</v>
      </c>
      <c r="D17" s="1255" t="s">
        <v>2192</v>
      </c>
      <c r="E17" s="3237" t="s">
        <v>2193</v>
      </c>
      <c r="F17" s="3238"/>
      <c r="G17" s="3238"/>
      <c r="H17" s="3238"/>
      <c r="I17" s="3239"/>
      <c r="J17" s="2244"/>
      <c r="K17" s="2403"/>
      <c r="L17" s="1669"/>
      <c r="M17" s="1669"/>
      <c r="N17" s="2244"/>
      <c r="O17" s="1669"/>
      <c r="P17" s="2244"/>
      <c r="Q17" s="2244"/>
      <c r="R17" s="2244"/>
      <c r="S17" s="2244"/>
      <c r="T17" s="2244"/>
      <c r="U17" s="2244"/>
      <c r="V17" s="2244"/>
    </row>
    <row r="18" spans="1:28" ht="24.75" thickBot="1">
      <c r="A18" s="2222" t="s">
        <v>2194</v>
      </c>
      <c r="B18" s="1027" t="s">
        <v>2195</v>
      </c>
      <c r="C18" s="2223">
        <f>'数据-汇总表'!D3</f>
        <v>15742.02</v>
      </c>
      <c r="D18" s="1029" t="s">
        <v>2196</v>
      </c>
      <c r="E18" s="3240" t="s">
        <v>2197</v>
      </c>
      <c r="F18" s="3241"/>
      <c r="G18" s="3241"/>
      <c r="H18" s="3241"/>
      <c r="I18" s="3242"/>
      <c r="J18" s="2244"/>
      <c r="K18" s="2403"/>
      <c r="L18" s="1669"/>
      <c r="M18" s="1669"/>
      <c r="N18" s="2244"/>
      <c r="O18" s="1669"/>
      <c r="P18" s="2244"/>
      <c r="Q18" s="2244"/>
      <c r="R18" s="2244"/>
      <c r="S18" s="2244"/>
      <c r="T18" s="2244"/>
      <c r="U18" s="2244"/>
      <c r="V18" s="2244"/>
    </row>
    <row r="19" spans="1:28" ht="25.5" thickTop="1" thickBot="1">
      <c r="A19" s="319" t="s">
        <v>1054</v>
      </c>
      <c r="B19" s="299" t="s">
        <v>2198</v>
      </c>
      <c r="C19" s="1454"/>
      <c r="D19" s="1455" t="s">
        <v>2199</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2200</v>
      </c>
      <c r="B20" s="3227" t="s">
        <v>2201</v>
      </c>
      <c r="C20" s="3228"/>
      <c r="D20" s="3229" t="s">
        <v>2202</v>
      </c>
      <c r="E20" s="3230"/>
      <c r="F20" s="2429" t="s">
        <v>1055</v>
      </c>
      <c r="G20" s="2441"/>
      <c r="H20" s="2441"/>
      <c r="I20" s="2441"/>
      <c r="J20" s="2244"/>
      <c r="K20" s="3226"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2204</v>
      </c>
      <c r="C21" s="2295" t="s">
        <v>1056</v>
      </c>
      <c r="D21" s="1459" t="s">
        <v>2205</v>
      </c>
      <c r="E21" s="2418" t="s">
        <v>1056</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2206</v>
      </c>
      <c r="C22" s="2295" t="s">
        <v>1057</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2207</v>
      </c>
      <c r="B23" s="2292" t="s">
        <v>2208</v>
      </c>
      <c r="C23" s="2421"/>
      <c r="D23" s="2422" t="s">
        <v>2208</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4" t="s">
        <v>2209</v>
      </c>
      <c r="B27" s="312" t="s">
        <v>2210</v>
      </c>
      <c r="C27" s="2224" t="s">
        <v>3391</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4"/>
      <c r="B28" s="294" t="s">
        <v>2211</v>
      </c>
      <c r="C28" s="2226" t="s">
        <v>3392</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4"/>
      <c r="B29" s="294" t="s">
        <v>2212</v>
      </c>
      <c r="C29" s="2228" t="s">
        <v>3393</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5"/>
      <c r="B30" s="294" t="s">
        <v>2213</v>
      </c>
      <c r="C30" s="3246"/>
      <c r="D30" s="3247"/>
      <c r="E30" s="2441"/>
      <c r="F30" s="2441"/>
      <c r="G30" s="2441"/>
      <c r="H30" s="2441"/>
      <c r="I30" s="2441"/>
      <c r="J30" s="2244"/>
      <c r="K30" s="2401"/>
      <c r="L30" s="2398"/>
      <c r="M30" s="2398"/>
      <c r="N30" s="2244"/>
      <c r="O30" s="1669"/>
      <c r="P30" s="2244"/>
      <c r="Q30" s="2244"/>
      <c r="R30" s="2244"/>
      <c r="S30" s="2244"/>
      <c r="T30" s="2244"/>
      <c r="U30" s="2244"/>
      <c r="V30" s="2244"/>
    </row>
    <row r="31" spans="1:28">
      <c r="A31" s="3248" t="s">
        <v>2214</v>
      </c>
      <c r="B31" s="2230" t="s">
        <v>3394</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2215</v>
      </c>
      <c r="B34" s="1869"/>
      <c r="C34" s="1869"/>
      <c r="D34" s="1869"/>
      <c r="E34" s="1869"/>
      <c r="F34" s="1869"/>
      <c r="G34" s="1869"/>
      <c r="H34" s="1869"/>
      <c r="I34" s="2441"/>
      <c r="J34" s="2244"/>
      <c r="K34" s="8">
        <f>COUNTIF(B34:H34,"——")</f>
        <v>0</v>
      </c>
      <c r="L34" s="315" t="s">
        <v>2216</v>
      </c>
      <c r="M34" s="315" t="s">
        <v>2217</v>
      </c>
      <c r="N34" s="315" t="s">
        <v>2218</v>
      </c>
      <c r="O34" s="315" t="s">
        <v>2219</v>
      </c>
      <c r="P34" s="315" t="s">
        <v>2220</v>
      </c>
      <c r="Q34" s="315" t="s">
        <v>2221</v>
      </c>
      <c r="R34" s="315" t="s">
        <v>2222</v>
      </c>
      <c r="S34" s="3243" t="s">
        <v>2223</v>
      </c>
      <c r="T34" s="315" t="str">
        <f>NUMBERSTRING(7-K34,1)&amp;"通"</f>
        <v>七通</v>
      </c>
      <c r="U34" s="2244"/>
      <c r="V34" s="2244"/>
    </row>
    <row r="35" spans="1:30">
      <c r="A35" s="2235"/>
      <c r="B35" s="3243" t="s">
        <v>2224</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c r="A36" s="2182"/>
      <c r="B36" s="8" t="s">
        <v>2180</v>
      </c>
      <c r="C36" s="8" t="s">
        <v>2181</v>
      </c>
      <c r="D36" s="8" t="s">
        <v>2179</v>
      </c>
      <c r="E36" s="8" t="s">
        <v>2184</v>
      </c>
      <c r="F36" s="2800" t="s">
        <v>2576</v>
      </c>
      <c r="G36" s="2441"/>
      <c r="H36" s="2441"/>
      <c r="I36" s="2441"/>
      <c r="J36" s="2244"/>
      <c r="K36" s="2401"/>
      <c r="L36" s="2398"/>
      <c r="M36" s="2398"/>
      <c r="N36" s="2244"/>
      <c r="O36" s="1669"/>
      <c r="P36" s="2244"/>
      <c r="Q36" s="2244"/>
      <c r="R36" s="2244"/>
      <c r="S36" s="2244"/>
      <c r="T36" s="2244"/>
      <c r="U36" s="2244"/>
      <c r="V36" s="2244"/>
    </row>
    <row r="37" spans="1:30">
      <c r="A37" s="2414" t="s">
        <v>2225</v>
      </c>
      <c r="B37" s="2236" t="s">
        <v>304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2226</v>
      </c>
      <c r="B38" s="2237" t="s">
        <v>3395</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2227</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2228</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2229</v>
      </c>
      <c r="B42" s="8" t="s">
        <v>2230</v>
      </c>
      <c r="C42" s="8" t="s">
        <v>2231</v>
      </c>
      <c r="D42" s="8" t="s">
        <v>2232</v>
      </c>
      <c r="E42" s="8" t="s">
        <v>2233</v>
      </c>
      <c r="F42" s="8" t="s">
        <v>2234</v>
      </c>
      <c r="G42" s="8" t="s">
        <v>2235</v>
      </c>
      <c r="H42" s="8" t="s">
        <v>2236</v>
      </c>
      <c r="I42" s="8" t="s">
        <v>2237</v>
      </c>
      <c r="J42" s="2410" t="s">
        <v>2238</v>
      </c>
      <c r="K42" s="2411" t="s">
        <v>2239</v>
      </c>
      <c r="L42" s="2411" t="s">
        <v>2240</v>
      </c>
      <c r="M42" s="2411" t="s">
        <v>2241</v>
      </c>
      <c r="N42" s="2404" t="s">
        <v>2242</v>
      </c>
      <c r="O42" s="2404" t="s">
        <v>2243</v>
      </c>
      <c r="P42" s="2404" t="s">
        <v>2244</v>
      </c>
      <c r="Q42" s="2405" t="s">
        <v>2245</v>
      </c>
      <c r="R42" s="2405" t="s">
        <v>2246</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1066</v>
      </c>
      <c r="AZ2" s="987"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面积指标!J28+面积指标!F22</f>
        <v>15742.020000000013</v>
      </c>
      <c r="B3" s="11">
        <f>IF(C3="否",G5-AT5,G5)</f>
        <v>68049.77999999997</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68049.77999999997</v>
      </c>
      <c r="H5" s="13">
        <f t="shared" ref="H5:AT5" si="0">SUM(H13:H656)</f>
        <v>68049.77999999997</v>
      </c>
      <c r="I5" s="13">
        <f t="shared" si="0"/>
        <v>44140.36</v>
      </c>
      <c r="J5" s="13">
        <f t="shared" si="0"/>
        <v>0</v>
      </c>
      <c r="K5" s="13">
        <f t="shared" si="0"/>
        <v>9581.2999999999993</v>
      </c>
      <c r="L5" s="13">
        <f t="shared" si="0"/>
        <v>0</v>
      </c>
      <c r="M5" s="13">
        <f t="shared" si="0"/>
        <v>14328.11999999997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68049.77999999997</v>
      </c>
      <c r="BA5" s="15">
        <f t="shared" si="1"/>
        <v>68049.77999999997</v>
      </c>
      <c r="BB5" s="15">
        <f t="shared" si="1"/>
        <v>44140.36</v>
      </c>
      <c r="BC5" s="15">
        <f t="shared" si="1"/>
        <v>9581.2999999999993</v>
      </c>
      <c r="BD5" s="15">
        <f t="shared" si="1"/>
        <v>14328.11999999997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15742.02</v>
      </c>
      <c r="F6" s="13" t="s">
        <v>0</v>
      </c>
      <c r="G6" s="13" t="s">
        <v>1</v>
      </c>
      <c r="H6" s="17">
        <f>SUMIF(I$12:AB$12,"总值",I6:AB6)</f>
        <v>15742.02</v>
      </c>
      <c r="I6" s="13">
        <f t="shared" ref="I6:AB6" si="2">ROUND($A$3*I5/$B$3,2)</f>
        <v>10211.030000000001</v>
      </c>
      <c r="J6" s="13">
        <f t="shared" si="2"/>
        <v>0</v>
      </c>
      <c r="K6" s="13">
        <f t="shared" si="2"/>
        <v>2216.4499999999998</v>
      </c>
      <c r="L6" s="13">
        <f t="shared" si="2"/>
        <v>0</v>
      </c>
      <c r="M6" s="13">
        <f t="shared" si="2"/>
        <v>3314.54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15742.02</v>
      </c>
      <c r="AZ6" s="13" t="s">
        <v>2</v>
      </c>
      <c r="BA6" s="13">
        <f>ROUND($AY$6*BA5/$AZ$5,2)</f>
        <v>15742.02</v>
      </c>
      <c r="BB6" s="13">
        <f>ROUND($AY$6*BB5/$AZ$5,2)</f>
        <v>10211.030000000001</v>
      </c>
      <c r="BC6" s="13">
        <f t="shared" ref="BC6:BH6" si="4">ROUND($AY$6*BC5/$AZ$5,2)</f>
        <v>2216.4499999999998</v>
      </c>
      <c r="BD6" s="13">
        <f t="shared" si="4"/>
        <v>3314.54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1" t="s">
        <v>1085</v>
      </c>
      <c r="AD8" s="1487"/>
      <c r="AE8" s="1479"/>
      <c r="AF8" s="1268"/>
      <c r="AG8" s="1268"/>
      <c r="AH8" s="1268"/>
      <c r="AI8" s="1268"/>
      <c r="AJ8" s="1268"/>
      <c r="AK8" s="1268"/>
      <c r="AL8" s="1268"/>
      <c r="AM8" s="1268"/>
      <c r="AN8" s="1268"/>
      <c r="AO8" s="1268"/>
      <c r="AP8" s="1268"/>
      <c r="AQ8" s="1268"/>
      <c r="AR8" s="1268"/>
      <c r="AS8" s="1268"/>
      <c r="AT8" s="1007" t="s">
        <v>1086</v>
      </c>
      <c r="AU8" s="1481" t="s">
        <v>1087</v>
      </c>
      <c r="AV8" s="1007"/>
      <c r="AW8" s="1466"/>
      <c r="AX8" s="1007"/>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1090</v>
      </c>
      <c r="I9" s="1490" t="s">
        <v>4295</v>
      </c>
      <c r="J9" s="761"/>
      <c r="K9" s="1490" t="s">
        <v>4296</v>
      </c>
      <c r="L9" s="761"/>
      <c r="M9" s="1490" t="s">
        <v>4296</v>
      </c>
      <c r="N9" s="761"/>
      <c r="O9" s="1490"/>
      <c r="P9" s="761"/>
      <c r="Q9" s="1490"/>
      <c r="R9" s="761"/>
      <c r="S9" s="1490"/>
      <c r="T9" s="761"/>
      <c r="U9" s="1490"/>
      <c r="V9" s="761"/>
      <c r="W9" s="1490"/>
      <c r="X9" s="1491"/>
      <c r="Y9" s="1490"/>
      <c r="Z9" s="761"/>
      <c r="AA9" s="1490"/>
      <c r="AB9" s="761"/>
      <c r="AC9" s="1482"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2"/>
      <c r="AT9" s="1481"/>
      <c r="AU9" s="1481" t="s">
        <v>1093</v>
      </c>
      <c r="AV9" s="1007"/>
      <c r="AW9" s="1466"/>
      <c r="AX9" s="1007"/>
      <c r="AY9" s="25"/>
      <c r="AZ9" s="25" t="s">
        <v>1083</v>
      </c>
      <c r="BA9" s="1493" t="s">
        <v>1094</v>
      </c>
      <c r="BB9" s="1494"/>
      <c r="BC9" s="1025"/>
      <c r="BD9" s="1025"/>
      <c r="BE9" s="1025"/>
      <c r="BF9" s="1025"/>
      <c r="BG9" s="1025"/>
      <c r="BH9" s="1025"/>
      <c r="BI9" s="1025"/>
      <c r="BJ9" s="1025"/>
      <c r="BK9" s="1495"/>
      <c r="BL9" s="12" t="s">
        <v>1095</v>
      </c>
      <c r="BM9" s="1268"/>
      <c r="BN9" s="1484"/>
      <c r="BO9" s="1268"/>
      <c r="BP9" s="1268"/>
      <c r="BQ9" s="1268"/>
      <c r="BR9" s="1268"/>
      <c r="BS9" s="1268"/>
      <c r="BT9" s="23"/>
    </row>
    <row r="10" spans="1:72" s="1488" customFormat="1" ht="12.75">
      <c r="A10" s="1481"/>
      <c r="B10" s="1481"/>
      <c r="C10" s="1481"/>
      <c r="D10" s="1481"/>
      <c r="E10" s="1481"/>
      <c r="F10" s="1481"/>
      <c r="G10" s="1007"/>
      <c r="H10" s="25"/>
      <c r="I10" s="1490" t="s">
        <v>672</v>
      </c>
      <c r="J10" s="761"/>
      <c r="K10" s="1496" t="s">
        <v>672</v>
      </c>
      <c r="L10" s="761"/>
      <c r="M10" s="1496" t="s">
        <v>4352</v>
      </c>
      <c r="N10" s="761"/>
      <c r="O10" s="1496"/>
      <c r="P10" s="761"/>
      <c r="Q10" s="1496"/>
      <c r="R10" s="761"/>
      <c r="S10" s="1496"/>
      <c r="T10" s="761"/>
      <c r="U10" s="1496"/>
      <c r="V10" s="761"/>
      <c r="W10" s="1496"/>
      <c r="X10" s="761"/>
      <c r="Y10" s="1496"/>
      <c r="Z10" s="761"/>
      <c r="AA10" s="1496"/>
      <c r="AB10" s="761"/>
      <c r="AC10" s="1007"/>
      <c r="AD10" s="12" t="s">
        <v>1096</v>
      </c>
      <c r="AE10" s="1497"/>
      <c r="AF10" s="12" t="s">
        <v>1096</v>
      </c>
      <c r="AG10" s="1497"/>
      <c r="AH10" s="12" t="s">
        <v>1097</v>
      </c>
      <c r="AI10" s="1497"/>
      <c r="AJ10" s="12" t="s">
        <v>1097</v>
      </c>
      <c r="AK10" s="1497"/>
      <c r="AL10" s="12" t="s">
        <v>1098</v>
      </c>
      <c r="AM10" s="1013"/>
      <c r="AN10" s="12" t="s">
        <v>1098</v>
      </c>
      <c r="AO10" s="1013"/>
      <c r="AP10" s="12" t="s">
        <v>1099</v>
      </c>
      <c r="AQ10" s="1013"/>
      <c r="AR10" s="12" t="s">
        <v>1099</v>
      </c>
      <c r="AS10" s="1013"/>
      <c r="AT10" s="1481"/>
      <c r="AU10" s="1481"/>
      <c r="AV10" s="1007"/>
      <c r="AW10" s="1466"/>
      <c r="AX10" s="1007"/>
      <c r="AY10" s="25"/>
      <c r="AZ10" s="25"/>
      <c r="BA10" s="1498" t="s">
        <v>1090</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t="s">
        <v>3330</v>
      </c>
      <c r="N11" s="1502"/>
      <c r="O11" s="1501"/>
      <c r="P11" s="1502"/>
      <c r="Q11" s="1501"/>
      <c r="R11" s="1502"/>
      <c r="S11" s="1501"/>
      <c r="T11" s="1502"/>
      <c r="U11" s="1501"/>
      <c r="V11" s="1502"/>
      <c r="W11" s="1501"/>
      <c r="X11" s="1502"/>
      <c r="Y11" s="1501"/>
      <c r="Z11" s="1502"/>
      <c r="AA11" s="1501"/>
      <c r="AB11" s="1502"/>
      <c r="AC11" s="1007"/>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t="str">
        <f>M10</f>
        <v>车库—商业</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4294</v>
      </c>
      <c r="E13" s="13">
        <f>IF($C$3="是",ROUND($A$3*G13/$B$3,2),ROUND($A$3*(G13-AT13)/$B$3,2))</f>
        <v>15742.02</v>
      </c>
      <c r="F13" s="29"/>
      <c r="G13" s="30">
        <f>H13+AC13+AT13</f>
        <v>68049.77999999997</v>
      </c>
      <c r="H13" s="17">
        <f>SUMIF(I$12:AB$12,"总值",I13:AB13)</f>
        <v>68049.77999999997</v>
      </c>
      <c r="I13" s="1513">
        <f>面积指标!I28</f>
        <v>44140.36</v>
      </c>
      <c r="J13" s="1513"/>
      <c r="K13" s="1513">
        <f>面积指标!D21</f>
        <v>9581.2999999999993</v>
      </c>
      <c r="L13" s="1513"/>
      <c r="M13" s="1513">
        <f>面积指标!D20</f>
        <v>14328.11999999997</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15742.02</v>
      </c>
      <c r="AZ13" s="13">
        <f>BA13+BL13</f>
        <v>68049.77999999997</v>
      </c>
      <c r="BA13" s="13">
        <f>SUM(BB13:BK13)</f>
        <v>68049.77999999997</v>
      </c>
      <c r="BB13" s="13">
        <f>IF($D13="是",I13-J13,0)</f>
        <v>44140.36</v>
      </c>
      <c r="BC13" s="13">
        <f>IF($D13="是",K13-L13,0)</f>
        <v>9581.2999999999993</v>
      </c>
      <c r="BD13" s="13">
        <f>IF($D13="是",M13-N13,0)</f>
        <v>14328.11999999997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90" zoomScaleNormal="100" zoomScaleSheetLayoutView="90" workbookViewId="0">
      <selection activeCell="G19" sqref="G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1"/>
      <c r="C1" s="1071"/>
      <c r="D1" s="1071"/>
      <c r="E1" s="1071"/>
      <c r="F1" s="1071"/>
      <c r="G1" s="1071"/>
      <c r="H1" s="1071"/>
      <c r="I1" s="1071"/>
      <c r="J1" s="1071"/>
      <c r="K1" s="1071"/>
      <c r="L1" s="1071"/>
      <c r="M1" s="1071"/>
      <c r="N1" s="1071"/>
      <c r="O1" s="1071"/>
      <c r="P1" s="1071"/>
    </row>
    <row r="2" spans="1:16" ht="15">
      <c r="A2" s="3259" t="s">
        <v>1130</v>
      </c>
      <c r="B2" s="3259"/>
      <c r="C2" s="3259"/>
      <c r="D2" s="748" t="s">
        <v>1106</v>
      </c>
      <c r="E2" s="1522" t="s">
        <v>1107</v>
      </c>
      <c r="F2" s="2438"/>
      <c r="G2" s="2431"/>
      <c r="H2" s="2432"/>
      <c r="I2" s="2145" t="s">
        <v>1131</v>
      </c>
      <c r="J2" s="2438"/>
      <c r="K2" s="2438"/>
      <c r="L2" s="2438"/>
      <c r="M2" s="2438"/>
      <c r="N2" s="2439"/>
      <c r="O2" s="2438"/>
      <c r="P2" s="2438"/>
    </row>
    <row r="3" spans="1:16" ht="15.75" thickBot="1">
      <c r="A3" s="3260" t="s">
        <v>1104</v>
      </c>
      <c r="B3" s="3260"/>
      <c r="C3" s="3260"/>
      <c r="D3" s="41">
        <f>'数据-基础表'!AY6</f>
        <v>15742.02</v>
      </c>
      <c r="E3" s="41">
        <f>'数据-基础表'!AZ5</f>
        <v>68049.77999999997</v>
      </c>
      <c r="F3" s="2438"/>
      <c r="G3" s="42"/>
      <c r="H3" s="43" t="s">
        <v>1105</v>
      </c>
      <c r="I3" s="802">
        <f>ROUND('数据-基础表'!B3/'数据-基础表'!A3,2)</f>
        <v>4.32</v>
      </c>
      <c r="J3" s="2438"/>
      <c r="K3" s="2438"/>
      <c r="L3" s="2438"/>
      <c r="M3" s="2438"/>
      <c r="N3" s="2439"/>
      <c r="O3" s="2438"/>
      <c r="P3" s="2438"/>
    </row>
    <row r="4" spans="1:16" ht="15">
      <c r="A4" s="3261"/>
      <c r="B4" s="3262"/>
      <c r="C4" s="3263"/>
      <c r="D4" s="1523" t="s">
        <v>1106</v>
      </c>
      <c r="E4" s="1524" t="s">
        <v>1107</v>
      </c>
      <c r="F4" s="2438"/>
      <c r="G4" s="2433" t="s">
        <v>1132</v>
      </c>
      <c r="H4" s="43" t="s">
        <v>1112</v>
      </c>
      <c r="I4" s="802">
        <f>ROUND(SUMIF('数据-基础表'!I9:AS9,"地上",'数据-基础表'!I5:AS5)/'数据-基础表'!A3,2)</f>
        <v>2.8</v>
      </c>
      <c r="J4" s="2438"/>
      <c r="K4" s="2438"/>
      <c r="L4" s="2438"/>
      <c r="M4" s="2438"/>
      <c r="N4" s="2439"/>
      <c r="O4" s="2438"/>
      <c r="P4" s="2438"/>
    </row>
    <row r="5" spans="1:16">
      <c r="A5" s="42" t="s">
        <v>1108</v>
      </c>
      <c r="B5" s="3264" t="s">
        <v>1109</v>
      </c>
      <c r="C5" s="3264"/>
      <c r="D5" s="43">
        <f>ROUND($D$3*E5/$E$3,2)</f>
        <v>0</v>
      </c>
      <c r="E5" s="44">
        <f>SUMIF('数据-基础表'!$11:$11,"住宅",'数据-基础表'!$5:$5)</f>
        <v>0</v>
      </c>
      <c r="F5" s="2438"/>
      <c r="G5" s="42"/>
      <c r="H5" s="43" t="s">
        <v>1105</v>
      </c>
      <c r="I5" s="802">
        <f>ROUND(E31/D31,2)</f>
        <v>4.32</v>
      </c>
      <c r="J5" s="2438"/>
      <c r="K5" s="2438"/>
      <c r="L5" s="2438"/>
      <c r="M5" s="2438"/>
      <c r="N5" s="2438"/>
      <c r="O5" s="2438"/>
      <c r="P5" s="2438"/>
    </row>
    <row r="6" spans="1:16" ht="15" thickBot="1">
      <c r="A6" s="1526"/>
      <c r="B6" s="3264" t="s">
        <v>1110</v>
      </c>
      <c r="C6" s="3264"/>
      <c r="D6" s="43">
        <f>ROUND($D$3*E6/$E$3,2)</f>
        <v>15742.02</v>
      </c>
      <c r="E6" s="44">
        <f>E3-E5</f>
        <v>68049.77999999997</v>
      </c>
      <c r="F6" s="2438"/>
      <c r="G6" s="1528" t="s">
        <v>1111</v>
      </c>
      <c r="H6" s="45" t="s">
        <v>1112</v>
      </c>
      <c r="I6" s="2434">
        <f>ROUND(F31/D31,2)</f>
        <v>2.8</v>
      </c>
      <c r="J6" s="2438"/>
      <c r="K6" s="2438"/>
      <c r="L6" s="2438"/>
      <c r="M6" s="2438"/>
      <c r="N6" s="2438"/>
      <c r="O6" s="2438"/>
      <c r="P6" s="2438"/>
    </row>
    <row r="7" spans="1:16" ht="15.75" thickBot="1">
      <c r="A7" s="3256"/>
      <c r="B7" s="3257"/>
      <c r="C7" s="3258"/>
      <c r="D7" s="1523" t="s">
        <v>1106</v>
      </c>
      <c r="E7" s="1527" t="s">
        <v>1113</v>
      </c>
      <c r="F7" s="2438"/>
      <c r="G7" s="2435" t="s">
        <v>1114</v>
      </c>
      <c r="H7" s="95"/>
      <c r="I7" s="2436">
        <v>2.5</v>
      </c>
      <c r="J7" s="2438"/>
      <c r="K7" s="2438"/>
      <c r="L7" s="2438"/>
      <c r="M7" s="2438"/>
      <c r="N7" s="2438"/>
      <c r="O7" s="2438"/>
      <c r="P7" s="2438"/>
    </row>
    <row r="8" spans="1:16">
      <c r="A8" s="42" t="s">
        <v>1115</v>
      </c>
      <c r="B8" s="45" t="s">
        <v>1116</v>
      </c>
      <c r="C8" s="43" t="s">
        <v>1117</v>
      </c>
      <c r="D8" s="43">
        <f t="shared" ref="D8:D15" si="0">ROUND($D$3*E8/$E$3,2)</f>
        <v>10211.030000000001</v>
      </c>
      <c r="E8" s="46">
        <f>SUMIF('数据-基础表'!BB10:BK10,"地上",'数据-基础表'!BB5:BK5)</f>
        <v>44140.36</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2216.4499999999998</v>
      </c>
      <c r="E10" s="46">
        <f>SUMPRODUCT(('数据-基础表'!BB10:BK10="地下")*('数据-基础表'!BB11:BK11="商业")*('数据-基础表'!BB5:BK5))</f>
        <v>9581.2999999999993</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3314.54</v>
      </c>
      <c r="E14" s="46">
        <f>SUMPRODUCT(('数据-基础表'!BB10:BK10="地下")*('数据-基础表'!BB11:BK11="车库—商业")*('数据-基础表'!BB5:BK5))</f>
        <v>14328.11999999997</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15742.02</v>
      </c>
      <c r="E16" s="48">
        <f>SUM(E8:E15)</f>
        <v>68049.77999999997</v>
      </c>
      <c r="F16" s="2438"/>
      <c r="G16" s="2438"/>
      <c r="H16" s="1530" t="s">
        <v>1134</v>
      </c>
      <c r="I16" s="1531"/>
      <c r="J16" s="1071"/>
      <c r="K16" s="3253" t="s">
        <v>1134</v>
      </c>
      <c r="L16" s="3254"/>
      <c r="M16" s="3254"/>
      <c r="N16" s="3254"/>
      <c r="O16" s="3254"/>
      <c r="P16" s="3255"/>
    </row>
    <row r="17" spans="1:19" ht="15">
      <c r="A17" s="1532" t="s">
        <v>1135</v>
      </c>
      <c r="B17" s="1533" t="s">
        <v>1136</v>
      </c>
      <c r="C17" s="1534" t="s">
        <v>1137</v>
      </c>
      <c r="D17" s="1535" t="s">
        <v>1125</v>
      </c>
      <c r="E17" s="1536" t="s">
        <v>1126</v>
      </c>
      <c r="F17" s="1537"/>
      <c r="G17" s="1538"/>
      <c r="H17" s="1539" t="s">
        <v>1138</v>
      </c>
      <c r="I17" s="1540" t="s">
        <v>1123</v>
      </c>
      <c r="J17" s="1071"/>
      <c r="K17" s="3250" t="s">
        <v>1139</v>
      </c>
      <c r="L17" s="3251"/>
      <c r="M17" s="3252"/>
      <c r="N17" s="3250" t="s">
        <v>1140</v>
      </c>
      <c r="O17" s="3251"/>
      <c r="P17" s="3252"/>
      <c r="R17" s="769" t="s">
        <v>1141</v>
      </c>
      <c r="S17" s="54"/>
    </row>
    <row r="18" spans="1:19" ht="15">
      <c r="A18" s="1528"/>
      <c r="B18" s="1525"/>
      <c r="C18" s="1541"/>
      <c r="D18" s="1542"/>
      <c r="E18" s="1543" t="s">
        <v>1142</v>
      </c>
      <c r="F18" s="1544" t="s">
        <v>1143</v>
      </c>
      <c r="G18" s="1545" t="s">
        <v>1144</v>
      </c>
      <c r="H18" s="980" t="s">
        <v>1145</v>
      </c>
      <c r="I18" s="1546" t="s">
        <v>1146</v>
      </c>
      <c r="J18" s="1071"/>
      <c r="K18" s="980" t="s">
        <v>1147</v>
      </c>
      <c r="L18" s="1547" t="s">
        <v>1148</v>
      </c>
      <c r="M18" s="802" t="s">
        <v>1149</v>
      </c>
      <c r="N18" s="980" t="s">
        <v>1147</v>
      </c>
      <c r="O18" s="1547" t="s">
        <v>1148</v>
      </c>
      <c r="P18" s="802" t="s">
        <v>1149</v>
      </c>
      <c r="R18" s="43" t="s">
        <v>1150</v>
      </c>
      <c r="S18" s="43" t="s">
        <v>1151</v>
      </c>
    </row>
    <row r="19" spans="1:19">
      <c r="A19" s="1548"/>
      <c r="B19" s="45" t="s">
        <v>1124</v>
      </c>
      <c r="C19" s="3115" t="s">
        <v>4297</v>
      </c>
      <c r="D19" s="43">
        <f>ROUND($D$3*E19/$E$3,2)</f>
        <v>15742.02</v>
      </c>
      <c r="E19" s="51">
        <f t="shared" ref="E19:E26" si="1">SUM(F19:G19)</f>
        <v>68049.77999999997</v>
      </c>
      <c r="F19" s="2557">
        <f>'数据-基础表'!I13</f>
        <v>44140.36</v>
      </c>
      <c r="G19" s="1242">
        <f>'数据-基础表'!K13+'数据-基础表'!M13</f>
        <v>23909.419999999969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15742.02</v>
      </c>
      <c r="S19" s="51">
        <f t="shared" si="5"/>
        <v>68049.77999999997</v>
      </c>
    </row>
    <row r="20" spans="1:19">
      <c r="A20" s="1548"/>
      <c r="B20" s="45" t="s">
        <v>1152</v>
      </c>
      <c r="C20" s="3115"/>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2">
        <f>SUM(D19:D26)</f>
        <v>15742.02</v>
      </c>
      <c r="E27" s="1073">
        <f>IF(SUM(E19:E26)='数据-基础表'!BA5,SUM(E19:E26),IF(F27="地上面积有误","面积有误","地下面积有误"))</f>
        <v>68049.77999999997</v>
      </c>
      <c r="F27" s="1072">
        <f>IF(SUM(F19:F26)=E8,SUM(F19:F26),"地上面积有误")</f>
        <v>44140.36</v>
      </c>
      <c r="G27" s="1074">
        <f>SUM(G19:G26)</f>
        <v>23909.419999999969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15742.02</v>
      </c>
      <c r="S27" s="43">
        <f>IF(SUM(S19:S26)=$E$3,SUM(S19:S26),SUM(S19:S26)&amp;"误差"&amp;ROUND(SUM(S19:S26)-E3,2))</f>
        <v>68049.77999999997</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1157</v>
      </c>
      <c r="D31" s="643">
        <f>D27+D30</f>
        <v>15742.02</v>
      </c>
      <c r="E31" s="643">
        <f>E27+E30</f>
        <v>68049.77999999997</v>
      </c>
      <c r="F31" s="644">
        <f>F27+F30</f>
        <v>44140.36</v>
      </c>
      <c r="G31" s="645">
        <f>G27+G30</f>
        <v>23909.419999999969</v>
      </c>
      <c r="H31" s="2438"/>
      <c r="I31" s="2438"/>
      <c r="J31" s="2438"/>
      <c r="K31" s="2438"/>
      <c r="L31" s="2438"/>
      <c r="M31" s="2438"/>
      <c r="N31" s="2438"/>
      <c r="O31" s="2438"/>
      <c r="P31" s="2438"/>
    </row>
    <row r="32" spans="1:19">
      <c r="A32" s="1525"/>
      <c r="B32" s="1525" t="s">
        <v>1158</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3" workbookViewId="0">
      <selection activeCell="I25" sqref="I25"/>
    </sheetView>
  </sheetViews>
  <sheetFormatPr defaultRowHeight="13.5"/>
  <cols>
    <col min="1" max="1" width="9.75" style="3144" customWidth="1"/>
    <col min="2" max="2" width="10.375" style="3144" customWidth="1"/>
    <col min="3" max="3" width="16" style="3144" customWidth="1"/>
    <col min="4" max="4" width="17.5" style="3144" customWidth="1"/>
    <col min="5" max="5" width="11" style="3144" customWidth="1"/>
    <col min="6" max="6" width="12" style="3144" customWidth="1"/>
    <col min="7" max="7" width="10.75" style="3144" customWidth="1"/>
    <col min="8" max="8" width="13" style="3144" customWidth="1"/>
    <col min="9" max="9" width="12.375" style="3144" customWidth="1"/>
    <col min="10" max="10" width="13" style="3144" customWidth="1"/>
    <col min="11" max="11" width="5.625" style="3144" customWidth="1"/>
    <col min="12" max="12" width="12.875" style="3144" customWidth="1"/>
    <col min="13" max="13" width="9.75" style="3144" customWidth="1"/>
    <col min="14" max="14" width="10" style="3144" customWidth="1"/>
    <col min="15" max="16384" width="9" style="3144"/>
  </cols>
  <sheetData>
    <row r="1" spans="1:14" ht="18.75" customHeight="1">
      <c r="B1" s="3144" t="s">
        <v>3396</v>
      </c>
      <c r="C1" s="3144" t="s">
        <v>3398</v>
      </c>
      <c r="D1" s="3144" t="s">
        <v>3400</v>
      </c>
      <c r="E1" s="3144" t="s">
        <v>3401</v>
      </c>
      <c r="F1" s="3144" t="s">
        <v>3403</v>
      </c>
      <c r="G1" s="3144" t="s">
        <v>3405</v>
      </c>
      <c r="H1" s="3144" t="s">
        <v>3407</v>
      </c>
      <c r="I1" s="3144" t="s">
        <v>3409</v>
      </c>
      <c r="J1" s="3144" t="s">
        <v>3411</v>
      </c>
      <c r="K1" s="3144" t="s">
        <v>3413</v>
      </c>
      <c r="L1" s="3144" t="s">
        <v>3415</v>
      </c>
      <c r="M1" s="3144" t="s">
        <v>3416</v>
      </c>
    </row>
    <row r="2" spans="1:14" ht="41.25" customHeight="1">
      <c r="A2" s="3144" t="s">
        <v>3417</v>
      </c>
      <c r="B2" s="3144">
        <v>2</v>
      </c>
      <c r="C2" s="3144" t="s">
        <v>3418</v>
      </c>
      <c r="D2" s="3144" t="s">
        <v>4293</v>
      </c>
      <c r="E2" s="3144" t="s">
        <v>3420</v>
      </c>
      <c r="F2" s="3144" t="s">
        <v>3421</v>
      </c>
      <c r="G2" s="3144" t="s">
        <v>3422</v>
      </c>
      <c r="H2" s="3144" t="s">
        <v>3423</v>
      </c>
      <c r="I2" s="3144">
        <v>42863.29</v>
      </c>
      <c r="J2" s="3157">
        <v>57339</v>
      </c>
      <c r="K2" s="3144" t="s">
        <v>3425</v>
      </c>
      <c r="L2" s="3144">
        <v>24641.279999999999</v>
      </c>
      <c r="M2" s="3144" t="s">
        <v>3426</v>
      </c>
    </row>
    <row r="3" spans="1:14" ht="51.75" customHeight="1">
      <c r="C3" s="3144" t="s">
        <v>3427</v>
      </c>
      <c r="D3" s="3144" t="s">
        <v>3428</v>
      </c>
      <c r="E3" s="3144" t="s">
        <v>3430</v>
      </c>
      <c r="F3" s="3144" t="s">
        <v>3431</v>
      </c>
      <c r="G3" s="3144" t="s">
        <v>3432</v>
      </c>
      <c r="I3" s="3144">
        <v>29130.28</v>
      </c>
      <c r="J3" s="3144" t="s">
        <v>4281</v>
      </c>
      <c r="K3" s="3144" t="s">
        <v>3434</v>
      </c>
      <c r="L3" s="3144">
        <v>24641.279999999999</v>
      </c>
      <c r="M3" s="3144" t="s">
        <v>3435</v>
      </c>
    </row>
    <row r="4" spans="1:14">
      <c r="C4" s="3147" t="s">
        <v>3437</v>
      </c>
      <c r="D4" s="3147" t="s">
        <v>3439</v>
      </c>
      <c r="E4" s="3147" t="s">
        <v>3441</v>
      </c>
      <c r="F4" s="3147" t="s">
        <v>3443</v>
      </c>
      <c r="H4" s="3147" t="s">
        <v>3444</v>
      </c>
      <c r="I4" s="3147" t="s">
        <v>3439</v>
      </c>
      <c r="J4" s="3147" t="s">
        <v>3443</v>
      </c>
    </row>
    <row r="5" spans="1:14">
      <c r="C5" s="3147" t="s">
        <v>3445</v>
      </c>
      <c r="D5" s="3147">
        <f>分摊土地!D426</f>
        <v>15639.329999999913</v>
      </c>
      <c r="E5" s="3148">
        <v>419</v>
      </c>
      <c r="F5" s="3147">
        <f>分摊土地!E426</f>
        <v>4795.1400000000076</v>
      </c>
      <c r="G5" s="3144" t="s">
        <v>3447</v>
      </c>
      <c r="H5" s="3145">
        <v>1</v>
      </c>
      <c r="I5" s="3145">
        <v>7558.56</v>
      </c>
      <c r="J5" s="3147"/>
    </row>
    <row r="6" spans="1:14">
      <c r="C6" s="3147" t="s">
        <v>3448</v>
      </c>
      <c r="D6" s="3147">
        <f>分摊土地!D423</f>
        <v>7514.68</v>
      </c>
      <c r="E6" s="3148">
        <v>1</v>
      </c>
      <c r="F6" s="3147">
        <f>分摊土地!E423</f>
        <v>2304.17</v>
      </c>
      <c r="H6" s="3145">
        <v>2</v>
      </c>
      <c r="I6" s="3145">
        <v>7882.5</v>
      </c>
      <c r="J6" s="3147"/>
    </row>
    <row r="7" spans="1:14">
      <c r="C7" s="3147"/>
      <c r="D7" s="3149">
        <f>SUM(D5:D6)</f>
        <v>23154.009999999915</v>
      </c>
      <c r="E7" s="3147">
        <f>SUM(E5:E6)</f>
        <v>420</v>
      </c>
      <c r="F7" s="3149">
        <f>SUM(F5:F6)</f>
        <v>7099.3100000000077</v>
      </c>
      <c r="H7" s="3145">
        <v>3</v>
      </c>
      <c r="I7" s="3145">
        <v>7825.72</v>
      </c>
      <c r="J7" s="3147"/>
    </row>
    <row r="8" spans="1:14">
      <c r="H8" s="3145">
        <v>4</v>
      </c>
      <c r="I8" s="3145">
        <v>7570.61</v>
      </c>
      <c r="J8" s="3147"/>
    </row>
    <row r="9" spans="1:14">
      <c r="D9" s="3144" t="s">
        <v>3449</v>
      </c>
      <c r="E9" s="3144" t="s">
        <v>3440</v>
      </c>
      <c r="H9" s="3145">
        <v>5</v>
      </c>
      <c r="I9" s="3145">
        <v>7472.25</v>
      </c>
      <c r="J9" s="3147"/>
    </row>
    <row r="10" spans="1:14">
      <c r="C10" s="3144" t="s">
        <v>4285</v>
      </c>
      <c r="D10" s="3144">
        <v>13490.95</v>
      </c>
      <c r="E10" s="3144">
        <v>8</v>
      </c>
      <c r="H10" s="3145">
        <v>6</v>
      </c>
      <c r="I10" s="3145">
        <v>4372.5</v>
      </c>
      <c r="J10" s="3147"/>
    </row>
    <row r="11" spans="1:14" ht="27">
      <c r="D11" s="3144">
        <f>D10-D6</f>
        <v>5976.27</v>
      </c>
      <c r="E11" s="3144">
        <v>7</v>
      </c>
      <c r="H11" s="3145" t="s">
        <v>3451</v>
      </c>
      <c r="I11" s="3145">
        <v>181.15</v>
      </c>
      <c r="J11" s="3147"/>
      <c r="M11" s="3144" t="s">
        <v>3452</v>
      </c>
      <c r="N11" s="3144" t="s">
        <v>3453</v>
      </c>
    </row>
    <row r="12" spans="1:14">
      <c r="H12" s="3147" t="s">
        <v>3454</v>
      </c>
      <c r="I12" s="3149">
        <f>SUM(I5:I11)</f>
        <v>42863.29</v>
      </c>
      <c r="J12" s="3149">
        <f>分摊土地!E3</f>
        <v>13142.83</v>
      </c>
      <c r="L12" s="3144" t="s">
        <v>4287</v>
      </c>
      <c r="M12" s="3144">
        <f>D7+I12</f>
        <v>66017.299999999916</v>
      </c>
      <c r="N12" s="3144">
        <f>F7+J12</f>
        <v>20242.140000000007</v>
      </c>
    </row>
    <row r="13" spans="1:14">
      <c r="C13" s="3144" t="s">
        <v>4286</v>
      </c>
      <c r="D13" s="3144">
        <v>15639.33</v>
      </c>
      <c r="E13" s="3144">
        <v>419</v>
      </c>
    </row>
    <row r="14" spans="1:14">
      <c r="D14" s="3144">
        <v>0</v>
      </c>
      <c r="E14" s="3144">
        <f>E13-E5</f>
        <v>0</v>
      </c>
    </row>
    <row r="16" spans="1:14">
      <c r="B16" s="3144" t="s">
        <v>3396</v>
      </c>
      <c r="C16" s="3144" t="s">
        <v>3397</v>
      </c>
      <c r="D16" s="3144" t="s">
        <v>3399</v>
      </c>
      <c r="E16" s="3144" t="s">
        <v>2540</v>
      </c>
      <c r="F16" s="3144" t="s">
        <v>3402</v>
      </c>
      <c r="G16" s="3144" t="s">
        <v>3404</v>
      </c>
      <c r="H16" s="3144" t="s">
        <v>3406</v>
      </c>
      <c r="I16" s="3144" t="s">
        <v>3408</v>
      </c>
      <c r="J16" s="3144" t="s">
        <v>3410</v>
      </c>
      <c r="K16" s="3144" t="s">
        <v>3412</v>
      </c>
      <c r="L16" s="3144" t="s">
        <v>3414</v>
      </c>
      <c r="M16" s="3144" t="s">
        <v>3416</v>
      </c>
    </row>
    <row r="17" spans="1:14" ht="40.5">
      <c r="A17" s="3144" t="s">
        <v>3455</v>
      </c>
      <c r="B17" s="3144">
        <v>2.5</v>
      </c>
      <c r="C17" s="3144" t="s">
        <v>3456</v>
      </c>
      <c r="D17" s="3144" t="s">
        <v>3457</v>
      </c>
      <c r="E17" s="3144" t="s">
        <v>3419</v>
      </c>
      <c r="F17" s="3144" t="s">
        <v>3458</v>
      </c>
      <c r="G17" s="3144" t="s">
        <v>3459</v>
      </c>
      <c r="H17" s="3144" t="s">
        <v>3460</v>
      </c>
      <c r="I17" s="3144">
        <v>44140.36</v>
      </c>
      <c r="J17" s="3144">
        <v>57339</v>
      </c>
      <c r="K17" s="3144" t="s">
        <v>3424</v>
      </c>
      <c r="L17" s="3144">
        <v>28098.68</v>
      </c>
      <c r="M17" s="3144" t="s">
        <v>4282</v>
      </c>
    </row>
    <row r="18" spans="1:14" ht="40.5">
      <c r="C18" s="3144" t="s">
        <v>3461</v>
      </c>
      <c r="D18" s="3144" t="s">
        <v>3462</v>
      </c>
      <c r="E18" s="3144" t="s">
        <v>3429</v>
      </c>
      <c r="F18" s="3144" t="s">
        <v>3463</v>
      </c>
      <c r="G18" s="3144" t="s">
        <v>3464</v>
      </c>
      <c r="I18" s="3144">
        <v>35507.85</v>
      </c>
      <c r="J18" s="3144" t="s">
        <v>3433</v>
      </c>
      <c r="K18" s="3144" t="s">
        <v>3424</v>
      </c>
      <c r="L18" s="3144">
        <v>28098.68</v>
      </c>
      <c r="M18" s="3144" t="s">
        <v>4282</v>
      </c>
    </row>
    <row r="19" spans="1:14">
      <c r="C19" s="3147" t="s">
        <v>3436</v>
      </c>
      <c r="D19" s="3147" t="s">
        <v>3438</v>
      </c>
      <c r="E19" s="3147" t="s">
        <v>3440</v>
      </c>
      <c r="F19" s="3147" t="s">
        <v>3442</v>
      </c>
      <c r="H19" s="3147" t="s">
        <v>3465</v>
      </c>
      <c r="I19" s="3147" t="s">
        <v>3452</v>
      </c>
      <c r="J19" s="3147" t="s">
        <v>3453</v>
      </c>
    </row>
    <row r="20" spans="1:14">
      <c r="C20" s="3147" t="s">
        <v>3466</v>
      </c>
      <c r="D20" s="3147">
        <f>分摊土地!L344</f>
        <v>14328.11999999997</v>
      </c>
      <c r="E20" s="3148">
        <v>337</v>
      </c>
      <c r="F20" s="3147">
        <f>分摊土地!M344</f>
        <v>3315.0000000000136</v>
      </c>
      <c r="G20" s="3144" t="s">
        <v>3446</v>
      </c>
      <c r="H20" s="3146">
        <v>1</v>
      </c>
      <c r="I20" s="3146">
        <v>8714.39</v>
      </c>
      <c r="J20" s="3147"/>
    </row>
    <row r="21" spans="1:14">
      <c r="C21" s="3147" t="s">
        <v>3467</v>
      </c>
      <c r="D21" s="3147">
        <f>分摊土地!L341</f>
        <v>9581.2999999999993</v>
      </c>
      <c r="E21" s="3148">
        <v>1</v>
      </c>
      <c r="F21" s="3147">
        <f>分摊土地!M341</f>
        <v>2216.37</v>
      </c>
      <c r="H21" s="3146">
        <v>2</v>
      </c>
      <c r="I21" s="3146">
        <v>8586.61</v>
      </c>
      <c r="J21" s="3147"/>
    </row>
    <row r="22" spans="1:14">
      <c r="C22" s="3147"/>
      <c r="D22" s="3149">
        <f>SUM(D20:D21)</f>
        <v>23909.419999999969</v>
      </c>
      <c r="E22" s="3147">
        <f>SUM(E20:E21)</f>
        <v>338</v>
      </c>
      <c r="F22" s="3149">
        <f>F20+F21</f>
        <v>5531.3700000000135</v>
      </c>
      <c r="H22" s="3146">
        <v>3</v>
      </c>
      <c r="I22" s="3146">
        <v>8708.4500000000007</v>
      </c>
      <c r="J22" s="3147"/>
    </row>
    <row r="23" spans="1:14">
      <c r="H23" s="3146">
        <v>4</v>
      </c>
      <c r="I23" s="3146">
        <v>8552.11</v>
      </c>
      <c r="J23" s="3147"/>
    </row>
    <row r="24" spans="1:14">
      <c r="D24" s="3144" t="s">
        <v>3468</v>
      </c>
      <c r="E24" s="3144" t="s">
        <v>3469</v>
      </c>
      <c r="H24" s="3146">
        <v>5</v>
      </c>
      <c r="I24" s="3146">
        <v>7982.25</v>
      </c>
      <c r="J24" s="3147"/>
    </row>
    <row r="25" spans="1:14">
      <c r="C25" s="3144" t="s">
        <v>3450</v>
      </c>
      <c r="D25" s="3144">
        <v>15260.73</v>
      </c>
      <c r="E25" s="3144">
        <v>9</v>
      </c>
      <c r="H25" s="3146">
        <v>6</v>
      </c>
      <c r="I25" s="3146">
        <v>1471.94</v>
      </c>
      <c r="J25" s="3147"/>
    </row>
    <row r="26" spans="1:14">
      <c r="D26" s="3144">
        <f>D25-D21</f>
        <v>5679.43</v>
      </c>
      <c r="E26" s="3144">
        <v>8</v>
      </c>
      <c r="H26" s="3146" t="s">
        <v>3470</v>
      </c>
      <c r="I26" s="3146">
        <v>32.93</v>
      </c>
      <c r="J26" s="3147"/>
    </row>
    <row r="27" spans="1:14" ht="27">
      <c r="H27" s="3146" t="s">
        <v>3451</v>
      </c>
      <c r="I27" s="3146">
        <v>91.68</v>
      </c>
      <c r="J27" s="3147"/>
      <c r="M27" s="3144" t="s">
        <v>3452</v>
      </c>
      <c r="N27" s="3144" t="s">
        <v>3453</v>
      </c>
    </row>
    <row r="28" spans="1:14">
      <c r="C28" s="3144" t="s">
        <v>3471</v>
      </c>
      <c r="D28" s="3144">
        <v>20247.12</v>
      </c>
      <c r="E28" s="3144">
        <v>475</v>
      </c>
      <c r="H28" s="3147" t="s">
        <v>3454</v>
      </c>
      <c r="I28" s="3149">
        <f>SUM(I20:I27)</f>
        <v>44140.36</v>
      </c>
      <c r="J28" s="3149">
        <f>分摊土地!M3</f>
        <v>10210.65</v>
      </c>
      <c r="L28" s="3144" t="s">
        <v>4289</v>
      </c>
      <c r="M28" s="3144">
        <f>D22+I28</f>
        <v>68049.77999999997</v>
      </c>
      <c r="N28" s="3144">
        <f>F22+J28</f>
        <v>15742.020000000013</v>
      </c>
    </row>
    <row r="29" spans="1:14">
      <c r="D29" s="3144">
        <f>D28-D20</f>
        <v>5919.0000000000291</v>
      </c>
      <c r="E29" s="3144">
        <f>E28-E20</f>
        <v>138</v>
      </c>
    </row>
    <row r="30" spans="1:14">
      <c r="L30" s="3144" t="s">
        <v>3472</v>
      </c>
      <c r="M30" s="3144">
        <f>M12+M28</f>
        <v>134067.0799999999</v>
      </c>
      <c r="N30" s="3144">
        <f>N12+N28</f>
        <v>35984.160000000018</v>
      </c>
    </row>
    <row r="32" spans="1:14">
      <c r="A32" s="3265" t="s">
        <v>3473</v>
      </c>
      <c r="B32" s="3265"/>
      <c r="C32" s="3265"/>
      <c r="D32" s="3265"/>
      <c r="E32" s="3265" t="s">
        <v>3474</v>
      </c>
      <c r="F32" s="3265"/>
      <c r="G32" s="3265"/>
      <c r="H32" s="3265"/>
    </row>
    <row r="33" spans="1:8">
      <c r="A33" s="3151" t="s">
        <v>3475</v>
      </c>
      <c r="B33" s="3151" t="s">
        <v>3476</v>
      </c>
      <c r="C33" s="3151" t="s">
        <v>3477</v>
      </c>
      <c r="D33" s="3151" t="s">
        <v>3478</v>
      </c>
      <c r="E33" s="3151" t="s">
        <v>3475</v>
      </c>
      <c r="F33" s="3151" t="s">
        <v>3476</v>
      </c>
      <c r="G33" s="3151" t="s">
        <v>3477</v>
      </c>
      <c r="H33" s="3151" t="s">
        <v>3478</v>
      </c>
    </row>
    <row r="34" spans="1:8">
      <c r="A34" s="3151" t="s">
        <v>3479</v>
      </c>
      <c r="B34" s="3151">
        <f>D5</f>
        <v>15639.329999999913</v>
      </c>
      <c r="C34" s="3151" t="s">
        <v>3480</v>
      </c>
      <c r="D34" s="3151" t="s">
        <v>3480</v>
      </c>
      <c r="E34" s="3151" t="s">
        <v>3481</v>
      </c>
      <c r="F34" s="3151">
        <f>D20</f>
        <v>14328.11999999997</v>
      </c>
      <c r="G34" s="3151" t="s">
        <v>3482</v>
      </c>
      <c r="H34" s="3151" t="s">
        <v>3482</v>
      </c>
    </row>
    <row r="35" spans="1:8" ht="27">
      <c r="A35" s="3151" t="s">
        <v>3484</v>
      </c>
      <c r="B35" s="3151">
        <f>D6</f>
        <v>7514.68</v>
      </c>
      <c r="C35" s="3151" t="s">
        <v>3419</v>
      </c>
      <c r="D35" s="3151" t="s">
        <v>3485</v>
      </c>
      <c r="E35" s="3151" t="s">
        <v>3483</v>
      </c>
      <c r="F35" s="3151">
        <f>D21</f>
        <v>9581.2999999999993</v>
      </c>
      <c r="G35" s="3151" t="s">
        <v>3486</v>
      </c>
      <c r="H35" s="3151" t="s">
        <v>3487</v>
      </c>
    </row>
    <row r="36" spans="1:8" ht="40.5">
      <c r="A36" s="3151">
        <v>1</v>
      </c>
      <c r="B36" s="3151">
        <f>I5</f>
        <v>7558.56</v>
      </c>
      <c r="C36" s="3151" t="s">
        <v>3488</v>
      </c>
      <c r="D36" s="3151" t="s">
        <v>3489</v>
      </c>
      <c r="E36" s="3151">
        <v>1</v>
      </c>
      <c r="F36" s="3151">
        <f>I20</f>
        <v>8714.39</v>
      </c>
      <c r="G36" s="3151" t="s">
        <v>3490</v>
      </c>
      <c r="H36" s="3151" t="s">
        <v>3491</v>
      </c>
    </row>
    <row r="37" spans="1:8" ht="27">
      <c r="A37" s="3151">
        <v>2</v>
      </c>
      <c r="B37" s="3151">
        <f t="shared" ref="B37:B40" si="0">I6</f>
        <v>7882.5</v>
      </c>
      <c r="C37" s="3151" t="s">
        <v>3492</v>
      </c>
      <c r="D37" s="3151" t="s">
        <v>3493</v>
      </c>
      <c r="E37" s="3151">
        <v>2</v>
      </c>
      <c r="F37" s="3151">
        <f t="shared" ref="F37:F43" si="1">I21</f>
        <v>8586.61</v>
      </c>
      <c r="G37" s="3151" t="s">
        <v>3494</v>
      </c>
      <c r="H37" s="3151" t="s">
        <v>3495</v>
      </c>
    </row>
    <row r="38" spans="1:8">
      <c r="A38" s="3151">
        <v>3</v>
      </c>
      <c r="B38" s="3151">
        <f t="shared" si="0"/>
        <v>7825.72</v>
      </c>
      <c r="C38" s="3151" t="s">
        <v>3494</v>
      </c>
      <c r="D38" s="3151" t="s">
        <v>3496</v>
      </c>
      <c r="E38" s="3151">
        <v>3</v>
      </c>
      <c r="F38" s="3151">
        <f t="shared" si="1"/>
        <v>8708.4500000000007</v>
      </c>
      <c r="G38" s="3151" t="s">
        <v>3494</v>
      </c>
      <c r="H38" s="3151" t="s">
        <v>3496</v>
      </c>
    </row>
    <row r="39" spans="1:8" ht="27">
      <c r="A39" s="3151">
        <v>4</v>
      </c>
      <c r="B39" s="3151">
        <f t="shared" si="0"/>
        <v>7570.61</v>
      </c>
      <c r="C39" s="3151" t="s">
        <v>3494</v>
      </c>
      <c r="D39" s="3151" t="s">
        <v>3497</v>
      </c>
      <c r="E39" s="3151">
        <v>4</v>
      </c>
      <c r="F39" s="3151">
        <f t="shared" si="1"/>
        <v>8552.11</v>
      </c>
      <c r="G39" s="3151" t="s">
        <v>3494</v>
      </c>
      <c r="H39" s="3151" t="s">
        <v>3498</v>
      </c>
    </row>
    <row r="40" spans="1:8" ht="27">
      <c r="A40" s="3151">
        <v>5</v>
      </c>
      <c r="B40" s="3151">
        <f t="shared" si="0"/>
        <v>7472.25</v>
      </c>
      <c r="C40" s="3151" t="s">
        <v>3494</v>
      </c>
      <c r="D40" s="3151" t="s">
        <v>3497</v>
      </c>
      <c r="E40" s="3151">
        <v>5</v>
      </c>
      <c r="F40" s="3151">
        <f t="shared" si="1"/>
        <v>7982.25</v>
      </c>
      <c r="G40" s="3151" t="s">
        <v>3494</v>
      </c>
      <c r="H40" s="3151" t="s">
        <v>3499</v>
      </c>
    </row>
    <row r="41" spans="1:8">
      <c r="A41" s="3151">
        <v>6</v>
      </c>
      <c r="B41" s="3151">
        <f>I10</f>
        <v>4372.5</v>
      </c>
      <c r="C41" s="3151" t="s">
        <v>3494</v>
      </c>
      <c r="D41" s="3151" t="s">
        <v>3497</v>
      </c>
      <c r="E41" s="3151">
        <v>6</v>
      </c>
      <c r="F41" s="3151">
        <f t="shared" si="1"/>
        <v>1471.94</v>
      </c>
      <c r="G41" s="3151" t="s">
        <v>3494</v>
      </c>
      <c r="H41" s="3151" t="s">
        <v>3500</v>
      </c>
    </row>
    <row r="42" spans="1:8">
      <c r="A42" s="3151" t="s">
        <v>3501</v>
      </c>
      <c r="B42" s="3151">
        <f>I11</f>
        <v>181.15</v>
      </c>
      <c r="C42" s="3151" t="s">
        <v>3502</v>
      </c>
      <c r="D42" s="3151"/>
      <c r="E42" s="3151" t="s">
        <v>3503</v>
      </c>
      <c r="F42" s="3151">
        <f t="shared" si="1"/>
        <v>32.93</v>
      </c>
      <c r="G42" s="3151" t="s">
        <v>3503</v>
      </c>
      <c r="H42" s="3151"/>
    </row>
    <row r="43" spans="1:8">
      <c r="A43" s="3151"/>
      <c r="B43" s="3151"/>
      <c r="C43" s="3151"/>
      <c r="D43" s="3151"/>
      <c r="E43" s="3151" t="s">
        <v>3502</v>
      </c>
      <c r="F43" s="3151">
        <f t="shared" si="1"/>
        <v>91.68</v>
      </c>
      <c r="G43" s="3151" t="s">
        <v>3502</v>
      </c>
      <c r="H43" s="3151"/>
    </row>
    <row r="44" spans="1:8">
      <c r="A44" s="3151" t="s">
        <v>3504</v>
      </c>
      <c r="B44" s="3151">
        <f>SUM(B34:B43)</f>
        <v>66017.299999999916</v>
      </c>
      <c r="C44" s="3151" t="s">
        <v>3505</v>
      </c>
      <c r="D44" s="3151" t="s">
        <v>3505</v>
      </c>
      <c r="E44" s="3151" t="s">
        <v>3504</v>
      </c>
      <c r="F44" s="3151">
        <f>SUM(F34:F43)</f>
        <v>68049.779999999955</v>
      </c>
      <c r="G44" s="3151" t="s">
        <v>3505</v>
      </c>
      <c r="H44" s="3151" t="s">
        <v>3505</v>
      </c>
    </row>
    <row r="46" spans="1:8">
      <c r="B46" s="3144">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31" activePane="bottomLeft" state="frozen"/>
      <selection pane="bottomLeft" activeCell="E431" sqref="E431"/>
    </sheetView>
  </sheetViews>
  <sheetFormatPr defaultColWidth="8.5" defaultRowHeight="13.5"/>
  <cols>
    <col min="1" max="1" width="8.5" style="3156"/>
    <col min="2" max="2" width="9.25" style="3156" customWidth="1"/>
    <col min="3" max="3" width="11.625" style="3156" customWidth="1"/>
    <col min="4" max="4" width="11.25" style="3156" customWidth="1"/>
    <col min="5" max="5" width="12.25" style="3156" customWidth="1"/>
    <col min="6" max="6" width="11.125" style="3156" customWidth="1"/>
    <col min="7" max="8" width="8.5" style="3156"/>
    <col min="9" max="9" width="9.625" style="3156" customWidth="1"/>
    <col min="10" max="10" width="10.625" style="3156" customWidth="1"/>
    <col min="11" max="11" width="11.75" style="3156" customWidth="1"/>
    <col min="12" max="12" width="12.625" style="3156" customWidth="1"/>
    <col min="13" max="13" width="12.75" style="3156" customWidth="1"/>
    <col min="14" max="16384" width="8.5" style="3156"/>
  </cols>
  <sheetData>
    <row r="1" spans="1:14">
      <c r="A1" s="3266" t="s">
        <v>4284</v>
      </c>
      <c r="B1" s="3266"/>
      <c r="C1" s="3266"/>
      <c r="D1" s="3266"/>
      <c r="E1" s="3266"/>
      <c r="F1" s="3266"/>
      <c r="I1" s="3267" t="s">
        <v>4283</v>
      </c>
      <c r="J1" s="3267"/>
      <c r="K1" s="3267"/>
      <c r="L1" s="3267"/>
      <c r="M1" s="3267"/>
      <c r="N1" s="3267"/>
    </row>
    <row r="2" spans="1:14">
      <c r="A2" s="3150" t="s">
        <v>3506</v>
      </c>
      <c r="B2" s="3154" t="s">
        <v>3507</v>
      </c>
      <c r="C2" s="3154" t="s">
        <v>3508</v>
      </c>
      <c r="D2" s="3154" t="s">
        <v>3509</v>
      </c>
      <c r="E2" s="3154" t="s">
        <v>3510</v>
      </c>
      <c r="F2" s="3150" t="s">
        <v>3511</v>
      </c>
      <c r="I2" s="3150" t="s">
        <v>3506</v>
      </c>
      <c r="J2" s="3154" t="s">
        <v>3507</v>
      </c>
      <c r="K2" s="3154" t="s">
        <v>3508</v>
      </c>
      <c r="L2" s="3154" t="s">
        <v>3509</v>
      </c>
      <c r="M2" s="3154" t="s">
        <v>3510</v>
      </c>
      <c r="N2" s="3150" t="s">
        <v>3511</v>
      </c>
    </row>
    <row r="3" spans="1:14">
      <c r="A3" s="3150">
        <v>1</v>
      </c>
      <c r="B3" s="3154" t="s">
        <v>3512</v>
      </c>
      <c r="C3" s="3154">
        <v>101</v>
      </c>
      <c r="D3" s="3154">
        <v>42863.29</v>
      </c>
      <c r="E3" s="3155">
        <v>13142.83</v>
      </c>
      <c r="F3" s="3150" t="s">
        <v>3513</v>
      </c>
      <c r="I3" s="3150">
        <v>1</v>
      </c>
      <c r="J3" s="3154" t="s">
        <v>3934</v>
      </c>
      <c r="K3" s="3154">
        <v>101</v>
      </c>
      <c r="L3" s="3154">
        <v>44140.36</v>
      </c>
      <c r="M3" s="3155">
        <v>10210.65</v>
      </c>
      <c r="N3" s="3150" t="s">
        <v>4274</v>
      </c>
    </row>
    <row r="4" spans="1:14">
      <c r="A4" s="3150">
        <v>2</v>
      </c>
      <c r="B4" s="3154" t="s">
        <v>3514</v>
      </c>
      <c r="C4" s="3154" t="s">
        <v>3515</v>
      </c>
      <c r="D4" s="3154">
        <v>36.56</v>
      </c>
      <c r="E4" s="3155">
        <v>11.21</v>
      </c>
      <c r="F4" s="3150" t="s">
        <v>4273</v>
      </c>
      <c r="I4" s="3150">
        <v>2</v>
      </c>
      <c r="J4" s="3154" t="s">
        <v>3935</v>
      </c>
      <c r="K4" s="3154" t="s">
        <v>3936</v>
      </c>
      <c r="L4" s="3154">
        <v>41.97</v>
      </c>
      <c r="M4" s="3155">
        <v>9.7100000000000009</v>
      </c>
      <c r="N4" s="3150" t="s">
        <v>4273</v>
      </c>
    </row>
    <row r="5" spans="1:14">
      <c r="A5" s="3150">
        <v>3</v>
      </c>
      <c r="B5" s="3154" t="s">
        <v>3514</v>
      </c>
      <c r="C5" s="3154" t="s">
        <v>3516</v>
      </c>
      <c r="D5" s="3154">
        <v>36.56</v>
      </c>
      <c r="E5" s="3155">
        <v>11.21</v>
      </c>
      <c r="F5" s="3150" t="s">
        <v>4273</v>
      </c>
      <c r="I5" s="3150">
        <v>3</v>
      </c>
      <c r="J5" s="3154" t="s">
        <v>3935</v>
      </c>
      <c r="K5" s="3154" t="s">
        <v>3937</v>
      </c>
      <c r="L5" s="3154">
        <v>43.78</v>
      </c>
      <c r="M5" s="3155">
        <v>10.130000000000001</v>
      </c>
      <c r="N5" s="3150" t="s">
        <v>4273</v>
      </c>
    </row>
    <row r="6" spans="1:14">
      <c r="A6" s="3150">
        <v>4</v>
      </c>
      <c r="B6" s="3154" t="s">
        <v>3514</v>
      </c>
      <c r="C6" s="3154" t="s">
        <v>3517</v>
      </c>
      <c r="D6" s="3154">
        <v>36.56</v>
      </c>
      <c r="E6" s="3155">
        <v>11.21</v>
      </c>
      <c r="F6" s="3150" t="s">
        <v>4273</v>
      </c>
      <c r="I6" s="3150">
        <v>4</v>
      </c>
      <c r="J6" s="3154" t="s">
        <v>3935</v>
      </c>
      <c r="K6" s="3154" t="s">
        <v>3938</v>
      </c>
      <c r="L6" s="3154">
        <v>41.97</v>
      </c>
      <c r="M6" s="3155">
        <v>9.7100000000000009</v>
      </c>
      <c r="N6" s="3150" t="s">
        <v>4273</v>
      </c>
    </row>
    <row r="7" spans="1:14">
      <c r="A7" s="3150">
        <v>5</v>
      </c>
      <c r="B7" s="3154" t="s">
        <v>3514</v>
      </c>
      <c r="C7" s="3154" t="s">
        <v>3518</v>
      </c>
      <c r="D7" s="3154">
        <v>38.130000000000003</v>
      </c>
      <c r="E7" s="3155">
        <v>11.69</v>
      </c>
      <c r="F7" s="3150" t="s">
        <v>4273</v>
      </c>
      <c r="I7" s="3150">
        <v>5</v>
      </c>
      <c r="J7" s="3154" t="s">
        <v>3935</v>
      </c>
      <c r="K7" s="3154" t="s">
        <v>3939</v>
      </c>
      <c r="L7" s="3154">
        <v>41.97</v>
      </c>
      <c r="M7" s="3155">
        <v>9.7100000000000009</v>
      </c>
      <c r="N7" s="3150" t="s">
        <v>4273</v>
      </c>
    </row>
    <row r="8" spans="1:14">
      <c r="A8" s="3150">
        <v>6</v>
      </c>
      <c r="B8" s="3154" t="s">
        <v>3514</v>
      </c>
      <c r="C8" s="3154" t="s">
        <v>3519</v>
      </c>
      <c r="D8" s="3154">
        <v>36.56</v>
      </c>
      <c r="E8" s="3155">
        <v>11.21</v>
      </c>
      <c r="F8" s="3150" t="s">
        <v>4273</v>
      </c>
      <c r="I8" s="3150">
        <v>6</v>
      </c>
      <c r="J8" s="3154" t="s">
        <v>3935</v>
      </c>
      <c r="K8" s="3154" t="s">
        <v>3940</v>
      </c>
      <c r="L8" s="3154">
        <v>41.97</v>
      </c>
      <c r="M8" s="3155">
        <v>9.7100000000000009</v>
      </c>
      <c r="N8" s="3150" t="s">
        <v>4273</v>
      </c>
    </row>
    <row r="9" spans="1:14">
      <c r="A9" s="3150">
        <v>7</v>
      </c>
      <c r="B9" s="3154" t="s">
        <v>3514</v>
      </c>
      <c r="C9" s="3154" t="s">
        <v>3520</v>
      </c>
      <c r="D9" s="3154">
        <v>36.56</v>
      </c>
      <c r="E9" s="3155">
        <v>11.21</v>
      </c>
      <c r="F9" s="3150" t="s">
        <v>4273</v>
      </c>
      <c r="I9" s="3150">
        <v>7</v>
      </c>
      <c r="J9" s="3154" t="s">
        <v>3935</v>
      </c>
      <c r="K9" s="3154" t="s">
        <v>3941</v>
      </c>
      <c r="L9" s="3154">
        <v>41.97</v>
      </c>
      <c r="M9" s="3155">
        <v>9.7100000000000009</v>
      </c>
      <c r="N9" s="3150" t="s">
        <v>4273</v>
      </c>
    </row>
    <row r="10" spans="1:14">
      <c r="A10" s="3150">
        <v>8</v>
      </c>
      <c r="B10" s="3154" t="s">
        <v>3514</v>
      </c>
      <c r="C10" s="3154" t="s">
        <v>3521</v>
      </c>
      <c r="D10" s="3154">
        <v>38.130000000000003</v>
      </c>
      <c r="E10" s="3155">
        <v>11.69</v>
      </c>
      <c r="F10" s="3150" t="s">
        <v>4273</v>
      </c>
      <c r="I10" s="3150">
        <v>8</v>
      </c>
      <c r="J10" s="3154" t="s">
        <v>3935</v>
      </c>
      <c r="K10" s="3154" t="s">
        <v>3942</v>
      </c>
      <c r="L10" s="3154">
        <v>43.78</v>
      </c>
      <c r="M10" s="3155">
        <v>10.130000000000001</v>
      </c>
      <c r="N10" s="3150" t="s">
        <v>4273</v>
      </c>
    </row>
    <row r="11" spans="1:14">
      <c r="A11" s="3150">
        <v>9</v>
      </c>
      <c r="B11" s="3154" t="s">
        <v>3514</v>
      </c>
      <c r="C11" s="3154" t="s">
        <v>3522</v>
      </c>
      <c r="D11" s="3154">
        <v>36.56</v>
      </c>
      <c r="E11" s="3155">
        <v>11.21</v>
      </c>
      <c r="F11" s="3150" t="s">
        <v>4273</v>
      </c>
      <c r="I11" s="3150">
        <v>9</v>
      </c>
      <c r="J11" s="3154" t="s">
        <v>3935</v>
      </c>
      <c r="K11" s="3154" t="s">
        <v>3943</v>
      </c>
      <c r="L11" s="3154">
        <v>41.97</v>
      </c>
      <c r="M11" s="3155">
        <v>9.7100000000000009</v>
      </c>
      <c r="N11" s="3150" t="s">
        <v>4273</v>
      </c>
    </row>
    <row r="12" spans="1:14">
      <c r="A12" s="3150">
        <v>10</v>
      </c>
      <c r="B12" s="3154" t="s">
        <v>3514</v>
      </c>
      <c r="C12" s="3154" t="s">
        <v>3523</v>
      </c>
      <c r="D12" s="3154">
        <v>36.56</v>
      </c>
      <c r="E12" s="3155">
        <v>11.21</v>
      </c>
      <c r="F12" s="3150" t="s">
        <v>4273</v>
      </c>
      <c r="I12" s="3150">
        <v>10</v>
      </c>
      <c r="J12" s="3154" t="s">
        <v>3935</v>
      </c>
      <c r="K12" s="3154" t="s">
        <v>3944</v>
      </c>
      <c r="L12" s="3154">
        <v>41.97</v>
      </c>
      <c r="M12" s="3155">
        <v>9.7100000000000009</v>
      </c>
      <c r="N12" s="3150" t="s">
        <v>4273</v>
      </c>
    </row>
    <row r="13" spans="1:14">
      <c r="A13" s="3150">
        <v>11</v>
      </c>
      <c r="B13" s="3154" t="s">
        <v>3514</v>
      </c>
      <c r="C13" s="3154" t="s">
        <v>3524</v>
      </c>
      <c r="D13" s="3154">
        <v>38.130000000000003</v>
      </c>
      <c r="E13" s="3155">
        <v>11.69</v>
      </c>
      <c r="F13" s="3150" t="s">
        <v>4273</v>
      </c>
      <c r="I13" s="3150">
        <v>11</v>
      </c>
      <c r="J13" s="3154" t="s">
        <v>3935</v>
      </c>
      <c r="K13" s="3154" t="s">
        <v>3945</v>
      </c>
      <c r="L13" s="3154">
        <v>43.78</v>
      </c>
      <c r="M13" s="3155">
        <v>10.130000000000001</v>
      </c>
      <c r="N13" s="3150" t="s">
        <v>4273</v>
      </c>
    </row>
    <row r="14" spans="1:14">
      <c r="A14" s="3150">
        <v>12</v>
      </c>
      <c r="B14" s="3154" t="s">
        <v>3514</v>
      </c>
      <c r="C14" s="3154" t="s">
        <v>3525</v>
      </c>
      <c r="D14" s="3154">
        <v>36.56</v>
      </c>
      <c r="E14" s="3155">
        <v>11.21</v>
      </c>
      <c r="F14" s="3150" t="s">
        <v>4273</v>
      </c>
      <c r="I14" s="3150">
        <v>12</v>
      </c>
      <c r="J14" s="3154" t="s">
        <v>3935</v>
      </c>
      <c r="K14" s="3154" t="s">
        <v>3946</v>
      </c>
      <c r="L14" s="3154">
        <v>41.97</v>
      </c>
      <c r="M14" s="3155">
        <v>9.7100000000000009</v>
      </c>
      <c r="N14" s="3150" t="s">
        <v>4273</v>
      </c>
    </row>
    <row r="15" spans="1:14">
      <c r="A15" s="3150">
        <v>13</v>
      </c>
      <c r="B15" s="3154" t="s">
        <v>3514</v>
      </c>
      <c r="C15" s="3154" t="s">
        <v>3526</v>
      </c>
      <c r="D15" s="3154">
        <v>36.56</v>
      </c>
      <c r="E15" s="3155">
        <v>11.21</v>
      </c>
      <c r="F15" s="3150" t="s">
        <v>4273</v>
      </c>
      <c r="I15" s="3150">
        <v>13</v>
      </c>
      <c r="J15" s="3154" t="s">
        <v>3935</v>
      </c>
      <c r="K15" s="3154" t="s">
        <v>3947</v>
      </c>
      <c r="L15" s="3154">
        <v>41.97</v>
      </c>
      <c r="M15" s="3155">
        <v>9.7100000000000009</v>
      </c>
      <c r="N15" s="3150" t="s">
        <v>4273</v>
      </c>
    </row>
    <row r="16" spans="1:14">
      <c r="A16" s="3150">
        <v>14</v>
      </c>
      <c r="B16" s="3154" t="s">
        <v>3514</v>
      </c>
      <c r="C16" s="3154" t="s">
        <v>3527</v>
      </c>
      <c r="D16" s="3154">
        <v>38.130000000000003</v>
      </c>
      <c r="E16" s="3155">
        <v>11.69</v>
      </c>
      <c r="F16" s="3150" t="s">
        <v>4273</v>
      </c>
      <c r="I16" s="3150">
        <v>14</v>
      </c>
      <c r="J16" s="3154" t="s">
        <v>3935</v>
      </c>
      <c r="K16" s="3154" t="s">
        <v>3948</v>
      </c>
      <c r="L16" s="3154">
        <v>41.97</v>
      </c>
      <c r="M16" s="3155">
        <v>9.7100000000000009</v>
      </c>
      <c r="N16" s="3150" t="s">
        <v>4273</v>
      </c>
    </row>
    <row r="17" spans="1:14">
      <c r="A17" s="3150">
        <v>15</v>
      </c>
      <c r="B17" s="3154" t="s">
        <v>3514</v>
      </c>
      <c r="C17" s="3154" t="s">
        <v>3528</v>
      </c>
      <c r="D17" s="3154">
        <v>36.56</v>
      </c>
      <c r="E17" s="3155">
        <v>11.21</v>
      </c>
      <c r="F17" s="3150" t="s">
        <v>4273</v>
      </c>
      <c r="I17" s="3150">
        <v>15</v>
      </c>
      <c r="J17" s="3154" t="s">
        <v>3935</v>
      </c>
      <c r="K17" s="3154" t="s">
        <v>3949</v>
      </c>
      <c r="L17" s="3154">
        <v>41.97</v>
      </c>
      <c r="M17" s="3155">
        <v>9.7100000000000009</v>
      </c>
      <c r="N17" s="3150" t="s">
        <v>4273</v>
      </c>
    </row>
    <row r="18" spans="1:14">
      <c r="A18" s="3150">
        <v>16</v>
      </c>
      <c r="B18" s="3154" t="s">
        <v>3514</v>
      </c>
      <c r="C18" s="3154" t="s">
        <v>3529</v>
      </c>
      <c r="D18" s="3154">
        <v>38.130000000000003</v>
      </c>
      <c r="E18" s="3155">
        <v>11.69</v>
      </c>
      <c r="F18" s="3150" t="s">
        <v>4273</v>
      </c>
      <c r="I18" s="3150">
        <v>16</v>
      </c>
      <c r="J18" s="3154" t="s">
        <v>3935</v>
      </c>
      <c r="K18" s="3154" t="s">
        <v>3950</v>
      </c>
      <c r="L18" s="3154">
        <v>41.97</v>
      </c>
      <c r="M18" s="3155">
        <v>9.7100000000000009</v>
      </c>
      <c r="N18" s="3150" t="s">
        <v>4273</v>
      </c>
    </row>
    <row r="19" spans="1:14">
      <c r="A19" s="3150">
        <v>17</v>
      </c>
      <c r="B19" s="3154" t="s">
        <v>3514</v>
      </c>
      <c r="C19" s="3154" t="s">
        <v>3530</v>
      </c>
      <c r="D19" s="3154">
        <v>36.56</v>
      </c>
      <c r="E19" s="3155">
        <v>11.21</v>
      </c>
      <c r="F19" s="3150" t="s">
        <v>4273</v>
      </c>
      <c r="I19" s="3150">
        <v>17</v>
      </c>
      <c r="J19" s="3154" t="s">
        <v>3935</v>
      </c>
      <c r="K19" s="3154" t="s">
        <v>3951</v>
      </c>
      <c r="L19" s="3154">
        <v>34.21</v>
      </c>
      <c r="M19" s="3155">
        <v>7.91</v>
      </c>
      <c r="N19" s="3150" t="s">
        <v>4273</v>
      </c>
    </row>
    <row r="20" spans="1:14">
      <c r="A20" s="3150">
        <v>18</v>
      </c>
      <c r="B20" s="3154" t="s">
        <v>3514</v>
      </c>
      <c r="C20" s="3154" t="s">
        <v>3531</v>
      </c>
      <c r="D20" s="3154">
        <v>38.130000000000003</v>
      </c>
      <c r="E20" s="3155">
        <v>11.69</v>
      </c>
      <c r="F20" s="3150" t="s">
        <v>4273</v>
      </c>
      <c r="I20" s="3150">
        <v>18</v>
      </c>
      <c r="J20" s="3154" t="s">
        <v>3935</v>
      </c>
      <c r="K20" s="3154" t="s">
        <v>3952</v>
      </c>
      <c r="L20" s="3154">
        <v>43.78</v>
      </c>
      <c r="M20" s="3155">
        <v>10.130000000000001</v>
      </c>
      <c r="N20" s="3150" t="s">
        <v>4273</v>
      </c>
    </row>
    <row r="21" spans="1:14">
      <c r="A21" s="3150">
        <v>19</v>
      </c>
      <c r="B21" s="3154" t="s">
        <v>3514</v>
      </c>
      <c r="C21" s="3154" t="s">
        <v>3532</v>
      </c>
      <c r="D21" s="3154">
        <v>36.56</v>
      </c>
      <c r="E21" s="3155">
        <v>11.21</v>
      </c>
      <c r="F21" s="3150" t="s">
        <v>4273</v>
      </c>
      <c r="I21" s="3150">
        <v>19</v>
      </c>
      <c r="J21" s="3154" t="s">
        <v>3935</v>
      </c>
      <c r="K21" s="3154" t="s">
        <v>3953</v>
      </c>
      <c r="L21" s="3154">
        <v>41.97</v>
      </c>
      <c r="M21" s="3155">
        <v>9.7100000000000009</v>
      </c>
      <c r="N21" s="3150" t="s">
        <v>4273</v>
      </c>
    </row>
    <row r="22" spans="1:14">
      <c r="A22" s="3150">
        <v>20</v>
      </c>
      <c r="B22" s="3154" t="s">
        <v>3514</v>
      </c>
      <c r="C22" s="3154" t="s">
        <v>3533</v>
      </c>
      <c r="D22" s="3154">
        <v>36.56</v>
      </c>
      <c r="E22" s="3155">
        <v>11.21</v>
      </c>
      <c r="F22" s="3150" t="s">
        <v>4273</v>
      </c>
      <c r="I22" s="3150">
        <v>20</v>
      </c>
      <c r="J22" s="3154" t="s">
        <v>3935</v>
      </c>
      <c r="K22" s="3154" t="s">
        <v>3954</v>
      </c>
      <c r="L22" s="3154">
        <v>41.97</v>
      </c>
      <c r="M22" s="3155">
        <v>9.7100000000000009</v>
      </c>
      <c r="N22" s="3150" t="s">
        <v>4273</v>
      </c>
    </row>
    <row r="23" spans="1:14">
      <c r="A23" s="3150">
        <v>21</v>
      </c>
      <c r="B23" s="3154" t="s">
        <v>3514</v>
      </c>
      <c r="C23" s="3154" t="s">
        <v>3534</v>
      </c>
      <c r="D23" s="3154">
        <v>38.130000000000003</v>
      </c>
      <c r="E23" s="3155">
        <v>11.69</v>
      </c>
      <c r="F23" s="3150" t="s">
        <v>4273</v>
      </c>
      <c r="I23" s="3150">
        <v>21</v>
      </c>
      <c r="J23" s="3154" t="s">
        <v>3935</v>
      </c>
      <c r="K23" s="3154" t="s">
        <v>3955</v>
      </c>
      <c r="L23" s="3154">
        <v>43.78</v>
      </c>
      <c r="M23" s="3155">
        <v>10.130000000000001</v>
      </c>
      <c r="N23" s="3150" t="s">
        <v>4273</v>
      </c>
    </row>
    <row r="24" spans="1:14">
      <c r="A24" s="3150">
        <v>22</v>
      </c>
      <c r="B24" s="3154" t="s">
        <v>3514</v>
      </c>
      <c r="C24" s="3154" t="s">
        <v>3535</v>
      </c>
      <c r="D24" s="3154">
        <v>36.56</v>
      </c>
      <c r="E24" s="3155">
        <v>11.21</v>
      </c>
      <c r="F24" s="3150" t="s">
        <v>4273</v>
      </c>
      <c r="I24" s="3150">
        <v>22</v>
      </c>
      <c r="J24" s="3154" t="s">
        <v>3935</v>
      </c>
      <c r="K24" s="3154" t="s">
        <v>3956</v>
      </c>
      <c r="L24" s="3154">
        <v>41.97</v>
      </c>
      <c r="M24" s="3155">
        <v>9.7100000000000009</v>
      </c>
      <c r="N24" s="3150" t="s">
        <v>4273</v>
      </c>
    </row>
    <row r="25" spans="1:14">
      <c r="A25" s="3150">
        <v>23</v>
      </c>
      <c r="B25" s="3154" t="s">
        <v>3514</v>
      </c>
      <c r="C25" s="3154" t="s">
        <v>3536</v>
      </c>
      <c r="D25" s="3154">
        <v>47.66</v>
      </c>
      <c r="E25" s="3155">
        <v>14.61</v>
      </c>
      <c r="F25" s="3150" t="s">
        <v>4273</v>
      </c>
      <c r="I25" s="3150">
        <v>23</v>
      </c>
      <c r="J25" s="3154" t="s">
        <v>3935</v>
      </c>
      <c r="K25" s="3154" t="s">
        <v>3957</v>
      </c>
      <c r="L25" s="3154">
        <v>41.97</v>
      </c>
      <c r="M25" s="3155">
        <v>9.7100000000000009</v>
      </c>
      <c r="N25" s="3150" t="s">
        <v>4273</v>
      </c>
    </row>
    <row r="26" spans="1:14">
      <c r="A26" s="3150">
        <v>24</v>
      </c>
      <c r="B26" s="3154" t="s">
        <v>3514</v>
      </c>
      <c r="C26" s="3154" t="s">
        <v>3537</v>
      </c>
      <c r="D26" s="3154">
        <v>50.84</v>
      </c>
      <c r="E26" s="3155">
        <v>15.59</v>
      </c>
      <c r="F26" s="3150" t="s">
        <v>4273</v>
      </c>
      <c r="I26" s="3150">
        <v>24</v>
      </c>
      <c r="J26" s="3154" t="s">
        <v>3935</v>
      </c>
      <c r="K26" s="3154" t="s">
        <v>3958</v>
      </c>
      <c r="L26" s="3154">
        <v>43.78</v>
      </c>
      <c r="M26" s="3155">
        <v>10.130000000000001</v>
      </c>
      <c r="N26" s="3150" t="s">
        <v>4273</v>
      </c>
    </row>
    <row r="27" spans="1:14">
      <c r="A27" s="3150">
        <v>25</v>
      </c>
      <c r="B27" s="3154" t="s">
        <v>3514</v>
      </c>
      <c r="C27" s="3154" t="s">
        <v>3538</v>
      </c>
      <c r="D27" s="3154">
        <v>50.84</v>
      </c>
      <c r="E27" s="3155">
        <v>15.59</v>
      </c>
      <c r="F27" s="3150" t="s">
        <v>4273</v>
      </c>
      <c r="I27" s="3150">
        <v>25</v>
      </c>
      <c r="J27" s="3154" t="s">
        <v>3935</v>
      </c>
      <c r="K27" s="3154" t="s">
        <v>3959</v>
      </c>
      <c r="L27" s="3154">
        <v>41.97</v>
      </c>
      <c r="M27" s="3155">
        <v>9.7100000000000009</v>
      </c>
      <c r="N27" s="3150" t="s">
        <v>4273</v>
      </c>
    </row>
    <row r="28" spans="1:14">
      <c r="A28" s="3150">
        <v>26</v>
      </c>
      <c r="B28" s="3154" t="s">
        <v>3514</v>
      </c>
      <c r="C28" s="3154" t="s">
        <v>3539</v>
      </c>
      <c r="D28" s="3154">
        <v>47.66</v>
      </c>
      <c r="E28" s="3155">
        <v>14.61</v>
      </c>
      <c r="F28" s="3150" t="s">
        <v>4273</v>
      </c>
      <c r="I28" s="3150">
        <v>26</v>
      </c>
      <c r="J28" s="3154" t="s">
        <v>3935</v>
      </c>
      <c r="K28" s="3154" t="s">
        <v>3960</v>
      </c>
      <c r="L28" s="3154">
        <v>41.97</v>
      </c>
      <c r="M28" s="3155">
        <v>9.7100000000000009</v>
      </c>
      <c r="N28" s="3150" t="s">
        <v>4273</v>
      </c>
    </row>
    <row r="29" spans="1:14">
      <c r="A29" s="3150">
        <v>27</v>
      </c>
      <c r="B29" s="3154" t="s">
        <v>3514</v>
      </c>
      <c r="C29" s="3154" t="s">
        <v>3540</v>
      </c>
      <c r="D29" s="3154">
        <v>38.130000000000003</v>
      </c>
      <c r="E29" s="3155">
        <v>11.69</v>
      </c>
      <c r="F29" s="3150" t="s">
        <v>4273</v>
      </c>
      <c r="I29" s="3150">
        <v>27</v>
      </c>
      <c r="J29" s="3154" t="s">
        <v>3935</v>
      </c>
      <c r="K29" s="3154" t="s">
        <v>3961</v>
      </c>
      <c r="L29" s="3154">
        <v>41.97</v>
      </c>
      <c r="M29" s="3155">
        <v>9.7100000000000009</v>
      </c>
      <c r="N29" s="3150" t="s">
        <v>4273</v>
      </c>
    </row>
    <row r="30" spans="1:14">
      <c r="A30" s="3150">
        <v>28</v>
      </c>
      <c r="B30" s="3154" t="s">
        <v>3514</v>
      </c>
      <c r="C30" s="3154" t="s">
        <v>3541</v>
      </c>
      <c r="D30" s="3154">
        <v>34.06</v>
      </c>
      <c r="E30" s="3155">
        <v>10.44</v>
      </c>
      <c r="F30" s="3150" t="s">
        <v>4273</v>
      </c>
      <c r="I30" s="3150">
        <v>28</v>
      </c>
      <c r="J30" s="3154" t="s">
        <v>3935</v>
      </c>
      <c r="K30" s="3154" t="s">
        <v>3962</v>
      </c>
      <c r="L30" s="3154">
        <v>41.97</v>
      </c>
      <c r="M30" s="3155">
        <v>9.7100000000000009</v>
      </c>
      <c r="N30" s="3150" t="s">
        <v>4273</v>
      </c>
    </row>
    <row r="31" spans="1:14">
      <c r="A31" s="3150">
        <v>29</v>
      </c>
      <c r="B31" s="3154" t="s">
        <v>3514</v>
      </c>
      <c r="C31" s="3154" t="s">
        <v>3542</v>
      </c>
      <c r="D31" s="3154">
        <v>35.54</v>
      </c>
      <c r="E31" s="3155">
        <v>10.9</v>
      </c>
      <c r="F31" s="3150" t="s">
        <v>4273</v>
      </c>
      <c r="I31" s="3150">
        <v>29</v>
      </c>
      <c r="J31" s="3154" t="s">
        <v>3935</v>
      </c>
      <c r="K31" s="3154" t="s">
        <v>3963</v>
      </c>
      <c r="L31" s="3154">
        <v>41.97</v>
      </c>
      <c r="M31" s="3155">
        <v>9.7100000000000009</v>
      </c>
      <c r="N31" s="3150" t="s">
        <v>4273</v>
      </c>
    </row>
    <row r="32" spans="1:14">
      <c r="A32" s="3150">
        <v>30</v>
      </c>
      <c r="B32" s="3154" t="s">
        <v>3514</v>
      </c>
      <c r="C32" s="3154" t="s">
        <v>3543</v>
      </c>
      <c r="D32" s="3154">
        <v>34.06</v>
      </c>
      <c r="E32" s="3155">
        <v>10.44</v>
      </c>
      <c r="F32" s="3150" t="s">
        <v>4273</v>
      </c>
      <c r="I32" s="3150">
        <v>30</v>
      </c>
      <c r="J32" s="3154" t="s">
        <v>3935</v>
      </c>
      <c r="K32" s="3154" t="s">
        <v>3964</v>
      </c>
      <c r="L32" s="3154">
        <v>43.78</v>
      </c>
      <c r="M32" s="3155">
        <v>10.130000000000001</v>
      </c>
      <c r="N32" s="3150" t="s">
        <v>4273</v>
      </c>
    </row>
    <row r="33" spans="1:14">
      <c r="A33" s="3150">
        <v>31</v>
      </c>
      <c r="B33" s="3154" t="s">
        <v>3514</v>
      </c>
      <c r="C33" s="3154" t="s">
        <v>3544</v>
      </c>
      <c r="D33" s="3154">
        <v>34.06</v>
      </c>
      <c r="E33" s="3155">
        <v>10.44</v>
      </c>
      <c r="F33" s="3150" t="s">
        <v>4273</v>
      </c>
      <c r="I33" s="3150">
        <v>31</v>
      </c>
      <c r="J33" s="3154" t="s">
        <v>3935</v>
      </c>
      <c r="K33" s="3154" t="s">
        <v>3965</v>
      </c>
      <c r="L33" s="3154">
        <v>41.97</v>
      </c>
      <c r="M33" s="3155">
        <v>9.7100000000000009</v>
      </c>
      <c r="N33" s="3150" t="s">
        <v>4273</v>
      </c>
    </row>
    <row r="34" spans="1:14">
      <c r="A34" s="3150">
        <v>32</v>
      </c>
      <c r="B34" s="3154" t="s">
        <v>3514</v>
      </c>
      <c r="C34" s="3154" t="s">
        <v>3545</v>
      </c>
      <c r="D34" s="3154">
        <v>35.54</v>
      </c>
      <c r="E34" s="3155">
        <v>10.9</v>
      </c>
      <c r="F34" s="3150" t="s">
        <v>4273</v>
      </c>
      <c r="I34" s="3150">
        <v>32</v>
      </c>
      <c r="J34" s="3154" t="s">
        <v>3935</v>
      </c>
      <c r="K34" s="3154" t="s">
        <v>3966</v>
      </c>
      <c r="L34" s="3154">
        <v>41.97</v>
      </c>
      <c r="M34" s="3155">
        <v>9.7100000000000009</v>
      </c>
      <c r="N34" s="3150" t="s">
        <v>4273</v>
      </c>
    </row>
    <row r="35" spans="1:14">
      <c r="A35" s="3150">
        <v>33</v>
      </c>
      <c r="B35" s="3154" t="s">
        <v>3514</v>
      </c>
      <c r="C35" s="3154" t="s">
        <v>3546</v>
      </c>
      <c r="D35" s="3154">
        <v>34.06</v>
      </c>
      <c r="E35" s="3155">
        <v>10.44</v>
      </c>
      <c r="F35" s="3150" t="s">
        <v>4273</v>
      </c>
      <c r="I35" s="3150">
        <v>33</v>
      </c>
      <c r="J35" s="3154" t="s">
        <v>3935</v>
      </c>
      <c r="K35" s="3154" t="s">
        <v>3967</v>
      </c>
      <c r="L35" s="3154">
        <v>41.97</v>
      </c>
      <c r="M35" s="3155">
        <v>9.7100000000000009</v>
      </c>
      <c r="N35" s="3150" t="s">
        <v>4273</v>
      </c>
    </row>
    <row r="36" spans="1:14">
      <c r="A36" s="3150">
        <v>34</v>
      </c>
      <c r="B36" s="3154" t="s">
        <v>3514</v>
      </c>
      <c r="C36" s="3154" t="s">
        <v>3547</v>
      </c>
      <c r="D36" s="3154">
        <v>36.56</v>
      </c>
      <c r="E36" s="3155">
        <v>11.21</v>
      </c>
      <c r="F36" s="3150" t="s">
        <v>4273</v>
      </c>
      <c r="I36" s="3150">
        <v>34</v>
      </c>
      <c r="J36" s="3154" t="s">
        <v>3935</v>
      </c>
      <c r="K36" s="3154" t="s">
        <v>3968</v>
      </c>
      <c r="L36" s="3154">
        <v>41.97</v>
      </c>
      <c r="M36" s="3155">
        <v>9.7100000000000009</v>
      </c>
      <c r="N36" s="3150" t="s">
        <v>4273</v>
      </c>
    </row>
    <row r="37" spans="1:14">
      <c r="A37" s="3150">
        <v>35</v>
      </c>
      <c r="B37" s="3154" t="s">
        <v>3514</v>
      </c>
      <c r="C37" s="3154" t="s">
        <v>3548</v>
      </c>
      <c r="D37" s="3154">
        <v>38.130000000000003</v>
      </c>
      <c r="E37" s="3155">
        <v>11.69</v>
      </c>
      <c r="F37" s="3150" t="s">
        <v>4273</v>
      </c>
      <c r="I37" s="3150">
        <v>35</v>
      </c>
      <c r="J37" s="3154" t="s">
        <v>3935</v>
      </c>
      <c r="K37" s="3154" t="s">
        <v>3969</v>
      </c>
      <c r="L37" s="3154">
        <v>43.78</v>
      </c>
      <c r="M37" s="3155">
        <v>10.130000000000001</v>
      </c>
      <c r="N37" s="3150" t="s">
        <v>4273</v>
      </c>
    </row>
    <row r="38" spans="1:14">
      <c r="A38" s="3150">
        <v>36</v>
      </c>
      <c r="B38" s="3154" t="s">
        <v>3514</v>
      </c>
      <c r="C38" s="3154" t="s">
        <v>3549</v>
      </c>
      <c r="D38" s="3154">
        <v>38.130000000000003</v>
      </c>
      <c r="E38" s="3155">
        <v>11.69</v>
      </c>
      <c r="F38" s="3150" t="s">
        <v>4273</v>
      </c>
      <c r="I38" s="3150">
        <v>36</v>
      </c>
      <c r="J38" s="3154" t="s">
        <v>3935</v>
      </c>
      <c r="K38" s="3154" t="s">
        <v>3970</v>
      </c>
      <c r="L38" s="3154">
        <v>41.97</v>
      </c>
      <c r="M38" s="3155">
        <v>9.7100000000000009</v>
      </c>
      <c r="N38" s="3150" t="s">
        <v>4273</v>
      </c>
    </row>
    <row r="39" spans="1:14">
      <c r="A39" s="3150">
        <v>37</v>
      </c>
      <c r="B39" s="3154" t="s">
        <v>3514</v>
      </c>
      <c r="C39" s="3154" t="s">
        <v>3550</v>
      </c>
      <c r="D39" s="3154">
        <v>36.56</v>
      </c>
      <c r="E39" s="3155">
        <v>11.21</v>
      </c>
      <c r="F39" s="3150" t="s">
        <v>4273</v>
      </c>
      <c r="I39" s="3150">
        <v>37</v>
      </c>
      <c r="J39" s="3154" t="s">
        <v>3935</v>
      </c>
      <c r="K39" s="3154" t="s">
        <v>3971</v>
      </c>
      <c r="L39" s="3154">
        <v>41.97</v>
      </c>
      <c r="M39" s="3155">
        <v>9.7100000000000009</v>
      </c>
      <c r="N39" s="3150" t="s">
        <v>4273</v>
      </c>
    </row>
    <row r="40" spans="1:14">
      <c r="A40" s="3150">
        <v>38</v>
      </c>
      <c r="B40" s="3154" t="s">
        <v>3514</v>
      </c>
      <c r="C40" s="3154" t="s">
        <v>3551</v>
      </c>
      <c r="D40" s="3154">
        <v>50.84</v>
      </c>
      <c r="E40" s="3155">
        <v>15.59</v>
      </c>
      <c r="F40" s="3150" t="s">
        <v>4273</v>
      </c>
      <c r="I40" s="3150">
        <v>38</v>
      </c>
      <c r="J40" s="3154" t="s">
        <v>3935</v>
      </c>
      <c r="K40" s="3154" t="s">
        <v>3972</v>
      </c>
      <c r="L40" s="3154">
        <v>43.78</v>
      </c>
      <c r="M40" s="3155">
        <v>10.130000000000001</v>
      </c>
      <c r="N40" s="3150" t="s">
        <v>4273</v>
      </c>
    </row>
    <row r="41" spans="1:14">
      <c r="A41" s="3150">
        <v>39</v>
      </c>
      <c r="B41" s="3154" t="s">
        <v>3514</v>
      </c>
      <c r="C41" s="3154" t="s">
        <v>3552</v>
      </c>
      <c r="D41" s="3154">
        <v>50.84</v>
      </c>
      <c r="E41" s="3155">
        <v>15.59</v>
      </c>
      <c r="F41" s="3150" t="s">
        <v>4273</v>
      </c>
      <c r="I41" s="3150">
        <v>39</v>
      </c>
      <c r="J41" s="3154" t="s">
        <v>3935</v>
      </c>
      <c r="K41" s="3154" t="s">
        <v>3973</v>
      </c>
      <c r="L41" s="3154">
        <v>41.97</v>
      </c>
      <c r="M41" s="3155">
        <v>9.7100000000000009</v>
      </c>
      <c r="N41" s="3150" t="s">
        <v>4273</v>
      </c>
    </row>
    <row r="42" spans="1:14">
      <c r="A42" s="3150">
        <v>40</v>
      </c>
      <c r="B42" s="3154" t="s">
        <v>3514</v>
      </c>
      <c r="C42" s="3154" t="s">
        <v>3553</v>
      </c>
      <c r="D42" s="3154">
        <v>36.56</v>
      </c>
      <c r="E42" s="3155">
        <v>11.21</v>
      </c>
      <c r="F42" s="3150" t="s">
        <v>4273</v>
      </c>
      <c r="I42" s="3150">
        <v>40</v>
      </c>
      <c r="J42" s="3154" t="s">
        <v>3935</v>
      </c>
      <c r="K42" s="3154" t="s">
        <v>3974</v>
      </c>
      <c r="L42" s="3154">
        <v>41.97</v>
      </c>
      <c r="M42" s="3155">
        <v>9.7100000000000009</v>
      </c>
      <c r="N42" s="3150" t="s">
        <v>4273</v>
      </c>
    </row>
    <row r="43" spans="1:14">
      <c r="A43" s="3150">
        <v>41</v>
      </c>
      <c r="B43" s="3154" t="s">
        <v>3514</v>
      </c>
      <c r="C43" s="3154" t="s">
        <v>3554</v>
      </c>
      <c r="D43" s="3154">
        <v>38.130000000000003</v>
      </c>
      <c r="E43" s="3155">
        <v>11.69</v>
      </c>
      <c r="F43" s="3150" t="s">
        <v>4273</v>
      </c>
      <c r="I43" s="3150">
        <v>41</v>
      </c>
      <c r="J43" s="3154" t="s">
        <v>3935</v>
      </c>
      <c r="K43" s="3154" t="s">
        <v>3975</v>
      </c>
      <c r="L43" s="3154">
        <v>43.78</v>
      </c>
      <c r="M43" s="3155">
        <v>10.130000000000001</v>
      </c>
      <c r="N43" s="3150" t="s">
        <v>4273</v>
      </c>
    </row>
    <row r="44" spans="1:14">
      <c r="A44" s="3150">
        <v>42</v>
      </c>
      <c r="B44" s="3154" t="s">
        <v>3514</v>
      </c>
      <c r="C44" s="3154" t="s">
        <v>3555</v>
      </c>
      <c r="D44" s="3154">
        <v>36.56</v>
      </c>
      <c r="E44" s="3155">
        <v>11.21</v>
      </c>
      <c r="F44" s="3150" t="s">
        <v>4273</v>
      </c>
      <c r="I44" s="3150">
        <v>42</v>
      </c>
      <c r="J44" s="3154" t="s">
        <v>3935</v>
      </c>
      <c r="K44" s="3154" t="s">
        <v>3976</v>
      </c>
      <c r="L44" s="3154">
        <v>41.97</v>
      </c>
      <c r="M44" s="3155">
        <v>9.7100000000000009</v>
      </c>
      <c r="N44" s="3150" t="s">
        <v>4273</v>
      </c>
    </row>
    <row r="45" spans="1:14">
      <c r="A45" s="3150">
        <v>43</v>
      </c>
      <c r="B45" s="3154" t="s">
        <v>3514</v>
      </c>
      <c r="C45" s="3154" t="s">
        <v>3556</v>
      </c>
      <c r="D45" s="3154">
        <v>36.56</v>
      </c>
      <c r="E45" s="3155">
        <v>11.21</v>
      </c>
      <c r="F45" s="3150" t="s">
        <v>4273</v>
      </c>
      <c r="I45" s="3150">
        <v>43</v>
      </c>
      <c r="J45" s="3154" t="s">
        <v>3935</v>
      </c>
      <c r="K45" s="3154" t="s">
        <v>3977</v>
      </c>
      <c r="L45" s="3154">
        <v>41.97</v>
      </c>
      <c r="M45" s="3155">
        <v>9.7100000000000009</v>
      </c>
      <c r="N45" s="3150" t="s">
        <v>4273</v>
      </c>
    </row>
    <row r="46" spans="1:14">
      <c r="A46" s="3150">
        <v>44</v>
      </c>
      <c r="B46" s="3154" t="s">
        <v>3514</v>
      </c>
      <c r="C46" s="3154" t="s">
        <v>3557</v>
      </c>
      <c r="D46" s="3154">
        <v>38.130000000000003</v>
      </c>
      <c r="E46" s="3155">
        <v>11.69</v>
      </c>
      <c r="F46" s="3150" t="s">
        <v>4273</v>
      </c>
      <c r="I46" s="3150">
        <v>44</v>
      </c>
      <c r="J46" s="3154" t="s">
        <v>3935</v>
      </c>
      <c r="K46" s="3154" t="s">
        <v>3978</v>
      </c>
      <c r="L46" s="3154">
        <v>43.78</v>
      </c>
      <c r="M46" s="3155">
        <v>10.130000000000001</v>
      </c>
      <c r="N46" s="3150" t="s">
        <v>4273</v>
      </c>
    </row>
    <row r="47" spans="1:14">
      <c r="A47" s="3150">
        <v>45</v>
      </c>
      <c r="B47" s="3154" t="s">
        <v>3514</v>
      </c>
      <c r="C47" s="3154" t="s">
        <v>3558</v>
      </c>
      <c r="D47" s="3154">
        <v>36.56</v>
      </c>
      <c r="E47" s="3155">
        <v>11.21</v>
      </c>
      <c r="F47" s="3150" t="s">
        <v>4273</v>
      </c>
      <c r="I47" s="3150">
        <v>45</v>
      </c>
      <c r="J47" s="3154" t="s">
        <v>3935</v>
      </c>
      <c r="K47" s="3154" t="s">
        <v>3979</v>
      </c>
      <c r="L47" s="3154">
        <v>41.97</v>
      </c>
      <c r="M47" s="3155">
        <v>9.7100000000000009</v>
      </c>
      <c r="N47" s="3150" t="s">
        <v>4273</v>
      </c>
    </row>
    <row r="48" spans="1:14">
      <c r="A48" s="3150">
        <v>46</v>
      </c>
      <c r="B48" s="3154" t="s">
        <v>3514</v>
      </c>
      <c r="C48" s="3154" t="s">
        <v>3559</v>
      </c>
      <c r="D48" s="3154">
        <v>36.56</v>
      </c>
      <c r="E48" s="3155">
        <v>11.21</v>
      </c>
      <c r="F48" s="3150" t="s">
        <v>4273</v>
      </c>
      <c r="I48" s="3150">
        <v>46</v>
      </c>
      <c r="J48" s="3154" t="s">
        <v>3935</v>
      </c>
      <c r="K48" s="3154" t="s">
        <v>3980</v>
      </c>
      <c r="L48" s="3154">
        <v>41.97</v>
      </c>
      <c r="M48" s="3155">
        <v>9.7100000000000009</v>
      </c>
      <c r="N48" s="3150" t="s">
        <v>4273</v>
      </c>
    </row>
    <row r="49" spans="1:14">
      <c r="A49" s="3150">
        <v>47</v>
      </c>
      <c r="B49" s="3154" t="s">
        <v>3514</v>
      </c>
      <c r="C49" s="3154" t="s">
        <v>3560</v>
      </c>
      <c r="D49" s="3154">
        <v>38.130000000000003</v>
      </c>
      <c r="E49" s="3155">
        <v>11.69</v>
      </c>
      <c r="F49" s="3150" t="s">
        <v>4273</v>
      </c>
      <c r="I49" s="3150">
        <v>47</v>
      </c>
      <c r="J49" s="3154" t="s">
        <v>3935</v>
      </c>
      <c r="K49" s="3154" t="s">
        <v>3981</v>
      </c>
      <c r="L49" s="3154">
        <v>43.78</v>
      </c>
      <c r="M49" s="3155">
        <v>10.130000000000001</v>
      </c>
      <c r="N49" s="3150" t="s">
        <v>4273</v>
      </c>
    </row>
    <row r="50" spans="1:14">
      <c r="A50" s="3150">
        <v>48</v>
      </c>
      <c r="B50" s="3154" t="s">
        <v>3514</v>
      </c>
      <c r="C50" s="3154" t="s">
        <v>3561</v>
      </c>
      <c r="D50" s="3154">
        <v>36.56</v>
      </c>
      <c r="E50" s="3155">
        <v>11.21</v>
      </c>
      <c r="F50" s="3150" t="s">
        <v>4273</v>
      </c>
      <c r="I50" s="3150">
        <v>48</v>
      </c>
      <c r="J50" s="3154" t="s">
        <v>3935</v>
      </c>
      <c r="K50" s="3154" t="s">
        <v>3982</v>
      </c>
      <c r="L50" s="3154">
        <v>41.97</v>
      </c>
      <c r="M50" s="3155">
        <v>9.7100000000000009</v>
      </c>
      <c r="N50" s="3150" t="s">
        <v>4273</v>
      </c>
    </row>
    <row r="51" spans="1:14">
      <c r="A51" s="3150">
        <v>49</v>
      </c>
      <c r="B51" s="3154" t="s">
        <v>3514</v>
      </c>
      <c r="C51" s="3154" t="s">
        <v>3562</v>
      </c>
      <c r="D51" s="3154">
        <v>36.56</v>
      </c>
      <c r="E51" s="3155">
        <v>11.21</v>
      </c>
      <c r="F51" s="3150" t="s">
        <v>4273</v>
      </c>
      <c r="I51" s="3150">
        <v>49</v>
      </c>
      <c r="J51" s="3154" t="s">
        <v>3935</v>
      </c>
      <c r="K51" s="3154" t="s">
        <v>3983</v>
      </c>
      <c r="L51" s="3154">
        <v>41.97</v>
      </c>
      <c r="M51" s="3155">
        <v>9.7100000000000009</v>
      </c>
      <c r="N51" s="3150" t="s">
        <v>4273</v>
      </c>
    </row>
    <row r="52" spans="1:14">
      <c r="A52" s="3150">
        <v>50</v>
      </c>
      <c r="B52" s="3154" t="s">
        <v>3514</v>
      </c>
      <c r="C52" s="3154" t="s">
        <v>3563</v>
      </c>
      <c r="D52" s="3154">
        <v>36.56</v>
      </c>
      <c r="E52" s="3155">
        <v>11.21</v>
      </c>
      <c r="F52" s="3150" t="s">
        <v>4273</v>
      </c>
      <c r="I52" s="3150">
        <v>50</v>
      </c>
      <c r="J52" s="3154" t="s">
        <v>3935</v>
      </c>
      <c r="K52" s="3154" t="s">
        <v>3984</v>
      </c>
      <c r="L52" s="3154">
        <v>43.78</v>
      </c>
      <c r="M52" s="3155">
        <v>10.130000000000001</v>
      </c>
      <c r="N52" s="3150" t="s">
        <v>4273</v>
      </c>
    </row>
    <row r="53" spans="1:14">
      <c r="A53" s="3150">
        <v>51</v>
      </c>
      <c r="B53" s="3154" t="s">
        <v>3514</v>
      </c>
      <c r="C53" s="3154" t="s">
        <v>3564</v>
      </c>
      <c r="D53" s="3154">
        <v>36.56</v>
      </c>
      <c r="E53" s="3155">
        <v>11.21</v>
      </c>
      <c r="F53" s="3150" t="s">
        <v>4273</v>
      </c>
      <c r="I53" s="3150">
        <v>51</v>
      </c>
      <c r="J53" s="3154" t="s">
        <v>3935</v>
      </c>
      <c r="K53" s="3154" t="s">
        <v>3985</v>
      </c>
      <c r="L53" s="3154">
        <v>41.97</v>
      </c>
      <c r="M53" s="3155">
        <v>9.7100000000000009</v>
      </c>
      <c r="N53" s="3150" t="s">
        <v>4273</v>
      </c>
    </row>
    <row r="54" spans="1:14">
      <c r="A54" s="3150">
        <v>52</v>
      </c>
      <c r="B54" s="3154" t="s">
        <v>3514</v>
      </c>
      <c r="C54" s="3154" t="s">
        <v>3565</v>
      </c>
      <c r="D54" s="3154">
        <v>38.130000000000003</v>
      </c>
      <c r="E54" s="3155">
        <v>11.69</v>
      </c>
      <c r="F54" s="3150" t="s">
        <v>4273</v>
      </c>
      <c r="I54" s="3150">
        <v>52</v>
      </c>
      <c r="J54" s="3154" t="s">
        <v>3935</v>
      </c>
      <c r="K54" s="3154" t="s">
        <v>3986</v>
      </c>
      <c r="L54" s="3154">
        <v>41.97</v>
      </c>
      <c r="M54" s="3155">
        <v>9.7100000000000009</v>
      </c>
      <c r="N54" s="3150" t="s">
        <v>4273</v>
      </c>
    </row>
    <row r="55" spans="1:14">
      <c r="A55" s="3150">
        <v>53</v>
      </c>
      <c r="B55" s="3154" t="s">
        <v>3514</v>
      </c>
      <c r="C55" s="3154" t="s">
        <v>3566</v>
      </c>
      <c r="D55" s="3154">
        <v>36.56</v>
      </c>
      <c r="E55" s="3155">
        <v>11.21</v>
      </c>
      <c r="F55" s="3150" t="s">
        <v>4273</v>
      </c>
      <c r="I55" s="3150">
        <v>53</v>
      </c>
      <c r="J55" s="3154" t="s">
        <v>3935</v>
      </c>
      <c r="K55" s="3154" t="s">
        <v>3987</v>
      </c>
      <c r="L55" s="3154">
        <v>43.78</v>
      </c>
      <c r="M55" s="3155">
        <v>10.130000000000001</v>
      </c>
      <c r="N55" s="3150" t="s">
        <v>4273</v>
      </c>
    </row>
    <row r="56" spans="1:14">
      <c r="A56" s="3150">
        <v>54</v>
      </c>
      <c r="B56" s="3154" t="s">
        <v>3514</v>
      </c>
      <c r="C56" s="3154" t="s">
        <v>3567</v>
      </c>
      <c r="D56" s="3154">
        <v>36.56</v>
      </c>
      <c r="E56" s="3155">
        <v>11.21</v>
      </c>
      <c r="F56" s="3150" t="s">
        <v>4273</v>
      </c>
      <c r="I56" s="3150">
        <v>54</v>
      </c>
      <c r="J56" s="3154" t="s">
        <v>3935</v>
      </c>
      <c r="K56" s="3154" t="s">
        <v>3988</v>
      </c>
      <c r="L56" s="3154">
        <v>41.97</v>
      </c>
      <c r="M56" s="3155">
        <v>9.7100000000000009</v>
      </c>
      <c r="N56" s="3150" t="s">
        <v>4273</v>
      </c>
    </row>
    <row r="57" spans="1:14">
      <c r="A57" s="3150">
        <v>55</v>
      </c>
      <c r="B57" s="3154" t="s">
        <v>3514</v>
      </c>
      <c r="C57" s="3154" t="s">
        <v>3568</v>
      </c>
      <c r="D57" s="3154">
        <v>38.130000000000003</v>
      </c>
      <c r="E57" s="3155">
        <v>11.69</v>
      </c>
      <c r="F57" s="3150" t="s">
        <v>4273</v>
      </c>
      <c r="I57" s="3150">
        <v>55</v>
      </c>
      <c r="J57" s="3154" t="s">
        <v>3935</v>
      </c>
      <c r="K57" s="3154" t="s">
        <v>3989</v>
      </c>
      <c r="L57" s="3154">
        <v>41.97</v>
      </c>
      <c r="M57" s="3155">
        <v>9.7100000000000009</v>
      </c>
      <c r="N57" s="3150" t="s">
        <v>4273</v>
      </c>
    </row>
    <row r="58" spans="1:14">
      <c r="A58" s="3150">
        <v>56</v>
      </c>
      <c r="B58" s="3154" t="s">
        <v>3514</v>
      </c>
      <c r="C58" s="3154" t="s">
        <v>3569</v>
      </c>
      <c r="D58" s="3154">
        <v>36.56</v>
      </c>
      <c r="E58" s="3155">
        <v>11.21</v>
      </c>
      <c r="F58" s="3150" t="s">
        <v>4273</v>
      </c>
      <c r="I58" s="3150">
        <v>56</v>
      </c>
      <c r="J58" s="3154" t="s">
        <v>3935</v>
      </c>
      <c r="K58" s="3154" t="s">
        <v>3990</v>
      </c>
      <c r="L58" s="3154">
        <v>43.78</v>
      </c>
      <c r="M58" s="3155">
        <v>10.130000000000001</v>
      </c>
      <c r="N58" s="3150" t="s">
        <v>4273</v>
      </c>
    </row>
    <row r="59" spans="1:14">
      <c r="A59" s="3150">
        <v>57</v>
      </c>
      <c r="B59" s="3154" t="s">
        <v>3514</v>
      </c>
      <c r="C59" s="3154" t="s">
        <v>3570</v>
      </c>
      <c r="D59" s="3154">
        <v>36.56</v>
      </c>
      <c r="E59" s="3155">
        <v>11.21</v>
      </c>
      <c r="F59" s="3150" t="s">
        <v>4273</v>
      </c>
      <c r="I59" s="3150">
        <v>57</v>
      </c>
      <c r="J59" s="3154" t="s">
        <v>3935</v>
      </c>
      <c r="K59" s="3154" t="s">
        <v>3991</v>
      </c>
      <c r="L59" s="3154">
        <v>41.97</v>
      </c>
      <c r="M59" s="3155">
        <v>9.7100000000000009</v>
      </c>
      <c r="N59" s="3150" t="s">
        <v>4273</v>
      </c>
    </row>
    <row r="60" spans="1:14">
      <c r="A60" s="3150">
        <v>58</v>
      </c>
      <c r="B60" s="3154" t="s">
        <v>3514</v>
      </c>
      <c r="C60" s="3154" t="s">
        <v>3571</v>
      </c>
      <c r="D60" s="3154">
        <v>36.56</v>
      </c>
      <c r="E60" s="3155">
        <v>11.21</v>
      </c>
      <c r="F60" s="3150" t="s">
        <v>4273</v>
      </c>
      <c r="I60" s="3150">
        <v>58</v>
      </c>
      <c r="J60" s="3154" t="s">
        <v>3935</v>
      </c>
      <c r="K60" s="3154" t="s">
        <v>3992</v>
      </c>
      <c r="L60" s="3154">
        <v>41.97</v>
      </c>
      <c r="M60" s="3155">
        <v>9.7100000000000009</v>
      </c>
      <c r="N60" s="3150" t="s">
        <v>4273</v>
      </c>
    </row>
    <row r="61" spans="1:14">
      <c r="A61" s="3150">
        <v>59</v>
      </c>
      <c r="B61" s="3154" t="s">
        <v>3514</v>
      </c>
      <c r="C61" s="3154" t="s">
        <v>3572</v>
      </c>
      <c r="D61" s="3154">
        <v>36.56</v>
      </c>
      <c r="E61" s="3155">
        <v>11.21</v>
      </c>
      <c r="F61" s="3150" t="s">
        <v>4273</v>
      </c>
      <c r="I61" s="3150">
        <v>59</v>
      </c>
      <c r="J61" s="3154" t="s">
        <v>3935</v>
      </c>
      <c r="K61" s="3154" t="s">
        <v>3993</v>
      </c>
      <c r="L61" s="3154">
        <v>41.97</v>
      </c>
      <c r="M61" s="3155">
        <v>9.7100000000000009</v>
      </c>
      <c r="N61" s="3150" t="s">
        <v>4273</v>
      </c>
    </row>
    <row r="62" spans="1:14">
      <c r="A62" s="3150">
        <v>60</v>
      </c>
      <c r="B62" s="3154" t="s">
        <v>3514</v>
      </c>
      <c r="C62" s="3154" t="s">
        <v>3573</v>
      </c>
      <c r="D62" s="3154">
        <v>38.130000000000003</v>
      </c>
      <c r="E62" s="3155">
        <v>11.69</v>
      </c>
      <c r="F62" s="3150" t="s">
        <v>4273</v>
      </c>
      <c r="I62" s="3150">
        <v>60</v>
      </c>
      <c r="J62" s="3154" t="s">
        <v>3935</v>
      </c>
      <c r="K62" s="3154" t="s">
        <v>3994</v>
      </c>
      <c r="L62" s="3154">
        <v>41.97</v>
      </c>
      <c r="M62" s="3155">
        <v>9.7100000000000009</v>
      </c>
      <c r="N62" s="3150" t="s">
        <v>4273</v>
      </c>
    </row>
    <row r="63" spans="1:14">
      <c r="A63" s="3150">
        <v>61</v>
      </c>
      <c r="B63" s="3154" t="s">
        <v>3514</v>
      </c>
      <c r="C63" s="3154" t="s">
        <v>3574</v>
      </c>
      <c r="D63" s="3154">
        <v>38.130000000000003</v>
      </c>
      <c r="E63" s="3155">
        <v>11.69</v>
      </c>
      <c r="F63" s="3150" t="s">
        <v>4273</v>
      </c>
      <c r="I63" s="3150">
        <v>61</v>
      </c>
      <c r="J63" s="3154" t="s">
        <v>3935</v>
      </c>
      <c r="K63" s="3154" t="s">
        <v>3995</v>
      </c>
      <c r="L63" s="3154">
        <v>43.78</v>
      </c>
      <c r="M63" s="3155">
        <v>10.130000000000001</v>
      </c>
      <c r="N63" s="3150" t="s">
        <v>4273</v>
      </c>
    </row>
    <row r="64" spans="1:14">
      <c r="A64" s="3150">
        <v>62</v>
      </c>
      <c r="B64" s="3154" t="s">
        <v>3514</v>
      </c>
      <c r="C64" s="3154" t="s">
        <v>3575</v>
      </c>
      <c r="D64" s="3154">
        <v>36.56</v>
      </c>
      <c r="E64" s="3155">
        <v>11.21</v>
      </c>
      <c r="F64" s="3150" t="s">
        <v>4273</v>
      </c>
      <c r="I64" s="3150">
        <v>62</v>
      </c>
      <c r="J64" s="3154" t="s">
        <v>3935</v>
      </c>
      <c r="K64" s="3154" t="s">
        <v>3996</v>
      </c>
      <c r="L64" s="3154">
        <v>41.97</v>
      </c>
      <c r="M64" s="3155">
        <v>9.7100000000000009</v>
      </c>
      <c r="N64" s="3150" t="s">
        <v>4273</v>
      </c>
    </row>
    <row r="65" spans="1:14">
      <c r="A65" s="3150">
        <v>63</v>
      </c>
      <c r="B65" s="3154" t="s">
        <v>3514</v>
      </c>
      <c r="C65" s="3154" t="s">
        <v>3576</v>
      </c>
      <c r="D65" s="3154">
        <v>36.56</v>
      </c>
      <c r="E65" s="3155">
        <v>11.21</v>
      </c>
      <c r="F65" s="3150" t="s">
        <v>4273</v>
      </c>
      <c r="I65" s="3150">
        <v>63</v>
      </c>
      <c r="J65" s="3154" t="s">
        <v>3935</v>
      </c>
      <c r="K65" s="3154" t="s">
        <v>3997</v>
      </c>
      <c r="L65" s="3154">
        <v>41.97</v>
      </c>
      <c r="M65" s="3155">
        <v>9.7100000000000009</v>
      </c>
      <c r="N65" s="3150" t="s">
        <v>4273</v>
      </c>
    </row>
    <row r="66" spans="1:14">
      <c r="A66" s="3150">
        <v>64</v>
      </c>
      <c r="B66" s="3154" t="s">
        <v>3514</v>
      </c>
      <c r="C66" s="3154" t="s">
        <v>3577</v>
      </c>
      <c r="D66" s="3154">
        <v>38.130000000000003</v>
      </c>
      <c r="E66" s="3155">
        <v>11.69</v>
      </c>
      <c r="F66" s="3150" t="s">
        <v>4273</v>
      </c>
      <c r="I66" s="3150">
        <v>64</v>
      </c>
      <c r="J66" s="3154" t="s">
        <v>3935</v>
      </c>
      <c r="K66" s="3154" t="s">
        <v>3998</v>
      </c>
      <c r="L66" s="3154">
        <v>43.78</v>
      </c>
      <c r="M66" s="3155">
        <v>10.130000000000001</v>
      </c>
      <c r="N66" s="3150" t="s">
        <v>4273</v>
      </c>
    </row>
    <row r="67" spans="1:14">
      <c r="A67" s="3150">
        <v>65</v>
      </c>
      <c r="B67" s="3154" t="s">
        <v>3514</v>
      </c>
      <c r="C67" s="3154" t="s">
        <v>3578</v>
      </c>
      <c r="D67" s="3154">
        <v>36.56</v>
      </c>
      <c r="E67" s="3155">
        <v>11.21</v>
      </c>
      <c r="F67" s="3150" t="s">
        <v>4273</v>
      </c>
      <c r="I67" s="3150">
        <v>65</v>
      </c>
      <c r="J67" s="3154" t="s">
        <v>3935</v>
      </c>
      <c r="K67" s="3154" t="s">
        <v>3999</v>
      </c>
      <c r="L67" s="3154">
        <v>41.97</v>
      </c>
      <c r="M67" s="3155">
        <v>9.7100000000000009</v>
      </c>
      <c r="N67" s="3150" t="s">
        <v>4273</v>
      </c>
    </row>
    <row r="68" spans="1:14">
      <c r="A68" s="3150">
        <v>66</v>
      </c>
      <c r="B68" s="3154" t="s">
        <v>3514</v>
      </c>
      <c r="C68" s="3154" t="s">
        <v>3579</v>
      </c>
      <c r="D68" s="3154">
        <v>36.56</v>
      </c>
      <c r="E68" s="3155">
        <v>11.21</v>
      </c>
      <c r="F68" s="3150" t="s">
        <v>4273</v>
      </c>
      <c r="I68" s="3150">
        <v>66</v>
      </c>
      <c r="J68" s="3154" t="s">
        <v>3935</v>
      </c>
      <c r="K68" s="3154" t="s">
        <v>4000</v>
      </c>
      <c r="L68" s="3154">
        <v>41.97</v>
      </c>
      <c r="M68" s="3155">
        <v>9.7100000000000009</v>
      </c>
      <c r="N68" s="3150" t="s">
        <v>4273</v>
      </c>
    </row>
    <row r="69" spans="1:14">
      <c r="A69" s="3150">
        <v>67</v>
      </c>
      <c r="B69" s="3154" t="s">
        <v>3514</v>
      </c>
      <c r="C69" s="3154" t="s">
        <v>3580</v>
      </c>
      <c r="D69" s="3154">
        <v>38.130000000000003</v>
      </c>
      <c r="E69" s="3155">
        <v>11.69</v>
      </c>
      <c r="F69" s="3150" t="s">
        <v>4273</v>
      </c>
      <c r="I69" s="3150">
        <v>67</v>
      </c>
      <c r="J69" s="3154" t="s">
        <v>3935</v>
      </c>
      <c r="K69" s="3154" t="s">
        <v>4001</v>
      </c>
      <c r="L69" s="3154">
        <v>43.78</v>
      </c>
      <c r="M69" s="3155">
        <v>10.130000000000001</v>
      </c>
      <c r="N69" s="3150" t="s">
        <v>4273</v>
      </c>
    </row>
    <row r="70" spans="1:14">
      <c r="A70" s="3150">
        <v>68</v>
      </c>
      <c r="B70" s="3154" t="s">
        <v>3514</v>
      </c>
      <c r="C70" s="3154" t="s">
        <v>3581</v>
      </c>
      <c r="D70" s="3154">
        <v>36.56</v>
      </c>
      <c r="E70" s="3155">
        <v>11.21</v>
      </c>
      <c r="F70" s="3150" t="s">
        <v>4273</v>
      </c>
      <c r="I70" s="3150">
        <v>68</v>
      </c>
      <c r="J70" s="3154" t="s">
        <v>3935</v>
      </c>
      <c r="K70" s="3154" t="s">
        <v>4002</v>
      </c>
      <c r="L70" s="3154">
        <v>41.97</v>
      </c>
      <c r="M70" s="3155">
        <v>9.7100000000000009</v>
      </c>
      <c r="N70" s="3150" t="s">
        <v>4273</v>
      </c>
    </row>
    <row r="71" spans="1:14">
      <c r="A71" s="3150">
        <v>69</v>
      </c>
      <c r="B71" s="3154" t="s">
        <v>3514</v>
      </c>
      <c r="C71" s="3154" t="s">
        <v>3582</v>
      </c>
      <c r="D71" s="3154">
        <v>36.56</v>
      </c>
      <c r="E71" s="3155">
        <v>11.21</v>
      </c>
      <c r="F71" s="3150" t="s">
        <v>4273</v>
      </c>
      <c r="I71" s="3150">
        <v>69</v>
      </c>
      <c r="J71" s="3154" t="s">
        <v>3935</v>
      </c>
      <c r="K71" s="3154" t="s">
        <v>4003</v>
      </c>
      <c r="L71" s="3154">
        <v>41.97</v>
      </c>
      <c r="M71" s="3155">
        <v>9.7100000000000009</v>
      </c>
      <c r="N71" s="3150" t="s">
        <v>4273</v>
      </c>
    </row>
    <row r="72" spans="1:14">
      <c r="A72" s="3150">
        <v>70</v>
      </c>
      <c r="B72" s="3154" t="s">
        <v>3514</v>
      </c>
      <c r="C72" s="3154" t="s">
        <v>3583</v>
      </c>
      <c r="D72" s="3154">
        <v>38.130000000000003</v>
      </c>
      <c r="E72" s="3155">
        <v>11.69</v>
      </c>
      <c r="F72" s="3150" t="s">
        <v>4273</v>
      </c>
      <c r="I72" s="3150">
        <v>70</v>
      </c>
      <c r="J72" s="3154" t="s">
        <v>3935</v>
      </c>
      <c r="K72" s="3154" t="s">
        <v>4004</v>
      </c>
      <c r="L72" s="3154">
        <v>41.97</v>
      </c>
      <c r="M72" s="3155">
        <v>9.7100000000000009</v>
      </c>
      <c r="N72" s="3150" t="s">
        <v>4273</v>
      </c>
    </row>
    <row r="73" spans="1:14">
      <c r="A73" s="3150">
        <v>71</v>
      </c>
      <c r="B73" s="3154" t="s">
        <v>3514</v>
      </c>
      <c r="C73" s="3154" t="s">
        <v>3584</v>
      </c>
      <c r="D73" s="3154">
        <v>36.56</v>
      </c>
      <c r="E73" s="3155">
        <v>11.21</v>
      </c>
      <c r="F73" s="3150" t="s">
        <v>4273</v>
      </c>
      <c r="I73" s="3150">
        <v>71</v>
      </c>
      <c r="J73" s="3154" t="s">
        <v>3935</v>
      </c>
      <c r="K73" s="3154" t="s">
        <v>4005</v>
      </c>
      <c r="L73" s="3154">
        <v>43.78</v>
      </c>
      <c r="M73" s="3155">
        <v>10.130000000000001</v>
      </c>
      <c r="N73" s="3150" t="s">
        <v>4273</v>
      </c>
    </row>
    <row r="74" spans="1:14">
      <c r="A74" s="3150">
        <v>72</v>
      </c>
      <c r="B74" s="3154" t="s">
        <v>3514</v>
      </c>
      <c r="C74" s="3154" t="s">
        <v>3585</v>
      </c>
      <c r="D74" s="3154">
        <v>36.56</v>
      </c>
      <c r="E74" s="3155">
        <v>11.21</v>
      </c>
      <c r="F74" s="3150" t="s">
        <v>4273</v>
      </c>
      <c r="I74" s="3150">
        <v>72</v>
      </c>
      <c r="J74" s="3154" t="s">
        <v>3935</v>
      </c>
      <c r="K74" s="3154" t="s">
        <v>4006</v>
      </c>
      <c r="L74" s="3154">
        <v>41.97</v>
      </c>
      <c r="M74" s="3155">
        <v>9.7100000000000009</v>
      </c>
      <c r="N74" s="3150" t="s">
        <v>4273</v>
      </c>
    </row>
    <row r="75" spans="1:14">
      <c r="A75" s="3150">
        <v>73</v>
      </c>
      <c r="B75" s="3154" t="s">
        <v>3514</v>
      </c>
      <c r="C75" s="3154" t="s">
        <v>3586</v>
      </c>
      <c r="D75" s="3154">
        <v>38.130000000000003</v>
      </c>
      <c r="E75" s="3155">
        <v>11.69</v>
      </c>
      <c r="F75" s="3150" t="s">
        <v>4273</v>
      </c>
      <c r="I75" s="3150">
        <v>73</v>
      </c>
      <c r="J75" s="3154" t="s">
        <v>3935</v>
      </c>
      <c r="K75" s="3154" t="s">
        <v>4007</v>
      </c>
      <c r="L75" s="3154">
        <v>41.97</v>
      </c>
      <c r="M75" s="3155">
        <v>9.7100000000000009</v>
      </c>
      <c r="N75" s="3150" t="s">
        <v>4273</v>
      </c>
    </row>
    <row r="76" spans="1:14">
      <c r="A76" s="3150">
        <v>74</v>
      </c>
      <c r="B76" s="3154" t="s">
        <v>3514</v>
      </c>
      <c r="C76" s="3154" t="s">
        <v>3587</v>
      </c>
      <c r="D76" s="3154">
        <v>36.56</v>
      </c>
      <c r="E76" s="3155">
        <v>11.21</v>
      </c>
      <c r="F76" s="3150" t="s">
        <v>4273</v>
      </c>
      <c r="I76" s="3150">
        <v>74</v>
      </c>
      <c r="J76" s="3154" t="s">
        <v>3935</v>
      </c>
      <c r="K76" s="3154" t="s">
        <v>4008</v>
      </c>
      <c r="L76" s="3154">
        <v>43.78</v>
      </c>
      <c r="M76" s="3155">
        <v>10.130000000000001</v>
      </c>
      <c r="N76" s="3150" t="s">
        <v>4273</v>
      </c>
    </row>
    <row r="77" spans="1:14">
      <c r="A77" s="3150">
        <v>75</v>
      </c>
      <c r="B77" s="3154" t="s">
        <v>3514</v>
      </c>
      <c r="C77" s="3154" t="s">
        <v>3588</v>
      </c>
      <c r="D77" s="3154">
        <v>36.56</v>
      </c>
      <c r="E77" s="3155">
        <v>11.21</v>
      </c>
      <c r="F77" s="3150" t="s">
        <v>4273</v>
      </c>
      <c r="I77" s="3150">
        <v>75</v>
      </c>
      <c r="J77" s="3154" t="s">
        <v>3935</v>
      </c>
      <c r="K77" s="3154" t="s">
        <v>4009</v>
      </c>
      <c r="L77" s="3154">
        <v>41.97</v>
      </c>
      <c r="M77" s="3155">
        <v>9.7100000000000009</v>
      </c>
      <c r="N77" s="3150" t="s">
        <v>4273</v>
      </c>
    </row>
    <row r="78" spans="1:14">
      <c r="A78" s="3150">
        <v>76</v>
      </c>
      <c r="B78" s="3154" t="s">
        <v>3514</v>
      </c>
      <c r="C78" s="3154" t="s">
        <v>3589</v>
      </c>
      <c r="D78" s="3154">
        <v>38.130000000000003</v>
      </c>
      <c r="E78" s="3155">
        <v>11.69</v>
      </c>
      <c r="F78" s="3150" t="s">
        <v>4273</v>
      </c>
      <c r="I78" s="3150">
        <v>76</v>
      </c>
      <c r="J78" s="3154" t="s">
        <v>3935</v>
      </c>
      <c r="K78" s="3154" t="s">
        <v>4010</v>
      </c>
      <c r="L78" s="3154">
        <v>41.97</v>
      </c>
      <c r="M78" s="3155">
        <v>9.7100000000000009</v>
      </c>
      <c r="N78" s="3150" t="s">
        <v>4273</v>
      </c>
    </row>
    <row r="79" spans="1:14">
      <c r="A79" s="3150">
        <v>77</v>
      </c>
      <c r="B79" s="3154" t="s">
        <v>3514</v>
      </c>
      <c r="C79" s="3154" t="s">
        <v>3590</v>
      </c>
      <c r="D79" s="3154">
        <v>36.56</v>
      </c>
      <c r="E79" s="3155">
        <v>11.21</v>
      </c>
      <c r="F79" s="3150" t="s">
        <v>4273</v>
      </c>
      <c r="I79" s="3150">
        <v>77</v>
      </c>
      <c r="J79" s="3154" t="s">
        <v>3935</v>
      </c>
      <c r="K79" s="3154" t="s">
        <v>4011</v>
      </c>
      <c r="L79" s="3154">
        <v>43.78</v>
      </c>
      <c r="M79" s="3155">
        <v>10.130000000000001</v>
      </c>
      <c r="N79" s="3150" t="s">
        <v>4273</v>
      </c>
    </row>
    <row r="80" spans="1:14">
      <c r="A80" s="3150">
        <v>78</v>
      </c>
      <c r="B80" s="3154" t="s">
        <v>3514</v>
      </c>
      <c r="C80" s="3154" t="s">
        <v>3591</v>
      </c>
      <c r="D80" s="3154">
        <v>36.56</v>
      </c>
      <c r="E80" s="3155">
        <v>11.21</v>
      </c>
      <c r="F80" s="3150" t="s">
        <v>4273</v>
      </c>
      <c r="I80" s="3150">
        <v>78</v>
      </c>
      <c r="J80" s="3154" t="s">
        <v>3935</v>
      </c>
      <c r="K80" s="3154" t="s">
        <v>4012</v>
      </c>
      <c r="L80" s="3154">
        <v>41.97</v>
      </c>
      <c r="M80" s="3155">
        <v>9.7100000000000009</v>
      </c>
      <c r="N80" s="3150" t="s">
        <v>4273</v>
      </c>
    </row>
    <row r="81" spans="1:14">
      <c r="A81" s="3150">
        <v>79</v>
      </c>
      <c r="B81" s="3154" t="s">
        <v>3514</v>
      </c>
      <c r="C81" s="3154" t="s">
        <v>3592</v>
      </c>
      <c r="D81" s="3154">
        <v>38.130000000000003</v>
      </c>
      <c r="E81" s="3155">
        <v>11.69</v>
      </c>
      <c r="F81" s="3150" t="s">
        <v>4273</v>
      </c>
      <c r="I81" s="3150">
        <v>79</v>
      </c>
      <c r="J81" s="3154" t="s">
        <v>3935</v>
      </c>
      <c r="K81" s="3154" t="s">
        <v>4013</v>
      </c>
      <c r="L81" s="3154">
        <v>41.97</v>
      </c>
      <c r="M81" s="3155">
        <v>9.7100000000000009</v>
      </c>
      <c r="N81" s="3150" t="s">
        <v>4273</v>
      </c>
    </row>
    <row r="82" spans="1:14">
      <c r="A82" s="3150">
        <v>80</v>
      </c>
      <c r="B82" s="3154" t="s">
        <v>3514</v>
      </c>
      <c r="C82" s="3154" t="s">
        <v>3593</v>
      </c>
      <c r="D82" s="3154">
        <v>36.56</v>
      </c>
      <c r="E82" s="3155">
        <v>11.21</v>
      </c>
      <c r="F82" s="3150" t="s">
        <v>4273</v>
      </c>
      <c r="I82" s="3150">
        <v>80</v>
      </c>
      <c r="J82" s="3154" t="s">
        <v>3935</v>
      </c>
      <c r="K82" s="3154" t="s">
        <v>4014</v>
      </c>
      <c r="L82" s="3154">
        <v>43.78</v>
      </c>
      <c r="M82" s="3155">
        <v>10.130000000000001</v>
      </c>
      <c r="N82" s="3150" t="s">
        <v>4273</v>
      </c>
    </row>
    <row r="83" spans="1:14">
      <c r="A83" s="3150">
        <v>81</v>
      </c>
      <c r="B83" s="3154" t="s">
        <v>3514</v>
      </c>
      <c r="C83" s="3154" t="s">
        <v>3594</v>
      </c>
      <c r="D83" s="3154">
        <v>36.56</v>
      </c>
      <c r="E83" s="3155">
        <v>11.21</v>
      </c>
      <c r="F83" s="3150" t="s">
        <v>4273</v>
      </c>
      <c r="I83" s="3150">
        <v>81</v>
      </c>
      <c r="J83" s="3154" t="s">
        <v>3935</v>
      </c>
      <c r="K83" s="3154" t="s">
        <v>4015</v>
      </c>
      <c r="L83" s="3154">
        <v>41.97</v>
      </c>
      <c r="M83" s="3155">
        <v>9.7100000000000009</v>
      </c>
      <c r="N83" s="3150" t="s">
        <v>4273</v>
      </c>
    </row>
    <row r="84" spans="1:14">
      <c r="A84" s="3150">
        <v>82</v>
      </c>
      <c r="B84" s="3154" t="s">
        <v>3514</v>
      </c>
      <c r="C84" s="3154" t="s">
        <v>3595</v>
      </c>
      <c r="D84" s="3154">
        <v>38.130000000000003</v>
      </c>
      <c r="E84" s="3155">
        <v>11.69</v>
      </c>
      <c r="F84" s="3150" t="s">
        <v>4273</v>
      </c>
      <c r="I84" s="3150">
        <v>82</v>
      </c>
      <c r="J84" s="3154" t="s">
        <v>3935</v>
      </c>
      <c r="K84" s="3154" t="s">
        <v>4016</v>
      </c>
      <c r="L84" s="3154">
        <v>41.97</v>
      </c>
      <c r="M84" s="3155">
        <v>9.7100000000000009</v>
      </c>
      <c r="N84" s="3150" t="s">
        <v>4273</v>
      </c>
    </row>
    <row r="85" spans="1:14">
      <c r="A85" s="3150">
        <v>83</v>
      </c>
      <c r="B85" s="3154" t="s">
        <v>3514</v>
      </c>
      <c r="C85" s="3154" t="s">
        <v>3596</v>
      </c>
      <c r="D85" s="3154">
        <v>36.56</v>
      </c>
      <c r="E85" s="3155">
        <v>11.21</v>
      </c>
      <c r="F85" s="3150" t="s">
        <v>4273</v>
      </c>
      <c r="I85" s="3150">
        <v>83</v>
      </c>
      <c r="J85" s="3154" t="s">
        <v>3935</v>
      </c>
      <c r="K85" s="3154" t="s">
        <v>4017</v>
      </c>
      <c r="L85" s="3154">
        <v>43.78</v>
      </c>
      <c r="M85" s="3155">
        <v>10.130000000000001</v>
      </c>
      <c r="N85" s="3150" t="s">
        <v>4273</v>
      </c>
    </row>
    <row r="86" spans="1:14">
      <c r="A86" s="3150">
        <v>84</v>
      </c>
      <c r="B86" s="3154" t="s">
        <v>3514</v>
      </c>
      <c r="C86" s="3154" t="s">
        <v>3597</v>
      </c>
      <c r="D86" s="3154">
        <v>36.56</v>
      </c>
      <c r="E86" s="3155">
        <v>11.21</v>
      </c>
      <c r="F86" s="3150" t="s">
        <v>4273</v>
      </c>
      <c r="I86" s="3150">
        <v>84</v>
      </c>
      <c r="J86" s="3154" t="s">
        <v>3935</v>
      </c>
      <c r="K86" s="3154" t="s">
        <v>4018</v>
      </c>
      <c r="L86" s="3154">
        <v>41.97</v>
      </c>
      <c r="M86" s="3155">
        <v>9.7100000000000009</v>
      </c>
      <c r="N86" s="3150" t="s">
        <v>4273</v>
      </c>
    </row>
    <row r="87" spans="1:14">
      <c r="A87" s="3150">
        <v>85</v>
      </c>
      <c r="B87" s="3154" t="s">
        <v>3514</v>
      </c>
      <c r="C87" s="3154" t="s">
        <v>3598</v>
      </c>
      <c r="D87" s="3154">
        <v>38.130000000000003</v>
      </c>
      <c r="E87" s="3155">
        <v>11.69</v>
      </c>
      <c r="F87" s="3150" t="s">
        <v>4273</v>
      </c>
      <c r="I87" s="3150">
        <v>85</v>
      </c>
      <c r="J87" s="3154" t="s">
        <v>3935</v>
      </c>
      <c r="K87" s="3154" t="s">
        <v>4019</v>
      </c>
      <c r="L87" s="3154">
        <v>41.97</v>
      </c>
      <c r="M87" s="3155">
        <v>9.7100000000000009</v>
      </c>
      <c r="N87" s="3150" t="s">
        <v>4273</v>
      </c>
    </row>
    <row r="88" spans="1:14">
      <c r="A88" s="3150">
        <v>86</v>
      </c>
      <c r="B88" s="3154" t="s">
        <v>3514</v>
      </c>
      <c r="C88" s="3154" t="s">
        <v>3599</v>
      </c>
      <c r="D88" s="3154">
        <v>36.56</v>
      </c>
      <c r="E88" s="3155">
        <v>11.21</v>
      </c>
      <c r="F88" s="3150" t="s">
        <v>4273</v>
      </c>
      <c r="I88" s="3150">
        <v>86</v>
      </c>
      <c r="J88" s="3154" t="s">
        <v>3935</v>
      </c>
      <c r="K88" s="3154" t="s">
        <v>4020</v>
      </c>
      <c r="L88" s="3154">
        <v>43.78</v>
      </c>
      <c r="M88" s="3155">
        <v>10.130000000000001</v>
      </c>
      <c r="N88" s="3150" t="s">
        <v>4273</v>
      </c>
    </row>
    <row r="89" spans="1:14">
      <c r="A89" s="3150">
        <v>87</v>
      </c>
      <c r="B89" s="3154" t="s">
        <v>3514</v>
      </c>
      <c r="C89" s="3154" t="s">
        <v>3600</v>
      </c>
      <c r="D89" s="3154">
        <v>36.56</v>
      </c>
      <c r="E89" s="3155">
        <v>11.21</v>
      </c>
      <c r="F89" s="3150" t="s">
        <v>4273</v>
      </c>
      <c r="I89" s="3150">
        <v>87</v>
      </c>
      <c r="J89" s="3154" t="s">
        <v>3935</v>
      </c>
      <c r="K89" s="3154" t="s">
        <v>4021</v>
      </c>
      <c r="L89" s="3154">
        <v>41.97</v>
      </c>
      <c r="M89" s="3155">
        <v>9.7100000000000009</v>
      </c>
      <c r="N89" s="3150" t="s">
        <v>4273</v>
      </c>
    </row>
    <row r="90" spans="1:14">
      <c r="A90" s="3150">
        <v>88</v>
      </c>
      <c r="B90" s="3154" t="s">
        <v>3514</v>
      </c>
      <c r="C90" s="3154" t="s">
        <v>3601</v>
      </c>
      <c r="D90" s="3154">
        <v>38.130000000000003</v>
      </c>
      <c r="E90" s="3155">
        <v>11.69</v>
      </c>
      <c r="F90" s="3150" t="s">
        <v>4273</v>
      </c>
      <c r="I90" s="3150">
        <v>88</v>
      </c>
      <c r="J90" s="3154" t="s">
        <v>3935</v>
      </c>
      <c r="K90" s="3154" t="s">
        <v>4022</v>
      </c>
      <c r="L90" s="3154">
        <v>41.97</v>
      </c>
      <c r="M90" s="3155">
        <v>9.7100000000000009</v>
      </c>
      <c r="N90" s="3150" t="s">
        <v>4273</v>
      </c>
    </row>
    <row r="91" spans="1:14">
      <c r="A91" s="3150">
        <v>89</v>
      </c>
      <c r="B91" s="3154" t="s">
        <v>3514</v>
      </c>
      <c r="C91" s="3154" t="s">
        <v>3602</v>
      </c>
      <c r="D91" s="3154">
        <v>36.56</v>
      </c>
      <c r="E91" s="3155">
        <v>11.21</v>
      </c>
      <c r="F91" s="3150" t="s">
        <v>4273</v>
      </c>
      <c r="I91" s="3150">
        <v>89</v>
      </c>
      <c r="J91" s="3154" t="s">
        <v>3935</v>
      </c>
      <c r="K91" s="3154" t="s">
        <v>4023</v>
      </c>
      <c r="L91" s="3154">
        <v>43.78</v>
      </c>
      <c r="M91" s="3155">
        <v>10.130000000000001</v>
      </c>
      <c r="N91" s="3150" t="s">
        <v>4273</v>
      </c>
    </row>
    <row r="92" spans="1:14">
      <c r="A92" s="3150">
        <v>90</v>
      </c>
      <c r="B92" s="3154" t="s">
        <v>3514</v>
      </c>
      <c r="C92" s="3154" t="s">
        <v>3603</v>
      </c>
      <c r="D92" s="3154">
        <v>36.56</v>
      </c>
      <c r="E92" s="3155">
        <v>11.21</v>
      </c>
      <c r="F92" s="3150" t="s">
        <v>4273</v>
      </c>
      <c r="I92" s="3150">
        <v>90</v>
      </c>
      <c r="J92" s="3154" t="s">
        <v>3935</v>
      </c>
      <c r="K92" s="3154" t="s">
        <v>4024</v>
      </c>
      <c r="L92" s="3154">
        <v>41.97</v>
      </c>
      <c r="M92" s="3155">
        <v>9.7100000000000009</v>
      </c>
      <c r="N92" s="3150" t="s">
        <v>4273</v>
      </c>
    </row>
    <row r="93" spans="1:14">
      <c r="A93" s="3150">
        <v>91</v>
      </c>
      <c r="B93" s="3154" t="s">
        <v>3514</v>
      </c>
      <c r="C93" s="3154" t="s">
        <v>3604</v>
      </c>
      <c r="D93" s="3154">
        <v>38.130000000000003</v>
      </c>
      <c r="E93" s="3155">
        <v>11.69</v>
      </c>
      <c r="F93" s="3150" t="s">
        <v>4273</v>
      </c>
      <c r="I93" s="3150">
        <v>91</v>
      </c>
      <c r="J93" s="3154" t="s">
        <v>3935</v>
      </c>
      <c r="K93" s="3154" t="s">
        <v>4025</v>
      </c>
      <c r="L93" s="3154">
        <v>41.97</v>
      </c>
      <c r="M93" s="3155">
        <v>9.7100000000000009</v>
      </c>
      <c r="N93" s="3150" t="s">
        <v>4273</v>
      </c>
    </row>
    <row r="94" spans="1:14">
      <c r="A94" s="3150">
        <v>92</v>
      </c>
      <c r="B94" s="3154" t="s">
        <v>3514</v>
      </c>
      <c r="C94" s="3154" t="s">
        <v>3605</v>
      </c>
      <c r="D94" s="3154">
        <v>36.56</v>
      </c>
      <c r="E94" s="3155">
        <v>11.21</v>
      </c>
      <c r="F94" s="3150" t="s">
        <v>4273</v>
      </c>
      <c r="I94" s="3150">
        <v>92</v>
      </c>
      <c r="J94" s="3154" t="s">
        <v>3935</v>
      </c>
      <c r="K94" s="3154" t="s">
        <v>4026</v>
      </c>
      <c r="L94" s="3154">
        <v>43.78</v>
      </c>
      <c r="M94" s="3155">
        <v>10.130000000000001</v>
      </c>
      <c r="N94" s="3150" t="s">
        <v>4273</v>
      </c>
    </row>
    <row r="95" spans="1:14">
      <c r="A95" s="3150">
        <v>93</v>
      </c>
      <c r="B95" s="3154" t="s">
        <v>3514</v>
      </c>
      <c r="C95" s="3154" t="s">
        <v>3606</v>
      </c>
      <c r="D95" s="3154">
        <v>36.56</v>
      </c>
      <c r="E95" s="3155">
        <v>11.21</v>
      </c>
      <c r="F95" s="3150" t="s">
        <v>4273</v>
      </c>
      <c r="I95" s="3150">
        <v>93</v>
      </c>
      <c r="J95" s="3154" t="s">
        <v>3935</v>
      </c>
      <c r="K95" s="3154" t="s">
        <v>4027</v>
      </c>
      <c r="L95" s="3154">
        <v>41.97</v>
      </c>
      <c r="M95" s="3155">
        <v>9.7100000000000009</v>
      </c>
      <c r="N95" s="3150" t="s">
        <v>4273</v>
      </c>
    </row>
    <row r="96" spans="1:14">
      <c r="A96" s="3150">
        <v>94</v>
      </c>
      <c r="B96" s="3154" t="s">
        <v>3514</v>
      </c>
      <c r="C96" s="3154" t="s">
        <v>3607</v>
      </c>
      <c r="D96" s="3154">
        <v>38.130000000000003</v>
      </c>
      <c r="E96" s="3155">
        <v>11.69</v>
      </c>
      <c r="F96" s="3150" t="s">
        <v>4273</v>
      </c>
      <c r="I96" s="3150">
        <v>94</v>
      </c>
      <c r="J96" s="3154" t="s">
        <v>3935</v>
      </c>
      <c r="K96" s="3154" t="s">
        <v>4028</v>
      </c>
      <c r="L96" s="3154">
        <v>41.97</v>
      </c>
      <c r="M96" s="3155">
        <v>9.7100000000000009</v>
      </c>
      <c r="N96" s="3150" t="s">
        <v>4273</v>
      </c>
    </row>
    <row r="97" spans="1:14">
      <c r="A97" s="3150">
        <v>95</v>
      </c>
      <c r="B97" s="3154" t="s">
        <v>3514</v>
      </c>
      <c r="C97" s="3154" t="s">
        <v>3608</v>
      </c>
      <c r="D97" s="3154">
        <v>36.56</v>
      </c>
      <c r="E97" s="3155">
        <v>11.21</v>
      </c>
      <c r="F97" s="3150" t="s">
        <v>4273</v>
      </c>
      <c r="I97" s="3150">
        <v>95</v>
      </c>
      <c r="J97" s="3154" t="s">
        <v>3935</v>
      </c>
      <c r="K97" s="3154" t="s">
        <v>4029</v>
      </c>
      <c r="L97" s="3154">
        <v>43.78</v>
      </c>
      <c r="M97" s="3155">
        <v>10.130000000000001</v>
      </c>
      <c r="N97" s="3150" t="s">
        <v>4273</v>
      </c>
    </row>
    <row r="98" spans="1:14">
      <c r="A98" s="3150">
        <v>96</v>
      </c>
      <c r="B98" s="3154" t="s">
        <v>3514</v>
      </c>
      <c r="C98" s="3154" t="s">
        <v>3609</v>
      </c>
      <c r="D98" s="3154">
        <v>36.56</v>
      </c>
      <c r="E98" s="3155">
        <v>11.21</v>
      </c>
      <c r="F98" s="3150" t="s">
        <v>4273</v>
      </c>
      <c r="I98" s="3150">
        <v>96</v>
      </c>
      <c r="J98" s="3154" t="s">
        <v>3935</v>
      </c>
      <c r="K98" s="3154" t="s">
        <v>4030</v>
      </c>
      <c r="L98" s="3154">
        <v>41.97</v>
      </c>
      <c r="M98" s="3155">
        <v>9.7100000000000009</v>
      </c>
      <c r="N98" s="3150" t="s">
        <v>4273</v>
      </c>
    </row>
    <row r="99" spans="1:14">
      <c r="A99" s="3150">
        <v>97</v>
      </c>
      <c r="B99" s="3154" t="s">
        <v>3514</v>
      </c>
      <c r="C99" s="3154" t="s">
        <v>3610</v>
      </c>
      <c r="D99" s="3154">
        <v>38.130000000000003</v>
      </c>
      <c r="E99" s="3155">
        <v>11.69</v>
      </c>
      <c r="F99" s="3150" t="s">
        <v>4273</v>
      </c>
      <c r="I99" s="3150">
        <v>97</v>
      </c>
      <c r="J99" s="3154" t="s">
        <v>3935</v>
      </c>
      <c r="K99" s="3154" t="s">
        <v>4031</v>
      </c>
      <c r="L99" s="3154">
        <v>41.97</v>
      </c>
      <c r="M99" s="3155">
        <v>9.7100000000000009</v>
      </c>
      <c r="N99" s="3150" t="s">
        <v>4273</v>
      </c>
    </row>
    <row r="100" spans="1:14">
      <c r="A100" s="3150">
        <v>98</v>
      </c>
      <c r="B100" s="3154" t="s">
        <v>3514</v>
      </c>
      <c r="C100" s="3154" t="s">
        <v>3611</v>
      </c>
      <c r="D100" s="3154">
        <v>36.56</v>
      </c>
      <c r="E100" s="3155">
        <v>11.21</v>
      </c>
      <c r="F100" s="3150" t="s">
        <v>4273</v>
      </c>
      <c r="I100" s="3150">
        <v>98</v>
      </c>
      <c r="J100" s="3154" t="s">
        <v>3935</v>
      </c>
      <c r="K100" s="3154" t="s">
        <v>4032</v>
      </c>
      <c r="L100" s="3154">
        <v>41.97</v>
      </c>
      <c r="M100" s="3155">
        <v>9.7100000000000009</v>
      </c>
      <c r="N100" s="3150" t="s">
        <v>4273</v>
      </c>
    </row>
    <row r="101" spans="1:14">
      <c r="A101" s="3150">
        <v>99</v>
      </c>
      <c r="B101" s="3154" t="s">
        <v>3514</v>
      </c>
      <c r="C101" s="3154" t="s">
        <v>3612</v>
      </c>
      <c r="D101" s="3154">
        <v>36.56</v>
      </c>
      <c r="E101" s="3155">
        <v>11.21</v>
      </c>
      <c r="F101" s="3150" t="s">
        <v>4273</v>
      </c>
      <c r="I101" s="3150">
        <v>99</v>
      </c>
      <c r="J101" s="3154" t="s">
        <v>3935</v>
      </c>
      <c r="K101" s="3154" t="s">
        <v>4033</v>
      </c>
      <c r="L101" s="3154">
        <v>41.97</v>
      </c>
      <c r="M101" s="3155">
        <v>9.7100000000000009</v>
      </c>
      <c r="N101" s="3150" t="s">
        <v>4273</v>
      </c>
    </row>
    <row r="102" spans="1:14">
      <c r="A102" s="3150">
        <v>100</v>
      </c>
      <c r="B102" s="3154" t="s">
        <v>3514</v>
      </c>
      <c r="C102" s="3154" t="s">
        <v>3613</v>
      </c>
      <c r="D102" s="3154">
        <v>38.130000000000003</v>
      </c>
      <c r="E102" s="3155">
        <v>11.69</v>
      </c>
      <c r="F102" s="3150" t="s">
        <v>4273</v>
      </c>
      <c r="I102" s="3150">
        <v>100</v>
      </c>
      <c r="J102" s="3154" t="s">
        <v>3935</v>
      </c>
      <c r="K102" s="3154" t="s">
        <v>4034</v>
      </c>
      <c r="L102" s="3154">
        <v>41.97</v>
      </c>
      <c r="M102" s="3155">
        <v>9.7100000000000009</v>
      </c>
      <c r="N102" s="3150" t="s">
        <v>4273</v>
      </c>
    </row>
    <row r="103" spans="1:14">
      <c r="A103" s="3150">
        <v>101</v>
      </c>
      <c r="B103" s="3154" t="s">
        <v>3514</v>
      </c>
      <c r="C103" s="3154" t="s">
        <v>3614</v>
      </c>
      <c r="D103" s="3154">
        <v>38.130000000000003</v>
      </c>
      <c r="E103" s="3155">
        <v>11.69</v>
      </c>
      <c r="F103" s="3150" t="s">
        <v>4273</v>
      </c>
      <c r="I103" s="3150">
        <v>101</v>
      </c>
      <c r="J103" s="3154" t="s">
        <v>3935</v>
      </c>
      <c r="K103" s="3154" t="s">
        <v>4035</v>
      </c>
      <c r="L103" s="3154">
        <v>41.97</v>
      </c>
      <c r="M103" s="3155">
        <v>9.7100000000000009</v>
      </c>
      <c r="N103" s="3150" t="s">
        <v>4273</v>
      </c>
    </row>
    <row r="104" spans="1:14">
      <c r="A104" s="3150">
        <v>102</v>
      </c>
      <c r="B104" s="3154" t="s">
        <v>3514</v>
      </c>
      <c r="C104" s="3154" t="s">
        <v>3615</v>
      </c>
      <c r="D104" s="3154">
        <v>36.56</v>
      </c>
      <c r="E104" s="3155">
        <v>11.21</v>
      </c>
      <c r="F104" s="3150" t="s">
        <v>4273</v>
      </c>
      <c r="I104" s="3150">
        <v>102</v>
      </c>
      <c r="J104" s="3154" t="s">
        <v>3935</v>
      </c>
      <c r="K104" s="3154" t="s">
        <v>4036</v>
      </c>
      <c r="L104" s="3154">
        <v>43.78</v>
      </c>
      <c r="M104" s="3155">
        <v>10.130000000000001</v>
      </c>
      <c r="N104" s="3150" t="s">
        <v>4273</v>
      </c>
    </row>
    <row r="105" spans="1:14">
      <c r="A105" s="3150">
        <v>103</v>
      </c>
      <c r="B105" s="3154" t="s">
        <v>3514</v>
      </c>
      <c r="C105" s="3154" t="s">
        <v>3616</v>
      </c>
      <c r="D105" s="3154">
        <v>36.56</v>
      </c>
      <c r="E105" s="3155">
        <v>11.21</v>
      </c>
      <c r="F105" s="3150" t="s">
        <v>4273</v>
      </c>
      <c r="I105" s="3150">
        <v>103</v>
      </c>
      <c r="J105" s="3154" t="s">
        <v>3935</v>
      </c>
      <c r="K105" s="3154" t="s">
        <v>4037</v>
      </c>
      <c r="L105" s="3154">
        <v>41.97</v>
      </c>
      <c r="M105" s="3155">
        <v>9.7100000000000009</v>
      </c>
      <c r="N105" s="3150" t="s">
        <v>4273</v>
      </c>
    </row>
    <row r="106" spans="1:14">
      <c r="A106" s="3150">
        <v>104</v>
      </c>
      <c r="B106" s="3154" t="s">
        <v>3514</v>
      </c>
      <c r="C106" s="3154" t="s">
        <v>3617</v>
      </c>
      <c r="D106" s="3154">
        <v>36.56</v>
      </c>
      <c r="E106" s="3155">
        <v>11.21</v>
      </c>
      <c r="F106" s="3150" t="s">
        <v>4273</v>
      </c>
      <c r="I106" s="3150">
        <v>104</v>
      </c>
      <c r="J106" s="3154" t="s">
        <v>3935</v>
      </c>
      <c r="K106" s="3154" t="s">
        <v>4038</v>
      </c>
      <c r="L106" s="3154">
        <v>41.97</v>
      </c>
      <c r="M106" s="3155">
        <v>9.7100000000000009</v>
      </c>
      <c r="N106" s="3150" t="s">
        <v>4273</v>
      </c>
    </row>
    <row r="107" spans="1:14">
      <c r="A107" s="3150">
        <v>105</v>
      </c>
      <c r="B107" s="3154" t="s">
        <v>3514</v>
      </c>
      <c r="C107" s="3154" t="s">
        <v>3618</v>
      </c>
      <c r="D107" s="3154">
        <v>36.56</v>
      </c>
      <c r="E107" s="3155">
        <v>11.21</v>
      </c>
      <c r="F107" s="3150" t="s">
        <v>4273</v>
      </c>
      <c r="I107" s="3150">
        <v>105</v>
      </c>
      <c r="J107" s="3154" t="s">
        <v>3935</v>
      </c>
      <c r="K107" s="3154" t="s">
        <v>4039</v>
      </c>
      <c r="L107" s="3154">
        <v>43.78</v>
      </c>
      <c r="M107" s="3155">
        <v>10.130000000000001</v>
      </c>
      <c r="N107" s="3150" t="s">
        <v>4273</v>
      </c>
    </row>
    <row r="108" spans="1:14">
      <c r="A108" s="3150">
        <v>106</v>
      </c>
      <c r="B108" s="3154" t="s">
        <v>3514</v>
      </c>
      <c r="C108" s="3154" t="s">
        <v>3619</v>
      </c>
      <c r="D108" s="3154">
        <v>38.130000000000003</v>
      </c>
      <c r="E108" s="3155">
        <v>11.69</v>
      </c>
      <c r="F108" s="3150" t="s">
        <v>4273</v>
      </c>
      <c r="I108" s="3150">
        <v>106</v>
      </c>
      <c r="J108" s="3154" t="s">
        <v>3935</v>
      </c>
      <c r="K108" s="3154" t="s">
        <v>4040</v>
      </c>
      <c r="L108" s="3154">
        <v>41.97</v>
      </c>
      <c r="M108" s="3155">
        <v>9.7100000000000009</v>
      </c>
      <c r="N108" s="3150" t="s">
        <v>4273</v>
      </c>
    </row>
    <row r="109" spans="1:14">
      <c r="A109" s="3150">
        <v>107</v>
      </c>
      <c r="B109" s="3154" t="s">
        <v>3514</v>
      </c>
      <c r="C109" s="3154" t="s">
        <v>3620</v>
      </c>
      <c r="D109" s="3154">
        <v>36.56</v>
      </c>
      <c r="E109" s="3155">
        <v>11.21</v>
      </c>
      <c r="F109" s="3150" t="s">
        <v>4273</v>
      </c>
      <c r="I109" s="3150">
        <v>107</v>
      </c>
      <c r="J109" s="3154" t="s">
        <v>3935</v>
      </c>
      <c r="K109" s="3154" t="s">
        <v>4041</v>
      </c>
      <c r="L109" s="3154">
        <v>41.97</v>
      </c>
      <c r="M109" s="3155">
        <v>9.7100000000000009</v>
      </c>
      <c r="N109" s="3150" t="s">
        <v>4273</v>
      </c>
    </row>
    <row r="110" spans="1:14">
      <c r="A110" s="3150">
        <v>108</v>
      </c>
      <c r="B110" s="3154" t="s">
        <v>3514</v>
      </c>
      <c r="C110" s="3154" t="s">
        <v>3621</v>
      </c>
      <c r="D110" s="3154">
        <v>36.56</v>
      </c>
      <c r="E110" s="3155">
        <v>11.21</v>
      </c>
      <c r="F110" s="3150" t="s">
        <v>4273</v>
      </c>
      <c r="I110" s="3150">
        <v>108</v>
      </c>
      <c r="J110" s="3154" t="s">
        <v>3935</v>
      </c>
      <c r="K110" s="3154" t="s">
        <v>4042</v>
      </c>
      <c r="L110" s="3154">
        <v>41.97</v>
      </c>
      <c r="M110" s="3155">
        <v>9.7100000000000009</v>
      </c>
      <c r="N110" s="3150" t="s">
        <v>4273</v>
      </c>
    </row>
    <row r="111" spans="1:14">
      <c r="A111" s="3150">
        <v>109</v>
      </c>
      <c r="B111" s="3154" t="s">
        <v>3514</v>
      </c>
      <c r="C111" s="3154" t="s">
        <v>3622</v>
      </c>
      <c r="D111" s="3154">
        <v>38.130000000000003</v>
      </c>
      <c r="E111" s="3155">
        <v>11.69</v>
      </c>
      <c r="F111" s="3150" t="s">
        <v>4273</v>
      </c>
      <c r="I111" s="3150">
        <v>109</v>
      </c>
      <c r="J111" s="3154" t="s">
        <v>3935</v>
      </c>
      <c r="K111" s="3154" t="s">
        <v>4043</v>
      </c>
      <c r="L111" s="3154">
        <v>41.97</v>
      </c>
      <c r="M111" s="3155">
        <v>9.7100000000000009</v>
      </c>
      <c r="N111" s="3150" t="s">
        <v>4273</v>
      </c>
    </row>
    <row r="112" spans="1:14">
      <c r="A112" s="3150">
        <v>110</v>
      </c>
      <c r="B112" s="3154" t="s">
        <v>3514</v>
      </c>
      <c r="C112" s="3154" t="s">
        <v>3623</v>
      </c>
      <c r="D112" s="3154">
        <v>36.56</v>
      </c>
      <c r="E112" s="3155">
        <v>11.21</v>
      </c>
      <c r="F112" s="3150" t="s">
        <v>4273</v>
      </c>
      <c r="I112" s="3150">
        <v>110</v>
      </c>
      <c r="J112" s="3154" t="s">
        <v>3935</v>
      </c>
      <c r="K112" s="3154" t="s">
        <v>4044</v>
      </c>
      <c r="L112" s="3154">
        <v>41.97</v>
      </c>
      <c r="M112" s="3155">
        <v>9.7100000000000009</v>
      </c>
      <c r="N112" s="3150" t="s">
        <v>4273</v>
      </c>
    </row>
    <row r="113" spans="1:14">
      <c r="A113" s="3150">
        <v>111</v>
      </c>
      <c r="B113" s="3154" t="s">
        <v>3514</v>
      </c>
      <c r="C113" s="3154" t="s">
        <v>3624</v>
      </c>
      <c r="D113" s="3154">
        <v>36.56</v>
      </c>
      <c r="E113" s="3155">
        <v>11.21</v>
      </c>
      <c r="F113" s="3150" t="s">
        <v>4273</v>
      </c>
      <c r="I113" s="3150">
        <v>111</v>
      </c>
      <c r="J113" s="3154" t="s">
        <v>3935</v>
      </c>
      <c r="K113" s="3154" t="s">
        <v>4045</v>
      </c>
      <c r="L113" s="3154">
        <v>41.97</v>
      </c>
      <c r="M113" s="3155">
        <v>9.7100000000000009</v>
      </c>
      <c r="N113" s="3150" t="s">
        <v>4273</v>
      </c>
    </row>
    <row r="114" spans="1:14">
      <c r="A114" s="3150">
        <v>112</v>
      </c>
      <c r="B114" s="3154" t="s">
        <v>3514</v>
      </c>
      <c r="C114" s="3154" t="s">
        <v>3625</v>
      </c>
      <c r="D114" s="3154">
        <v>38.130000000000003</v>
      </c>
      <c r="E114" s="3155">
        <v>11.69</v>
      </c>
      <c r="F114" s="3150" t="s">
        <v>4273</v>
      </c>
      <c r="I114" s="3150">
        <v>112</v>
      </c>
      <c r="J114" s="3154" t="s">
        <v>3935</v>
      </c>
      <c r="K114" s="3154" t="s">
        <v>4046</v>
      </c>
      <c r="L114" s="3154">
        <v>41.97</v>
      </c>
      <c r="M114" s="3155">
        <v>9.7100000000000009</v>
      </c>
      <c r="N114" s="3150" t="s">
        <v>4273</v>
      </c>
    </row>
    <row r="115" spans="1:14">
      <c r="A115" s="3150">
        <v>113</v>
      </c>
      <c r="B115" s="3154" t="s">
        <v>3514</v>
      </c>
      <c r="C115" s="3154" t="s">
        <v>3626</v>
      </c>
      <c r="D115" s="3154">
        <v>36.56</v>
      </c>
      <c r="E115" s="3155">
        <v>11.21</v>
      </c>
      <c r="F115" s="3150" t="s">
        <v>4273</v>
      </c>
      <c r="I115" s="3150">
        <v>113</v>
      </c>
      <c r="J115" s="3154" t="s">
        <v>3935</v>
      </c>
      <c r="K115" s="3154" t="s">
        <v>4047</v>
      </c>
      <c r="L115" s="3154">
        <v>41.97</v>
      </c>
      <c r="M115" s="3155">
        <v>9.7100000000000009</v>
      </c>
      <c r="N115" s="3150" t="s">
        <v>4273</v>
      </c>
    </row>
    <row r="116" spans="1:14">
      <c r="A116" s="3150">
        <v>114</v>
      </c>
      <c r="B116" s="3154" t="s">
        <v>3514</v>
      </c>
      <c r="C116" s="3154" t="s">
        <v>3627</v>
      </c>
      <c r="D116" s="3154">
        <v>50.84</v>
      </c>
      <c r="E116" s="3155">
        <v>15.59</v>
      </c>
      <c r="F116" s="3150" t="s">
        <v>4273</v>
      </c>
      <c r="I116" s="3150">
        <v>114</v>
      </c>
      <c r="J116" s="3154" t="s">
        <v>3935</v>
      </c>
      <c r="K116" s="3154" t="s">
        <v>4048</v>
      </c>
      <c r="L116" s="3154">
        <v>43.78</v>
      </c>
      <c r="M116" s="3155">
        <v>10.130000000000001</v>
      </c>
      <c r="N116" s="3150" t="s">
        <v>4273</v>
      </c>
    </row>
    <row r="117" spans="1:14">
      <c r="A117" s="3150">
        <v>115</v>
      </c>
      <c r="B117" s="3154" t="s">
        <v>3514</v>
      </c>
      <c r="C117" s="3154" t="s">
        <v>3628</v>
      </c>
      <c r="D117" s="3154">
        <v>50.84</v>
      </c>
      <c r="E117" s="3155">
        <v>15.59</v>
      </c>
      <c r="F117" s="3150" t="s">
        <v>4273</v>
      </c>
      <c r="I117" s="3150">
        <v>115</v>
      </c>
      <c r="J117" s="3154" t="s">
        <v>3935</v>
      </c>
      <c r="K117" s="3154" t="s">
        <v>4049</v>
      </c>
      <c r="L117" s="3154">
        <v>41.97</v>
      </c>
      <c r="M117" s="3155">
        <v>9.7100000000000009</v>
      </c>
      <c r="N117" s="3150" t="s">
        <v>4273</v>
      </c>
    </row>
    <row r="118" spans="1:14">
      <c r="A118" s="3150">
        <v>116</v>
      </c>
      <c r="B118" s="3154" t="s">
        <v>3514</v>
      </c>
      <c r="C118" s="3154" t="s">
        <v>3629</v>
      </c>
      <c r="D118" s="3154">
        <v>36.56</v>
      </c>
      <c r="E118" s="3155">
        <v>11.21</v>
      </c>
      <c r="F118" s="3150" t="s">
        <v>4273</v>
      </c>
      <c r="I118" s="3150">
        <v>116</v>
      </c>
      <c r="J118" s="3154" t="s">
        <v>3935</v>
      </c>
      <c r="K118" s="3154" t="s">
        <v>4050</v>
      </c>
      <c r="L118" s="3154">
        <v>41.97</v>
      </c>
      <c r="M118" s="3155">
        <v>9.7100000000000009</v>
      </c>
      <c r="N118" s="3150" t="s">
        <v>4273</v>
      </c>
    </row>
    <row r="119" spans="1:14">
      <c r="A119" s="3150">
        <v>117</v>
      </c>
      <c r="B119" s="3154" t="s">
        <v>3514</v>
      </c>
      <c r="C119" s="3154" t="s">
        <v>3630</v>
      </c>
      <c r="D119" s="3154">
        <v>38.130000000000003</v>
      </c>
      <c r="E119" s="3155">
        <v>11.69</v>
      </c>
      <c r="F119" s="3150" t="s">
        <v>4273</v>
      </c>
      <c r="I119" s="3150">
        <v>117</v>
      </c>
      <c r="J119" s="3154" t="s">
        <v>3935</v>
      </c>
      <c r="K119" s="3154" t="s">
        <v>4051</v>
      </c>
      <c r="L119" s="3154">
        <v>41.97</v>
      </c>
      <c r="M119" s="3155">
        <v>9.7100000000000009</v>
      </c>
      <c r="N119" s="3150" t="s">
        <v>4273</v>
      </c>
    </row>
    <row r="120" spans="1:14">
      <c r="A120" s="3150">
        <v>118</v>
      </c>
      <c r="B120" s="3154" t="s">
        <v>3514</v>
      </c>
      <c r="C120" s="3154" t="s">
        <v>3631</v>
      </c>
      <c r="D120" s="3154">
        <v>36.56</v>
      </c>
      <c r="E120" s="3155">
        <v>11.21</v>
      </c>
      <c r="F120" s="3150" t="s">
        <v>4273</v>
      </c>
      <c r="I120" s="3150">
        <v>118</v>
      </c>
      <c r="J120" s="3154" t="s">
        <v>3935</v>
      </c>
      <c r="K120" s="3154" t="s">
        <v>4052</v>
      </c>
      <c r="L120" s="3154">
        <v>43.78</v>
      </c>
      <c r="M120" s="3155">
        <v>10.130000000000001</v>
      </c>
      <c r="N120" s="3150" t="s">
        <v>4273</v>
      </c>
    </row>
    <row r="121" spans="1:14">
      <c r="A121" s="3150">
        <v>119</v>
      </c>
      <c r="B121" s="3154" t="s">
        <v>3514</v>
      </c>
      <c r="C121" s="3154" t="s">
        <v>3632</v>
      </c>
      <c r="D121" s="3154">
        <v>36.56</v>
      </c>
      <c r="E121" s="3155">
        <v>11.21</v>
      </c>
      <c r="F121" s="3150" t="s">
        <v>4273</v>
      </c>
      <c r="I121" s="3150">
        <v>119</v>
      </c>
      <c r="J121" s="3154" t="s">
        <v>3935</v>
      </c>
      <c r="K121" s="3154" t="s">
        <v>4053</v>
      </c>
      <c r="L121" s="3154">
        <v>41.97</v>
      </c>
      <c r="M121" s="3155">
        <v>9.7100000000000009</v>
      </c>
      <c r="N121" s="3150" t="s">
        <v>4273</v>
      </c>
    </row>
    <row r="122" spans="1:14">
      <c r="A122" s="3150">
        <v>120</v>
      </c>
      <c r="B122" s="3154" t="s">
        <v>3514</v>
      </c>
      <c r="C122" s="3154" t="s">
        <v>3633</v>
      </c>
      <c r="D122" s="3154">
        <v>38.130000000000003</v>
      </c>
      <c r="E122" s="3155">
        <v>11.69</v>
      </c>
      <c r="F122" s="3150" t="s">
        <v>4273</v>
      </c>
      <c r="I122" s="3150">
        <v>120</v>
      </c>
      <c r="J122" s="3154" t="s">
        <v>3935</v>
      </c>
      <c r="K122" s="3154" t="s">
        <v>4054</v>
      </c>
      <c r="L122" s="3154">
        <v>41.97</v>
      </c>
      <c r="M122" s="3155">
        <v>9.7100000000000009</v>
      </c>
      <c r="N122" s="3150" t="s">
        <v>4273</v>
      </c>
    </row>
    <row r="123" spans="1:14">
      <c r="A123" s="3150">
        <v>121</v>
      </c>
      <c r="B123" s="3154" t="s">
        <v>3514</v>
      </c>
      <c r="C123" s="3154" t="s">
        <v>3634</v>
      </c>
      <c r="D123" s="3154">
        <v>36.56</v>
      </c>
      <c r="E123" s="3155">
        <v>11.21</v>
      </c>
      <c r="F123" s="3150" t="s">
        <v>4273</v>
      </c>
      <c r="I123" s="3150">
        <v>121</v>
      </c>
      <c r="J123" s="3154" t="s">
        <v>3935</v>
      </c>
      <c r="K123" s="3154" t="s">
        <v>4055</v>
      </c>
      <c r="L123" s="3154">
        <v>43.78</v>
      </c>
      <c r="M123" s="3155">
        <v>10.130000000000001</v>
      </c>
      <c r="N123" s="3150" t="s">
        <v>4273</v>
      </c>
    </row>
    <row r="124" spans="1:14">
      <c r="A124" s="3150">
        <v>122</v>
      </c>
      <c r="B124" s="3154" t="s">
        <v>3514</v>
      </c>
      <c r="C124" s="3154" t="s">
        <v>3635</v>
      </c>
      <c r="D124" s="3154">
        <v>36.56</v>
      </c>
      <c r="E124" s="3155">
        <v>11.21</v>
      </c>
      <c r="F124" s="3150" t="s">
        <v>4273</v>
      </c>
      <c r="I124" s="3150">
        <v>122</v>
      </c>
      <c r="J124" s="3154" t="s">
        <v>3935</v>
      </c>
      <c r="K124" s="3154" t="s">
        <v>4056</v>
      </c>
      <c r="L124" s="3154">
        <v>41.97</v>
      </c>
      <c r="M124" s="3155">
        <v>9.7100000000000009</v>
      </c>
      <c r="N124" s="3150" t="s">
        <v>4273</v>
      </c>
    </row>
    <row r="125" spans="1:14">
      <c r="A125" s="3150">
        <v>123</v>
      </c>
      <c r="B125" s="3154" t="s">
        <v>3514</v>
      </c>
      <c r="C125" s="3154" t="s">
        <v>3636</v>
      </c>
      <c r="D125" s="3154">
        <v>38.130000000000003</v>
      </c>
      <c r="E125" s="3155">
        <v>11.69</v>
      </c>
      <c r="F125" s="3150" t="s">
        <v>4273</v>
      </c>
      <c r="I125" s="3150">
        <v>123</v>
      </c>
      <c r="J125" s="3154" t="s">
        <v>3935</v>
      </c>
      <c r="K125" s="3154" t="s">
        <v>4057</v>
      </c>
      <c r="L125" s="3154">
        <v>41.97</v>
      </c>
      <c r="M125" s="3155">
        <v>9.7100000000000009</v>
      </c>
      <c r="N125" s="3150" t="s">
        <v>4273</v>
      </c>
    </row>
    <row r="126" spans="1:14">
      <c r="A126" s="3150">
        <v>124</v>
      </c>
      <c r="B126" s="3154" t="s">
        <v>3514</v>
      </c>
      <c r="C126" s="3154" t="s">
        <v>3637</v>
      </c>
      <c r="D126" s="3154">
        <v>36.56</v>
      </c>
      <c r="E126" s="3155">
        <v>11.21</v>
      </c>
      <c r="F126" s="3150" t="s">
        <v>4273</v>
      </c>
      <c r="I126" s="3150">
        <v>124</v>
      </c>
      <c r="J126" s="3154" t="s">
        <v>3935</v>
      </c>
      <c r="K126" s="3154" t="s">
        <v>4058</v>
      </c>
      <c r="L126" s="3154">
        <v>41.97</v>
      </c>
      <c r="M126" s="3155">
        <v>9.7100000000000009</v>
      </c>
      <c r="N126" s="3150" t="s">
        <v>4273</v>
      </c>
    </row>
    <row r="127" spans="1:14">
      <c r="A127" s="3150">
        <v>125</v>
      </c>
      <c r="B127" s="3154" t="s">
        <v>3514</v>
      </c>
      <c r="C127" s="3154" t="s">
        <v>3638</v>
      </c>
      <c r="D127" s="3154">
        <v>36.56</v>
      </c>
      <c r="E127" s="3155">
        <v>11.21</v>
      </c>
      <c r="F127" s="3150" t="s">
        <v>4273</v>
      </c>
      <c r="I127" s="3150">
        <v>125</v>
      </c>
      <c r="J127" s="3154" t="s">
        <v>3935</v>
      </c>
      <c r="K127" s="3154" t="s">
        <v>4059</v>
      </c>
      <c r="L127" s="3154">
        <v>41.97</v>
      </c>
      <c r="M127" s="3155">
        <v>9.7100000000000009</v>
      </c>
      <c r="N127" s="3150" t="s">
        <v>4273</v>
      </c>
    </row>
    <row r="128" spans="1:14">
      <c r="A128" s="3150">
        <v>126</v>
      </c>
      <c r="B128" s="3154" t="s">
        <v>3514</v>
      </c>
      <c r="C128" s="3154" t="s">
        <v>3639</v>
      </c>
      <c r="D128" s="3154">
        <v>38.130000000000003</v>
      </c>
      <c r="E128" s="3155">
        <v>11.69</v>
      </c>
      <c r="F128" s="3150" t="s">
        <v>4273</v>
      </c>
      <c r="I128" s="3150">
        <v>126</v>
      </c>
      <c r="J128" s="3154" t="s">
        <v>3935</v>
      </c>
      <c r="K128" s="3154" t="s">
        <v>4060</v>
      </c>
      <c r="L128" s="3154">
        <v>43.78</v>
      </c>
      <c r="M128" s="3155">
        <v>10.130000000000001</v>
      </c>
      <c r="N128" s="3150" t="s">
        <v>4273</v>
      </c>
    </row>
    <row r="129" spans="1:14">
      <c r="A129" s="3150">
        <v>127</v>
      </c>
      <c r="B129" s="3154" t="s">
        <v>3514</v>
      </c>
      <c r="C129" s="3154" t="s">
        <v>3640</v>
      </c>
      <c r="D129" s="3154">
        <v>36.56</v>
      </c>
      <c r="E129" s="3155">
        <v>11.21</v>
      </c>
      <c r="F129" s="3150" t="s">
        <v>4273</v>
      </c>
      <c r="I129" s="3150">
        <v>127</v>
      </c>
      <c r="J129" s="3154" t="s">
        <v>3935</v>
      </c>
      <c r="K129" s="3154" t="s">
        <v>4061</v>
      </c>
      <c r="L129" s="3154">
        <v>41.97</v>
      </c>
      <c r="M129" s="3155">
        <v>9.7100000000000009</v>
      </c>
      <c r="N129" s="3150" t="s">
        <v>4273</v>
      </c>
    </row>
    <row r="130" spans="1:14">
      <c r="A130" s="3150">
        <v>128</v>
      </c>
      <c r="B130" s="3154" t="s">
        <v>3514</v>
      </c>
      <c r="C130" s="3154" t="s">
        <v>3641</v>
      </c>
      <c r="D130" s="3154">
        <v>36.56</v>
      </c>
      <c r="E130" s="3155">
        <v>11.21</v>
      </c>
      <c r="F130" s="3150" t="s">
        <v>4273</v>
      </c>
      <c r="I130" s="3150">
        <v>128</v>
      </c>
      <c r="J130" s="3154" t="s">
        <v>3935</v>
      </c>
      <c r="K130" s="3154" t="s">
        <v>4062</v>
      </c>
      <c r="L130" s="3154">
        <v>41.97</v>
      </c>
      <c r="M130" s="3155">
        <v>9.7100000000000009</v>
      </c>
      <c r="N130" s="3150" t="s">
        <v>4273</v>
      </c>
    </row>
    <row r="131" spans="1:14">
      <c r="A131" s="3150">
        <v>129</v>
      </c>
      <c r="B131" s="3154" t="s">
        <v>3514</v>
      </c>
      <c r="C131" s="3154" t="s">
        <v>3642</v>
      </c>
      <c r="D131" s="3154">
        <v>36.56</v>
      </c>
      <c r="E131" s="3155">
        <v>11.21</v>
      </c>
      <c r="F131" s="3150" t="s">
        <v>4273</v>
      </c>
      <c r="I131" s="3150">
        <v>129</v>
      </c>
      <c r="J131" s="3154" t="s">
        <v>3935</v>
      </c>
      <c r="K131" s="3154" t="s">
        <v>4063</v>
      </c>
      <c r="L131" s="3154">
        <v>41.97</v>
      </c>
      <c r="M131" s="3155">
        <v>9.7100000000000009</v>
      </c>
      <c r="N131" s="3150" t="s">
        <v>4273</v>
      </c>
    </row>
    <row r="132" spans="1:14">
      <c r="A132" s="3150">
        <v>130</v>
      </c>
      <c r="B132" s="3154" t="s">
        <v>3514</v>
      </c>
      <c r="C132" s="3154" t="s">
        <v>3643</v>
      </c>
      <c r="D132" s="3154">
        <v>36.56</v>
      </c>
      <c r="E132" s="3155">
        <v>11.21</v>
      </c>
      <c r="F132" s="3150" t="s">
        <v>4273</v>
      </c>
      <c r="I132" s="3150">
        <v>130</v>
      </c>
      <c r="J132" s="3154" t="s">
        <v>3935</v>
      </c>
      <c r="K132" s="3154" t="s">
        <v>4064</v>
      </c>
      <c r="L132" s="3154">
        <v>43.78</v>
      </c>
      <c r="M132" s="3155">
        <v>10.130000000000001</v>
      </c>
      <c r="N132" s="3150" t="s">
        <v>4273</v>
      </c>
    </row>
    <row r="133" spans="1:14">
      <c r="A133" s="3150">
        <v>131</v>
      </c>
      <c r="B133" s="3154" t="s">
        <v>3514</v>
      </c>
      <c r="C133" s="3154" t="s">
        <v>3644</v>
      </c>
      <c r="D133" s="3154">
        <v>38.130000000000003</v>
      </c>
      <c r="E133" s="3155">
        <v>11.69</v>
      </c>
      <c r="F133" s="3150" t="s">
        <v>4273</v>
      </c>
      <c r="I133" s="3150">
        <v>131</v>
      </c>
      <c r="J133" s="3154" t="s">
        <v>3935</v>
      </c>
      <c r="K133" s="3154" t="s">
        <v>4065</v>
      </c>
      <c r="L133" s="3154">
        <v>41.97</v>
      </c>
      <c r="M133" s="3155">
        <v>9.7100000000000009</v>
      </c>
      <c r="N133" s="3150" t="s">
        <v>4273</v>
      </c>
    </row>
    <row r="134" spans="1:14">
      <c r="A134" s="3150">
        <v>132</v>
      </c>
      <c r="B134" s="3154" t="s">
        <v>3514</v>
      </c>
      <c r="C134" s="3154" t="s">
        <v>3645</v>
      </c>
      <c r="D134" s="3154">
        <v>38.130000000000003</v>
      </c>
      <c r="E134" s="3155">
        <v>11.69</v>
      </c>
      <c r="F134" s="3150" t="s">
        <v>4273</v>
      </c>
      <c r="I134" s="3150">
        <v>132</v>
      </c>
      <c r="J134" s="3154" t="s">
        <v>3935</v>
      </c>
      <c r="K134" s="3154" t="s">
        <v>4066</v>
      </c>
      <c r="L134" s="3154">
        <v>41.97</v>
      </c>
      <c r="M134" s="3155">
        <v>9.7100000000000009</v>
      </c>
      <c r="N134" s="3150" t="s">
        <v>4273</v>
      </c>
    </row>
    <row r="135" spans="1:14">
      <c r="A135" s="3150">
        <v>133</v>
      </c>
      <c r="B135" s="3154" t="s">
        <v>3514</v>
      </c>
      <c r="C135" s="3154" t="s">
        <v>3646</v>
      </c>
      <c r="D135" s="3154">
        <v>36.56</v>
      </c>
      <c r="E135" s="3155">
        <v>11.21</v>
      </c>
      <c r="F135" s="3150" t="s">
        <v>4273</v>
      </c>
      <c r="I135" s="3150">
        <v>133</v>
      </c>
      <c r="J135" s="3154" t="s">
        <v>3935</v>
      </c>
      <c r="K135" s="3154" t="s">
        <v>4067</v>
      </c>
      <c r="L135" s="3154">
        <v>43.78</v>
      </c>
      <c r="M135" s="3155">
        <v>10.130000000000001</v>
      </c>
      <c r="N135" s="3150" t="s">
        <v>4273</v>
      </c>
    </row>
    <row r="136" spans="1:14">
      <c r="A136" s="3150">
        <v>134</v>
      </c>
      <c r="B136" s="3154" t="s">
        <v>3514</v>
      </c>
      <c r="C136" s="3154" t="s">
        <v>3647</v>
      </c>
      <c r="D136" s="3154">
        <v>36.56</v>
      </c>
      <c r="E136" s="3155">
        <v>11.21</v>
      </c>
      <c r="F136" s="3150" t="s">
        <v>4273</v>
      </c>
      <c r="I136" s="3150">
        <v>134</v>
      </c>
      <c r="J136" s="3154" t="s">
        <v>3935</v>
      </c>
      <c r="K136" s="3154" t="s">
        <v>4068</v>
      </c>
      <c r="L136" s="3154">
        <v>41.97</v>
      </c>
      <c r="M136" s="3155">
        <v>9.7100000000000009</v>
      </c>
      <c r="N136" s="3150" t="s">
        <v>4273</v>
      </c>
    </row>
    <row r="137" spans="1:14">
      <c r="A137" s="3150">
        <v>135</v>
      </c>
      <c r="B137" s="3154" t="s">
        <v>3514</v>
      </c>
      <c r="C137" s="3154" t="s">
        <v>3648</v>
      </c>
      <c r="D137" s="3154">
        <v>38.130000000000003</v>
      </c>
      <c r="E137" s="3155">
        <v>11.69</v>
      </c>
      <c r="F137" s="3150" t="s">
        <v>4273</v>
      </c>
      <c r="I137" s="3150">
        <v>135</v>
      </c>
      <c r="J137" s="3154" t="s">
        <v>3935</v>
      </c>
      <c r="K137" s="3154" t="s">
        <v>4069</v>
      </c>
      <c r="L137" s="3154">
        <v>41.97</v>
      </c>
      <c r="M137" s="3155">
        <v>9.7100000000000009</v>
      </c>
      <c r="N137" s="3150" t="s">
        <v>4273</v>
      </c>
    </row>
    <row r="138" spans="1:14">
      <c r="A138" s="3150">
        <v>136</v>
      </c>
      <c r="B138" s="3154" t="s">
        <v>3514</v>
      </c>
      <c r="C138" s="3154" t="s">
        <v>3649</v>
      </c>
      <c r="D138" s="3154">
        <v>36.56</v>
      </c>
      <c r="E138" s="3155">
        <v>11.21</v>
      </c>
      <c r="F138" s="3150" t="s">
        <v>4273</v>
      </c>
      <c r="I138" s="3150">
        <v>136</v>
      </c>
      <c r="J138" s="3154" t="s">
        <v>3935</v>
      </c>
      <c r="K138" s="3154" t="s">
        <v>4070</v>
      </c>
      <c r="L138" s="3154">
        <v>43.78</v>
      </c>
      <c r="M138" s="3155">
        <v>10.130000000000001</v>
      </c>
      <c r="N138" s="3150" t="s">
        <v>4273</v>
      </c>
    </row>
    <row r="139" spans="1:14">
      <c r="A139" s="3150">
        <v>137</v>
      </c>
      <c r="B139" s="3154" t="s">
        <v>3514</v>
      </c>
      <c r="C139" s="3154" t="s">
        <v>3650</v>
      </c>
      <c r="D139" s="3154">
        <v>36.56</v>
      </c>
      <c r="E139" s="3155">
        <v>11.21</v>
      </c>
      <c r="F139" s="3150" t="s">
        <v>4273</v>
      </c>
      <c r="I139" s="3150">
        <v>137</v>
      </c>
      <c r="J139" s="3154" t="s">
        <v>3935</v>
      </c>
      <c r="K139" s="3154" t="s">
        <v>4071</v>
      </c>
      <c r="L139" s="3154">
        <v>41.97</v>
      </c>
      <c r="M139" s="3155">
        <v>9.7100000000000009</v>
      </c>
      <c r="N139" s="3150" t="s">
        <v>4273</v>
      </c>
    </row>
    <row r="140" spans="1:14">
      <c r="A140" s="3150">
        <v>138</v>
      </c>
      <c r="B140" s="3154" t="s">
        <v>3514</v>
      </c>
      <c r="C140" s="3154" t="s">
        <v>3651</v>
      </c>
      <c r="D140" s="3154">
        <v>38.130000000000003</v>
      </c>
      <c r="E140" s="3155">
        <v>11.69</v>
      </c>
      <c r="F140" s="3150" t="s">
        <v>4273</v>
      </c>
      <c r="I140" s="3150">
        <v>138</v>
      </c>
      <c r="J140" s="3154" t="s">
        <v>3935</v>
      </c>
      <c r="K140" s="3154" t="s">
        <v>4072</v>
      </c>
      <c r="L140" s="3154">
        <v>41.97</v>
      </c>
      <c r="M140" s="3155">
        <v>9.7100000000000009</v>
      </c>
      <c r="N140" s="3150" t="s">
        <v>4273</v>
      </c>
    </row>
    <row r="141" spans="1:14">
      <c r="A141" s="3150">
        <v>139</v>
      </c>
      <c r="B141" s="3154" t="s">
        <v>3514</v>
      </c>
      <c r="C141" s="3154" t="s">
        <v>3652</v>
      </c>
      <c r="D141" s="3154">
        <v>36.56</v>
      </c>
      <c r="E141" s="3155">
        <v>11.21</v>
      </c>
      <c r="F141" s="3150" t="s">
        <v>4273</v>
      </c>
      <c r="I141" s="3150">
        <v>139</v>
      </c>
      <c r="J141" s="3154" t="s">
        <v>3935</v>
      </c>
      <c r="K141" s="3154" t="s">
        <v>4073</v>
      </c>
      <c r="L141" s="3154">
        <v>41.97</v>
      </c>
      <c r="M141" s="3155">
        <v>9.7100000000000009</v>
      </c>
      <c r="N141" s="3150" t="s">
        <v>4273</v>
      </c>
    </row>
    <row r="142" spans="1:14">
      <c r="A142" s="3150">
        <v>140</v>
      </c>
      <c r="B142" s="3154" t="s">
        <v>3514</v>
      </c>
      <c r="C142" s="3154" t="s">
        <v>3653</v>
      </c>
      <c r="D142" s="3154">
        <v>36.56</v>
      </c>
      <c r="E142" s="3155">
        <v>11.21</v>
      </c>
      <c r="F142" s="3150" t="s">
        <v>4273</v>
      </c>
      <c r="I142" s="3150">
        <v>140</v>
      </c>
      <c r="J142" s="3154" t="s">
        <v>3935</v>
      </c>
      <c r="K142" s="3154" t="s">
        <v>4074</v>
      </c>
      <c r="L142" s="3154">
        <v>41.97</v>
      </c>
      <c r="M142" s="3155">
        <v>9.7100000000000009</v>
      </c>
      <c r="N142" s="3150" t="s">
        <v>4273</v>
      </c>
    </row>
    <row r="143" spans="1:14">
      <c r="A143" s="3150">
        <v>141</v>
      </c>
      <c r="B143" s="3154" t="s">
        <v>3514</v>
      </c>
      <c r="C143" s="3154" t="s">
        <v>3654</v>
      </c>
      <c r="D143" s="3154">
        <v>38.130000000000003</v>
      </c>
      <c r="E143" s="3155">
        <v>11.69</v>
      </c>
      <c r="F143" s="3150" t="s">
        <v>4273</v>
      </c>
      <c r="I143" s="3150">
        <v>141</v>
      </c>
      <c r="J143" s="3154" t="s">
        <v>3935</v>
      </c>
      <c r="K143" s="3154" t="s">
        <v>4075</v>
      </c>
      <c r="L143" s="3154">
        <v>41.97</v>
      </c>
      <c r="M143" s="3155">
        <v>9.7100000000000009</v>
      </c>
      <c r="N143" s="3150" t="s">
        <v>4273</v>
      </c>
    </row>
    <row r="144" spans="1:14">
      <c r="A144" s="3150">
        <v>142</v>
      </c>
      <c r="B144" s="3154" t="s">
        <v>3514</v>
      </c>
      <c r="C144" s="3154" t="s">
        <v>3655</v>
      </c>
      <c r="D144" s="3154">
        <v>36.56</v>
      </c>
      <c r="E144" s="3155">
        <v>11.21</v>
      </c>
      <c r="F144" s="3150" t="s">
        <v>4273</v>
      </c>
      <c r="I144" s="3150">
        <v>142</v>
      </c>
      <c r="J144" s="3154" t="s">
        <v>3935</v>
      </c>
      <c r="K144" s="3154" t="s">
        <v>4076</v>
      </c>
      <c r="L144" s="3154">
        <v>41.97</v>
      </c>
      <c r="M144" s="3155">
        <v>9.7100000000000009</v>
      </c>
      <c r="N144" s="3150" t="s">
        <v>4273</v>
      </c>
    </row>
    <row r="145" spans="1:14">
      <c r="A145" s="3150">
        <v>143</v>
      </c>
      <c r="B145" s="3154" t="s">
        <v>3514</v>
      </c>
      <c r="C145" s="3154" t="s">
        <v>3656</v>
      </c>
      <c r="D145" s="3154">
        <v>36.56</v>
      </c>
      <c r="E145" s="3155">
        <v>11.21</v>
      </c>
      <c r="F145" s="3150" t="s">
        <v>4273</v>
      </c>
      <c r="I145" s="3150">
        <v>143</v>
      </c>
      <c r="J145" s="3154" t="s">
        <v>3935</v>
      </c>
      <c r="K145" s="3154" t="s">
        <v>4077</v>
      </c>
      <c r="L145" s="3154">
        <v>43.78</v>
      </c>
      <c r="M145" s="3155">
        <v>10.130000000000001</v>
      </c>
      <c r="N145" s="3150" t="s">
        <v>4273</v>
      </c>
    </row>
    <row r="146" spans="1:14">
      <c r="A146" s="3150">
        <v>144</v>
      </c>
      <c r="B146" s="3154" t="s">
        <v>3514</v>
      </c>
      <c r="C146" s="3154" t="s">
        <v>3657</v>
      </c>
      <c r="D146" s="3154">
        <v>38.130000000000003</v>
      </c>
      <c r="E146" s="3155">
        <v>11.69</v>
      </c>
      <c r="F146" s="3150" t="s">
        <v>4273</v>
      </c>
      <c r="I146" s="3150">
        <v>144</v>
      </c>
      <c r="J146" s="3154" t="s">
        <v>3935</v>
      </c>
      <c r="K146" s="3154" t="s">
        <v>4078</v>
      </c>
      <c r="L146" s="3154">
        <v>41.97</v>
      </c>
      <c r="M146" s="3155">
        <v>9.7100000000000009</v>
      </c>
      <c r="N146" s="3150" t="s">
        <v>4273</v>
      </c>
    </row>
    <row r="147" spans="1:14">
      <c r="A147" s="3150">
        <v>145</v>
      </c>
      <c r="B147" s="3154" t="s">
        <v>3514</v>
      </c>
      <c r="C147" s="3154" t="s">
        <v>3658</v>
      </c>
      <c r="D147" s="3154">
        <v>36.56</v>
      </c>
      <c r="E147" s="3155">
        <v>11.21</v>
      </c>
      <c r="F147" s="3150" t="s">
        <v>4273</v>
      </c>
      <c r="I147" s="3150">
        <v>145</v>
      </c>
      <c r="J147" s="3154" t="s">
        <v>3935</v>
      </c>
      <c r="K147" s="3154" t="s">
        <v>4079</v>
      </c>
      <c r="L147" s="3154">
        <v>41.97</v>
      </c>
      <c r="M147" s="3155">
        <v>9.7100000000000009</v>
      </c>
      <c r="N147" s="3150" t="s">
        <v>4273</v>
      </c>
    </row>
    <row r="148" spans="1:14">
      <c r="A148" s="3150">
        <v>146</v>
      </c>
      <c r="B148" s="3154" t="s">
        <v>3514</v>
      </c>
      <c r="C148" s="3154" t="s">
        <v>3659</v>
      </c>
      <c r="D148" s="3154">
        <v>36.56</v>
      </c>
      <c r="E148" s="3155">
        <v>11.21</v>
      </c>
      <c r="F148" s="3150" t="s">
        <v>4273</v>
      </c>
      <c r="I148" s="3150">
        <v>146</v>
      </c>
      <c r="J148" s="3154" t="s">
        <v>3935</v>
      </c>
      <c r="K148" s="3154" t="s">
        <v>4080</v>
      </c>
      <c r="L148" s="3154">
        <v>41.97</v>
      </c>
      <c r="M148" s="3155">
        <v>9.7100000000000009</v>
      </c>
      <c r="N148" s="3150" t="s">
        <v>4273</v>
      </c>
    </row>
    <row r="149" spans="1:14">
      <c r="A149" s="3150">
        <v>147</v>
      </c>
      <c r="B149" s="3154" t="s">
        <v>3514</v>
      </c>
      <c r="C149" s="3154" t="s">
        <v>3660</v>
      </c>
      <c r="D149" s="3154">
        <v>38.130000000000003</v>
      </c>
      <c r="E149" s="3155">
        <v>11.69</v>
      </c>
      <c r="F149" s="3150" t="s">
        <v>4273</v>
      </c>
      <c r="I149" s="3150">
        <v>147</v>
      </c>
      <c r="J149" s="3154" t="s">
        <v>3935</v>
      </c>
      <c r="K149" s="3154" t="s">
        <v>4081</v>
      </c>
      <c r="L149" s="3154">
        <v>41.97</v>
      </c>
      <c r="M149" s="3155">
        <v>9.7100000000000009</v>
      </c>
      <c r="N149" s="3150" t="s">
        <v>4273</v>
      </c>
    </row>
    <row r="150" spans="1:14">
      <c r="A150" s="3150">
        <v>148</v>
      </c>
      <c r="B150" s="3154" t="s">
        <v>3514</v>
      </c>
      <c r="C150" s="3154" t="s">
        <v>3661</v>
      </c>
      <c r="D150" s="3154">
        <v>36.56</v>
      </c>
      <c r="E150" s="3155">
        <v>11.21</v>
      </c>
      <c r="F150" s="3150" t="s">
        <v>4273</v>
      </c>
      <c r="I150" s="3150">
        <v>148</v>
      </c>
      <c r="J150" s="3154" t="s">
        <v>3935</v>
      </c>
      <c r="K150" s="3154" t="s">
        <v>4082</v>
      </c>
      <c r="L150" s="3154">
        <v>41.97</v>
      </c>
      <c r="M150" s="3155">
        <v>9.7100000000000009</v>
      </c>
      <c r="N150" s="3150" t="s">
        <v>4273</v>
      </c>
    </row>
    <row r="151" spans="1:14">
      <c r="A151" s="3150">
        <v>149</v>
      </c>
      <c r="B151" s="3154" t="s">
        <v>3514</v>
      </c>
      <c r="C151" s="3154" t="s">
        <v>3662</v>
      </c>
      <c r="D151" s="3154">
        <v>36.56</v>
      </c>
      <c r="E151" s="3155">
        <v>11.21</v>
      </c>
      <c r="F151" s="3150" t="s">
        <v>4273</v>
      </c>
      <c r="I151" s="3150">
        <v>149</v>
      </c>
      <c r="J151" s="3154" t="s">
        <v>3935</v>
      </c>
      <c r="K151" s="3154" t="s">
        <v>4083</v>
      </c>
      <c r="L151" s="3154">
        <v>41.97</v>
      </c>
      <c r="M151" s="3155">
        <v>9.7100000000000009</v>
      </c>
      <c r="N151" s="3150" t="s">
        <v>4273</v>
      </c>
    </row>
    <row r="152" spans="1:14">
      <c r="A152" s="3150">
        <v>150</v>
      </c>
      <c r="B152" s="3154" t="s">
        <v>3514</v>
      </c>
      <c r="C152" s="3154" t="s">
        <v>3663</v>
      </c>
      <c r="D152" s="3154">
        <v>38.130000000000003</v>
      </c>
      <c r="E152" s="3155">
        <v>11.69</v>
      </c>
      <c r="F152" s="3150" t="s">
        <v>4273</v>
      </c>
      <c r="I152" s="3150">
        <v>150</v>
      </c>
      <c r="J152" s="3154" t="s">
        <v>3935</v>
      </c>
      <c r="K152" s="3154" t="s">
        <v>4084</v>
      </c>
      <c r="L152" s="3154">
        <v>41.97</v>
      </c>
      <c r="M152" s="3155">
        <v>9.7100000000000009</v>
      </c>
      <c r="N152" s="3150" t="s">
        <v>4273</v>
      </c>
    </row>
    <row r="153" spans="1:14">
      <c r="A153" s="3150">
        <v>151</v>
      </c>
      <c r="B153" s="3154" t="s">
        <v>3514</v>
      </c>
      <c r="C153" s="3154" t="s">
        <v>3664</v>
      </c>
      <c r="D153" s="3154">
        <v>36.56</v>
      </c>
      <c r="E153" s="3155">
        <v>11.21</v>
      </c>
      <c r="F153" s="3150" t="s">
        <v>4273</v>
      </c>
      <c r="I153" s="3150">
        <v>151</v>
      </c>
      <c r="J153" s="3154" t="s">
        <v>3935</v>
      </c>
      <c r="K153" s="3154" t="s">
        <v>4085</v>
      </c>
      <c r="L153" s="3154">
        <v>41.97</v>
      </c>
      <c r="M153" s="3155">
        <v>9.7100000000000009</v>
      </c>
      <c r="N153" s="3150" t="s">
        <v>4273</v>
      </c>
    </row>
    <row r="154" spans="1:14">
      <c r="A154" s="3150">
        <v>152</v>
      </c>
      <c r="B154" s="3154" t="s">
        <v>3514</v>
      </c>
      <c r="C154" s="3154" t="s">
        <v>3665</v>
      </c>
      <c r="D154" s="3154">
        <v>36.56</v>
      </c>
      <c r="E154" s="3155">
        <v>11.21</v>
      </c>
      <c r="F154" s="3150" t="s">
        <v>4273</v>
      </c>
      <c r="I154" s="3150">
        <v>152</v>
      </c>
      <c r="J154" s="3154" t="s">
        <v>3935</v>
      </c>
      <c r="K154" s="3154" t="s">
        <v>4086</v>
      </c>
      <c r="L154" s="3154">
        <v>43.78</v>
      </c>
      <c r="M154" s="3155">
        <v>10.130000000000001</v>
      </c>
      <c r="N154" s="3150" t="s">
        <v>4273</v>
      </c>
    </row>
    <row r="155" spans="1:14">
      <c r="A155" s="3150">
        <v>153</v>
      </c>
      <c r="B155" s="3154" t="s">
        <v>3514</v>
      </c>
      <c r="C155" s="3154" t="s">
        <v>3666</v>
      </c>
      <c r="D155" s="3154">
        <v>38.130000000000003</v>
      </c>
      <c r="E155" s="3155">
        <v>11.69</v>
      </c>
      <c r="F155" s="3150" t="s">
        <v>4273</v>
      </c>
      <c r="I155" s="3150">
        <v>153</v>
      </c>
      <c r="J155" s="3154" t="s">
        <v>3935</v>
      </c>
      <c r="K155" s="3154" t="s">
        <v>4087</v>
      </c>
      <c r="L155" s="3154">
        <v>41.97</v>
      </c>
      <c r="M155" s="3155">
        <v>9.7100000000000009</v>
      </c>
      <c r="N155" s="3150" t="s">
        <v>4273</v>
      </c>
    </row>
    <row r="156" spans="1:14">
      <c r="A156" s="3150">
        <v>154</v>
      </c>
      <c r="B156" s="3154" t="s">
        <v>3514</v>
      </c>
      <c r="C156" s="3154" t="s">
        <v>3667</v>
      </c>
      <c r="D156" s="3154">
        <v>36.56</v>
      </c>
      <c r="E156" s="3155">
        <v>11.21</v>
      </c>
      <c r="F156" s="3150" t="s">
        <v>4273</v>
      </c>
      <c r="I156" s="3150">
        <v>154</v>
      </c>
      <c r="J156" s="3154" t="s">
        <v>3935</v>
      </c>
      <c r="K156" s="3154" t="s">
        <v>4088</v>
      </c>
      <c r="L156" s="3154">
        <v>41.97</v>
      </c>
      <c r="M156" s="3155">
        <v>9.7100000000000009</v>
      </c>
      <c r="N156" s="3150" t="s">
        <v>4273</v>
      </c>
    </row>
    <row r="157" spans="1:14">
      <c r="A157" s="3150">
        <v>155</v>
      </c>
      <c r="B157" s="3154" t="s">
        <v>3514</v>
      </c>
      <c r="C157" s="3154" t="s">
        <v>3668</v>
      </c>
      <c r="D157" s="3154">
        <v>36.56</v>
      </c>
      <c r="E157" s="3155">
        <v>11.21</v>
      </c>
      <c r="F157" s="3150" t="s">
        <v>4273</v>
      </c>
      <c r="I157" s="3150">
        <v>155</v>
      </c>
      <c r="J157" s="3154" t="s">
        <v>3935</v>
      </c>
      <c r="K157" s="3154" t="s">
        <v>4089</v>
      </c>
      <c r="L157" s="3154">
        <v>43.78</v>
      </c>
      <c r="M157" s="3155">
        <v>10.130000000000001</v>
      </c>
      <c r="N157" s="3150" t="s">
        <v>4273</v>
      </c>
    </row>
    <row r="158" spans="1:14">
      <c r="A158" s="3150">
        <v>156</v>
      </c>
      <c r="B158" s="3154" t="s">
        <v>3514</v>
      </c>
      <c r="C158" s="3154" t="s">
        <v>3669</v>
      </c>
      <c r="D158" s="3154">
        <v>38.130000000000003</v>
      </c>
      <c r="E158" s="3155">
        <v>11.69</v>
      </c>
      <c r="F158" s="3150" t="s">
        <v>4273</v>
      </c>
      <c r="I158" s="3150">
        <v>156</v>
      </c>
      <c r="J158" s="3154" t="s">
        <v>3935</v>
      </c>
      <c r="K158" s="3154" t="s">
        <v>4090</v>
      </c>
      <c r="L158" s="3154">
        <v>41.97</v>
      </c>
      <c r="M158" s="3155">
        <v>9.7100000000000009</v>
      </c>
      <c r="N158" s="3150" t="s">
        <v>4273</v>
      </c>
    </row>
    <row r="159" spans="1:14">
      <c r="A159" s="3150">
        <v>157</v>
      </c>
      <c r="B159" s="3154" t="s">
        <v>3514</v>
      </c>
      <c r="C159" s="3154" t="s">
        <v>3670</v>
      </c>
      <c r="D159" s="3154">
        <v>36.56</v>
      </c>
      <c r="E159" s="3155">
        <v>11.21</v>
      </c>
      <c r="F159" s="3150" t="s">
        <v>4273</v>
      </c>
      <c r="I159" s="3150">
        <v>157</v>
      </c>
      <c r="J159" s="3154" t="s">
        <v>3935</v>
      </c>
      <c r="K159" s="3154" t="s">
        <v>4091</v>
      </c>
      <c r="L159" s="3154">
        <v>41.97</v>
      </c>
      <c r="M159" s="3155">
        <v>9.7100000000000009</v>
      </c>
      <c r="N159" s="3150" t="s">
        <v>4273</v>
      </c>
    </row>
    <row r="160" spans="1:14">
      <c r="A160" s="3150">
        <v>158</v>
      </c>
      <c r="B160" s="3154" t="s">
        <v>3514</v>
      </c>
      <c r="C160" s="3154" t="s">
        <v>3671</v>
      </c>
      <c r="D160" s="3154">
        <v>36.56</v>
      </c>
      <c r="E160" s="3155">
        <v>11.21</v>
      </c>
      <c r="F160" s="3150" t="s">
        <v>4273</v>
      </c>
      <c r="I160" s="3150">
        <v>158</v>
      </c>
      <c r="J160" s="3154" t="s">
        <v>3935</v>
      </c>
      <c r="K160" s="3154" t="s">
        <v>4092</v>
      </c>
      <c r="L160" s="3154">
        <v>43.78</v>
      </c>
      <c r="M160" s="3155">
        <v>10.130000000000001</v>
      </c>
      <c r="N160" s="3150" t="s">
        <v>4273</v>
      </c>
    </row>
    <row r="161" spans="1:14">
      <c r="A161" s="3150">
        <v>159</v>
      </c>
      <c r="B161" s="3154" t="s">
        <v>3514</v>
      </c>
      <c r="C161" s="3154" t="s">
        <v>3672</v>
      </c>
      <c r="D161" s="3154">
        <v>38.130000000000003</v>
      </c>
      <c r="E161" s="3155">
        <v>11.69</v>
      </c>
      <c r="F161" s="3150" t="s">
        <v>4273</v>
      </c>
      <c r="I161" s="3150">
        <v>159</v>
      </c>
      <c r="J161" s="3154" t="s">
        <v>3935</v>
      </c>
      <c r="K161" s="3154" t="s">
        <v>4093</v>
      </c>
      <c r="L161" s="3154">
        <v>41.97</v>
      </c>
      <c r="M161" s="3155">
        <v>9.7100000000000009</v>
      </c>
      <c r="N161" s="3150" t="s">
        <v>4273</v>
      </c>
    </row>
    <row r="162" spans="1:14">
      <c r="A162" s="3150">
        <v>160</v>
      </c>
      <c r="B162" s="3154" t="s">
        <v>3514</v>
      </c>
      <c r="C162" s="3154" t="s">
        <v>3673</v>
      </c>
      <c r="D162" s="3154">
        <v>36.56</v>
      </c>
      <c r="E162" s="3155">
        <v>11.21</v>
      </c>
      <c r="F162" s="3150" t="s">
        <v>4273</v>
      </c>
      <c r="I162" s="3150">
        <v>160</v>
      </c>
      <c r="J162" s="3154" t="s">
        <v>3935</v>
      </c>
      <c r="K162" s="3154" t="s">
        <v>4094</v>
      </c>
      <c r="L162" s="3154">
        <v>41.97</v>
      </c>
      <c r="M162" s="3155">
        <v>9.7100000000000009</v>
      </c>
      <c r="N162" s="3150" t="s">
        <v>4273</v>
      </c>
    </row>
    <row r="163" spans="1:14">
      <c r="A163" s="3150">
        <v>161</v>
      </c>
      <c r="B163" s="3154" t="s">
        <v>3514</v>
      </c>
      <c r="C163" s="3154" t="s">
        <v>3674</v>
      </c>
      <c r="D163" s="3154">
        <v>36.56</v>
      </c>
      <c r="E163" s="3155">
        <v>11.21</v>
      </c>
      <c r="F163" s="3150" t="s">
        <v>4273</v>
      </c>
      <c r="I163" s="3150">
        <v>161</v>
      </c>
      <c r="J163" s="3154" t="s">
        <v>3935</v>
      </c>
      <c r="K163" s="3154" t="s">
        <v>4095</v>
      </c>
      <c r="L163" s="3154">
        <v>43.78</v>
      </c>
      <c r="M163" s="3155">
        <v>10.130000000000001</v>
      </c>
      <c r="N163" s="3150" t="s">
        <v>4273</v>
      </c>
    </row>
    <row r="164" spans="1:14">
      <c r="A164" s="3150">
        <v>162</v>
      </c>
      <c r="B164" s="3154" t="s">
        <v>3514</v>
      </c>
      <c r="C164" s="3154" t="s">
        <v>3675</v>
      </c>
      <c r="D164" s="3154">
        <v>38.130000000000003</v>
      </c>
      <c r="E164" s="3155">
        <v>11.69</v>
      </c>
      <c r="F164" s="3150" t="s">
        <v>4273</v>
      </c>
      <c r="I164" s="3150">
        <v>162</v>
      </c>
      <c r="J164" s="3154" t="s">
        <v>3935</v>
      </c>
      <c r="K164" s="3154" t="s">
        <v>4096</v>
      </c>
      <c r="L164" s="3154">
        <v>41.97</v>
      </c>
      <c r="M164" s="3155">
        <v>9.7100000000000009</v>
      </c>
      <c r="N164" s="3150" t="s">
        <v>4273</v>
      </c>
    </row>
    <row r="165" spans="1:14">
      <c r="A165" s="3150">
        <v>163</v>
      </c>
      <c r="B165" s="3154" t="s">
        <v>3514</v>
      </c>
      <c r="C165" s="3154" t="s">
        <v>3676</v>
      </c>
      <c r="D165" s="3154">
        <v>36.56</v>
      </c>
      <c r="E165" s="3155">
        <v>11.21</v>
      </c>
      <c r="F165" s="3150" t="s">
        <v>4273</v>
      </c>
      <c r="I165" s="3150">
        <v>163</v>
      </c>
      <c r="J165" s="3154" t="s">
        <v>3935</v>
      </c>
      <c r="K165" s="3154" t="s">
        <v>4097</v>
      </c>
      <c r="L165" s="3154">
        <v>41.97</v>
      </c>
      <c r="M165" s="3155">
        <v>9.7100000000000009</v>
      </c>
      <c r="N165" s="3150" t="s">
        <v>4273</v>
      </c>
    </row>
    <row r="166" spans="1:14">
      <c r="A166" s="3150">
        <v>164</v>
      </c>
      <c r="B166" s="3154" t="s">
        <v>3514</v>
      </c>
      <c r="C166" s="3154" t="s">
        <v>3677</v>
      </c>
      <c r="D166" s="3154">
        <v>36.56</v>
      </c>
      <c r="E166" s="3155">
        <v>11.21</v>
      </c>
      <c r="F166" s="3150" t="s">
        <v>4273</v>
      </c>
      <c r="I166" s="3150">
        <v>164</v>
      </c>
      <c r="J166" s="3154" t="s">
        <v>3935</v>
      </c>
      <c r="K166" s="3154" t="s">
        <v>4098</v>
      </c>
      <c r="L166" s="3154">
        <v>43.78</v>
      </c>
      <c r="M166" s="3155">
        <v>10.130000000000001</v>
      </c>
      <c r="N166" s="3150" t="s">
        <v>4273</v>
      </c>
    </row>
    <row r="167" spans="1:14">
      <c r="A167" s="3150">
        <v>165</v>
      </c>
      <c r="B167" s="3154" t="s">
        <v>3514</v>
      </c>
      <c r="C167" s="3154" t="s">
        <v>3678</v>
      </c>
      <c r="D167" s="3154">
        <v>38.130000000000003</v>
      </c>
      <c r="E167" s="3155">
        <v>11.69</v>
      </c>
      <c r="F167" s="3150" t="s">
        <v>4273</v>
      </c>
      <c r="I167" s="3150">
        <v>165</v>
      </c>
      <c r="J167" s="3154" t="s">
        <v>3935</v>
      </c>
      <c r="K167" s="3154" t="s">
        <v>4099</v>
      </c>
      <c r="L167" s="3154">
        <v>41.97</v>
      </c>
      <c r="M167" s="3155">
        <v>9.7100000000000009</v>
      </c>
      <c r="N167" s="3150" t="s">
        <v>4273</v>
      </c>
    </row>
    <row r="168" spans="1:14">
      <c r="A168" s="3150">
        <v>166</v>
      </c>
      <c r="B168" s="3154" t="s">
        <v>3514</v>
      </c>
      <c r="C168" s="3154" t="s">
        <v>3679</v>
      </c>
      <c r="D168" s="3154">
        <v>36.56</v>
      </c>
      <c r="E168" s="3155">
        <v>11.21</v>
      </c>
      <c r="F168" s="3150" t="s">
        <v>4273</v>
      </c>
      <c r="I168" s="3150">
        <v>166</v>
      </c>
      <c r="J168" s="3154" t="s">
        <v>3935</v>
      </c>
      <c r="K168" s="3154" t="s">
        <v>4100</v>
      </c>
      <c r="L168" s="3154">
        <v>41.97</v>
      </c>
      <c r="M168" s="3155">
        <v>9.7100000000000009</v>
      </c>
      <c r="N168" s="3150" t="s">
        <v>4273</v>
      </c>
    </row>
    <row r="169" spans="1:14">
      <c r="A169" s="3150">
        <v>167</v>
      </c>
      <c r="B169" s="3154" t="s">
        <v>3514</v>
      </c>
      <c r="C169" s="3154" t="s">
        <v>3680</v>
      </c>
      <c r="D169" s="3154">
        <v>36.56</v>
      </c>
      <c r="E169" s="3155">
        <v>11.21</v>
      </c>
      <c r="F169" s="3150" t="s">
        <v>4273</v>
      </c>
      <c r="I169" s="3150">
        <v>167</v>
      </c>
      <c r="J169" s="3154" t="s">
        <v>3935</v>
      </c>
      <c r="K169" s="3154" t="s">
        <v>4101</v>
      </c>
      <c r="L169" s="3154">
        <v>43.78</v>
      </c>
      <c r="M169" s="3155">
        <v>10.130000000000001</v>
      </c>
      <c r="N169" s="3150" t="s">
        <v>4273</v>
      </c>
    </row>
    <row r="170" spans="1:14">
      <c r="A170" s="3150">
        <v>168</v>
      </c>
      <c r="B170" s="3154" t="s">
        <v>3514</v>
      </c>
      <c r="C170" s="3154" t="s">
        <v>3681</v>
      </c>
      <c r="D170" s="3154">
        <v>38.130000000000003</v>
      </c>
      <c r="E170" s="3155">
        <v>11.69</v>
      </c>
      <c r="F170" s="3150" t="s">
        <v>4273</v>
      </c>
      <c r="I170" s="3150">
        <v>168</v>
      </c>
      <c r="J170" s="3154" t="s">
        <v>3935</v>
      </c>
      <c r="K170" s="3154" t="s">
        <v>4102</v>
      </c>
      <c r="L170" s="3154">
        <v>41.97</v>
      </c>
      <c r="M170" s="3155">
        <v>9.7100000000000009</v>
      </c>
      <c r="N170" s="3150" t="s">
        <v>4273</v>
      </c>
    </row>
    <row r="171" spans="1:14">
      <c r="A171" s="3150">
        <v>169</v>
      </c>
      <c r="B171" s="3154" t="s">
        <v>3514</v>
      </c>
      <c r="C171" s="3154" t="s">
        <v>3682</v>
      </c>
      <c r="D171" s="3154">
        <v>36.56</v>
      </c>
      <c r="E171" s="3155">
        <v>11.21</v>
      </c>
      <c r="F171" s="3150" t="s">
        <v>4273</v>
      </c>
      <c r="I171" s="3150">
        <v>169</v>
      </c>
      <c r="J171" s="3154" t="s">
        <v>3935</v>
      </c>
      <c r="K171" s="3154" t="s">
        <v>4103</v>
      </c>
      <c r="L171" s="3154">
        <v>41.97</v>
      </c>
      <c r="M171" s="3155">
        <v>9.7100000000000009</v>
      </c>
      <c r="N171" s="3150" t="s">
        <v>4273</v>
      </c>
    </row>
    <row r="172" spans="1:14">
      <c r="A172" s="3150">
        <v>170</v>
      </c>
      <c r="B172" s="3154" t="s">
        <v>3514</v>
      </c>
      <c r="C172" s="3154" t="s">
        <v>3683</v>
      </c>
      <c r="D172" s="3154">
        <v>36.56</v>
      </c>
      <c r="E172" s="3155">
        <v>11.21</v>
      </c>
      <c r="F172" s="3150" t="s">
        <v>4273</v>
      </c>
      <c r="I172" s="3150">
        <v>170</v>
      </c>
      <c r="J172" s="3154" t="s">
        <v>3935</v>
      </c>
      <c r="K172" s="3154" t="s">
        <v>4104</v>
      </c>
      <c r="L172" s="3154">
        <v>43.78</v>
      </c>
      <c r="M172" s="3155">
        <v>10.130000000000001</v>
      </c>
      <c r="N172" s="3150" t="s">
        <v>4273</v>
      </c>
    </row>
    <row r="173" spans="1:14">
      <c r="A173" s="3150">
        <v>171</v>
      </c>
      <c r="B173" s="3154" t="s">
        <v>3514</v>
      </c>
      <c r="C173" s="3154" t="s">
        <v>3684</v>
      </c>
      <c r="D173" s="3154">
        <v>38.130000000000003</v>
      </c>
      <c r="E173" s="3155">
        <v>11.69</v>
      </c>
      <c r="F173" s="3150" t="s">
        <v>4273</v>
      </c>
      <c r="I173" s="3150">
        <v>171</v>
      </c>
      <c r="J173" s="3154" t="s">
        <v>3935</v>
      </c>
      <c r="K173" s="3154" t="s">
        <v>4105</v>
      </c>
      <c r="L173" s="3154">
        <v>41.97</v>
      </c>
      <c r="M173" s="3155">
        <v>9.7100000000000009</v>
      </c>
      <c r="N173" s="3150" t="s">
        <v>4273</v>
      </c>
    </row>
    <row r="174" spans="1:14">
      <c r="A174" s="3150">
        <v>172</v>
      </c>
      <c r="B174" s="3154" t="s">
        <v>3514</v>
      </c>
      <c r="C174" s="3154" t="s">
        <v>3685</v>
      </c>
      <c r="D174" s="3154">
        <v>36.56</v>
      </c>
      <c r="E174" s="3155">
        <v>11.21</v>
      </c>
      <c r="F174" s="3150" t="s">
        <v>4273</v>
      </c>
      <c r="I174" s="3150">
        <v>172</v>
      </c>
      <c r="J174" s="3154" t="s">
        <v>3935</v>
      </c>
      <c r="K174" s="3154" t="s">
        <v>4106</v>
      </c>
      <c r="L174" s="3154">
        <v>41.97</v>
      </c>
      <c r="M174" s="3155">
        <v>9.7100000000000009</v>
      </c>
      <c r="N174" s="3150" t="s">
        <v>4273</v>
      </c>
    </row>
    <row r="175" spans="1:14">
      <c r="A175" s="3150">
        <v>173</v>
      </c>
      <c r="B175" s="3154" t="s">
        <v>3514</v>
      </c>
      <c r="C175" s="3154" t="s">
        <v>3686</v>
      </c>
      <c r="D175" s="3154">
        <v>36.56</v>
      </c>
      <c r="E175" s="3155">
        <v>11.21</v>
      </c>
      <c r="F175" s="3150" t="s">
        <v>4273</v>
      </c>
      <c r="I175" s="3150">
        <v>173</v>
      </c>
      <c r="J175" s="3154" t="s">
        <v>3935</v>
      </c>
      <c r="K175" s="3154" t="s">
        <v>4107</v>
      </c>
      <c r="L175" s="3154">
        <v>43.78</v>
      </c>
      <c r="M175" s="3155">
        <v>10.130000000000001</v>
      </c>
      <c r="N175" s="3150" t="s">
        <v>4273</v>
      </c>
    </row>
    <row r="176" spans="1:14">
      <c r="A176" s="3150">
        <v>174</v>
      </c>
      <c r="B176" s="3154" t="s">
        <v>3514</v>
      </c>
      <c r="C176" s="3154" t="s">
        <v>3687</v>
      </c>
      <c r="D176" s="3154">
        <v>38.130000000000003</v>
      </c>
      <c r="E176" s="3155">
        <v>11.69</v>
      </c>
      <c r="F176" s="3150" t="s">
        <v>4273</v>
      </c>
      <c r="I176" s="3150">
        <v>174</v>
      </c>
      <c r="J176" s="3154" t="s">
        <v>3935</v>
      </c>
      <c r="K176" s="3154" t="s">
        <v>4108</v>
      </c>
      <c r="L176" s="3154">
        <v>41.97</v>
      </c>
      <c r="M176" s="3155">
        <v>9.7100000000000009</v>
      </c>
      <c r="N176" s="3150" t="s">
        <v>4273</v>
      </c>
    </row>
    <row r="177" spans="1:14">
      <c r="A177" s="3150">
        <v>175</v>
      </c>
      <c r="B177" s="3154" t="s">
        <v>3514</v>
      </c>
      <c r="C177" s="3154" t="s">
        <v>3688</v>
      </c>
      <c r="D177" s="3154">
        <v>36.56</v>
      </c>
      <c r="E177" s="3155">
        <v>11.21</v>
      </c>
      <c r="F177" s="3150" t="s">
        <v>4273</v>
      </c>
      <c r="I177" s="3150">
        <v>175</v>
      </c>
      <c r="J177" s="3154" t="s">
        <v>3935</v>
      </c>
      <c r="K177" s="3154" t="s">
        <v>4109</v>
      </c>
      <c r="L177" s="3154">
        <v>41.97</v>
      </c>
      <c r="M177" s="3155">
        <v>9.7100000000000009</v>
      </c>
      <c r="N177" s="3150" t="s">
        <v>4273</v>
      </c>
    </row>
    <row r="178" spans="1:14">
      <c r="A178" s="3150">
        <v>176</v>
      </c>
      <c r="B178" s="3154" t="s">
        <v>3514</v>
      </c>
      <c r="C178" s="3154" t="s">
        <v>3689</v>
      </c>
      <c r="D178" s="3154">
        <v>36.56</v>
      </c>
      <c r="E178" s="3155">
        <v>11.21</v>
      </c>
      <c r="F178" s="3150" t="s">
        <v>4273</v>
      </c>
      <c r="I178" s="3150">
        <v>176</v>
      </c>
      <c r="J178" s="3154" t="s">
        <v>3935</v>
      </c>
      <c r="K178" s="3154" t="s">
        <v>4110</v>
      </c>
      <c r="L178" s="3154">
        <v>43.78</v>
      </c>
      <c r="M178" s="3155">
        <v>10.130000000000001</v>
      </c>
      <c r="N178" s="3150" t="s">
        <v>4273</v>
      </c>
    </row>
    <row r="179" spans="1:14">
      <c r="A179" s="3150">
        <v>177</v>
      </c>
      <c r="B179" s="3154" t="s">
        <v>3514</v>
      </c>
      <c r="C179" s="3154" t="s">
        <v>3690</v>
      </c>
      <c r="D179" s="3154">
        <v>38.130000000000003</v>
      </c>
      <c r="E179" s="3155">
        <v>11.69</v>
      </c>
      <c r="F179" s="3150" t="s">
        <v>4273</v>
      </c>
      <c r="I179" s="3150">
        <v>177</v>
      </c>
      <c r="J179" s="3154" t="s">
        <v>3935</v>
      </c>
      <c r="K179" s="3154" t="s">
        <v>4111</v>
      </c>
      <c r="L179" s="3154">
        <v>41.97</v>
      </c>
      <c r="M179" s="3155">
        <v>9.7100000000000009</v>
      </c>
      <c r="N179" s="3150" t="s">
        <v>4273</v>
      </c>
    </row>
    <row r="180" spans="1:14">
      <c r="A180" s="3150">
        <v>178</v>
      </c>
      <c r="B180" s="3154" t="s">
        <v>3514</v>
      </c>
      <c r="C180" s="3154" t="s">
        <v>3691</v>
      </c>
      <c r="D180" s="3154">
        <v>36.56</v>
      </c>
      <c r="E180" s="3155">
        <v>11.21</v>
      </c>
      <c r="F180" s="3150" t="s">
        <v>4273</v>
      </c>
      <c r="I180" s="3150">
        <v>178</v>
      </c>
      <c r="J180" s="3154" t="s">
        <v>3935</v>
      </c>
      <c r="K180" s="3154" t="s">
        <v>4112</v>
      </c>
      <c r="L180" s="3154">
        <v>41.97</v>
      </c>
      <c r="M180" s="3155">
        <v>9.7100000000000009</v>
      </c>
      <c r="N180" s="3150" t="s">
        <v>4273</v>
      </c>
    </row>
    <row r="181" spans="1:14">
      <c r="A181" s="3150">
        <v>179</v>
      </c>
      <c r="B181" s="3154" t="s">
        <v>3514</v>
      </c>
      <c r="C181" s="3154" t="s">
        <v>3692</v>
      </c>
      <c r="D181" s="3154">
        <v>36.56</v>
      </c>
      <c r="E181" s="3155">
        <v>11.21</v>
      </c>
      <c r="F181" s="3150" t="s">
        <v>4273</v>
      </c>
      <c r="I181" s="3150">
        <v>179</v>
      </c>
      <c r="J181" s="3154" t="s">
        <v>3935</v>
      </c>
      <c r="K181" s="3154" t="s">
        <v>4113</v>
      </c>
      <c r="L181" s="3154">
        <v>41.97</v>
      </c>
      <c r="M181" s="3155">
        <v>9.7100000000000009</v>
      </c>
      <c r="N181" s="3150" t="s">
        <v>4273</v>
      </c>
    </row>
    <row r="182" spans="1:14">
      <c r="A182" s="3150">
        <v>180</v>
      </c>
      <c r="B182" s="3154" t="s">
        <v>3514</v>
      </c>
      <c r="C182" s="3154" t="s">
        <v>3693</v>
      </c>
      <c r="D182" s="3154">
        <v>36.56</v>
      </c>
      <c r="E182" s="3155">
        <v>11.21</v>
      </c>
      <c r="F182" s="3150" t="s">
        <v>4273</v>
      </c>
      <c r="I182" s="3150">
        <v>180</v>
      </c>
      <c r="J182" s="3154" t="s">
        <v>3935</v>
      </c>
      <c r="K182" s="3154" t="s">
        <v>4114</v>
      </c>
      <c r="L182" s="3154">
        <v>41.97</v>
      </c>
      <c r="M182" s="3155">
        <v>9.7100000000000009</v>
      </c>
      <c r="N182" s="3150" t="s">
        <v>4273</v>
      </c>
    </row>
    <row r="183" spans="1:14">
      <c r="A183" s="3150">
        <v>181</v>
      </c>
      <c r="B183" s="3154" t="s">
        <v>3514</v>
      </c>
      <c r="C183" s="3154" t="s">
        <v>3694</v>
      </c>
      <c r="D183" s="3154">
        <v>36.56</v>
      </c>
      <c r="E183" s="3155">
        <v>11.21</v>
      </c>
      <c r="F183" s="3150" t="s">
        <v>4273</v>
      </c>
      <c r="I183" s="3150">
        <v>181</v>
      </c>
      <c r="J183" s="3154" t="s">
        <v>3935</v>
      </c>
      <c r="K183" s="3154" t="s">
        <v>4115</v>
      </c>
      <c r="L183" s="3154">
        <v>41.97</v>
      </c>
      <c r="M183" s="3155">
        <v>9.7100000000000009</v>
      </c>
      <c r="N183" s="3150" t="s">
        <v>4273</v>
      </c>
    </row>
    <row r="184" spans="1:14">
      <c r="A184" s="3150">
        <v>182</v>
      </c>
      <c r="B184" s="3154" t="s">
        <v>3514</v>
      </c>
      <c r="C184" s="3154" t="s">
        <v>3695</v>
      </c>
      <c r="D184" s="3154">
        <v>38.130000000000003</v>
      </c>
      <c r="E184" s="3155">
        <v>11.69</v>
      </c>
      <c r="F184" s="3150" t="s">
        <v>4273</v>
      </c>
      <c r="I184" s="3150">
        <v>182</v>
      </c>
      <c r="J184" s="3154" t="s">
        <v>3935</v>
      </c>
      <c r="K184" s="3154" t="s">
        <v>4116</v>
      </c>
      <c r="L184" s="3154">
        <v>43.78</v>
      </c>
      <c r="M184" s="3155">
        <v>10.130000000000001</v>
      </c>
      <c r="N184" s="3150" t="s">
        <v>4273</v>
      </c>
    </row>
    <row r="185" spans="1:14">
      <c r="A185" s="3150">
        <v>183</v>
      </c>
      <c r="B185" s="3154" t="s">
        <v>3514</v>
      </c>
      <c r="C185" s="3154" t="s">
        <v>3696</v>
      </c>
      <c r="D185" s="3154">
        <v>36.56</v>
      </c>
      <c r="E185" s="3155">
        <v>11.21</v>
      </c>
      <c r="F185" s="3150" t="s">
        <v>4273</v>
      </c>
      <c r="I185" s="3150">
        <v>183</v>
      </c>
      <c r="J185" s="3154" t="s">
        <v>3935</v>
      </c>
      <c r="K185" s="3154" t="s">
        <v>4117</v>
      </c>
      <c r="L185" s="3154">
        <v>43.78</v>
      </c>
      <c r="M185" s="3155">
        <v>10.130000000000001</v>
      </c>
      <c r="N185" s="3150" t="s">
        <v>4273</v>
      </c>
    </row>
    <row r="186" spans="1:14">
      <c r="A186" s="3150">
        <v>184</v>
      </c>
      <c r="B186" s="3154" t="s">
        <v>3514</v>
      </c>
      <c r="C186" s="3154" t="s">
        <v>3697</v>
      </c>
      <c r="D186" s="3154">
        <v>36.56</v>
      </c>
      <c r="E186" s="3155">
        <v>11.21</v>
      </c>
      <c r="F186" s="3150" t="s">
        <v>4273</v>
      </c>
      <c r="I186" s="3150">
        <v>184</v>
      </c>
      <c r="J186" s="3154" t="s">
        <v>3935</v>
      </c>
      <c r="K186" s="3154" t="s">
        <v>4118</v>
      </c>
      <c r="L186" s="3154">
        <v>41.97</v>
      </c>
      <c r="M186" s="3155">
        <v>9.7100000000000009</v>
      </c>
      <c r="N186" s="3150" t="s">
        <v>4273</v>
      </c>
    </row>
    <row r="187" spans="1:14">
      <c r="A187" s="3150">
        <v>185</v>
      </c>
      <c r="B187" s="3154" t="s">
        <v>3514</v>
      </c>
      <c r="C187" s="3154" t="s">
        <v>3698</v>
      </c>
      <c r="D187" s="3154">
        <v>36.56</v>
      </c>
      <c r="E187" s="3155">
        <v>11.21</v>
      </c>
      <c r="F187" s="3150" t="s">
        <v>4273</v>
      </c>
      <c r="I187" s="3150">
        <v>185</v>
      </c>
      <c r="J187" s="3154" t="s">
        <v>3935</v>
      </c>
      <c r="K187" s="3154" t="s">
        <v>4119</v>
      </c>
      <c r="L187" s="3154">
        <v>41.97</v>
      </c>
      <c r="M187" s="3155">
        <v>9.7100000000000009</v>
      </c>
      <c r="N187" s="3150" t="s">
        <v>4273</v>
      </c>
    </row>
    <row r="188" spans="1:14">
      <c r="A188" s="3150">
        <v>186</v>
      </c>
      <c r="B188" s="3154" t="s">
        <v>3514</v>
      </c>
      <c r="C188" s="3154" t="s">
        <v>3699</v>
      </c>
      <c r="D188" s="3154">
        <v>36.56</v>
      </c>
      <c r="E188" s="3155">
        <v>11.21</v>
      </c>
      <c r="F188" s="3150" t="s">
        <v>4273</v>
      </c>
      <c r="I188" s="3150">
        <v>186</v>
      </c>
      <c r="J188" s="3154" t="s">
        <v>3935</v>
      </c>
      <c r="K188" s="3154" t="s">
        <v>4120</v>
      </c>
      <c r="L188" s="3154">
        <v>43.78</v>
      </c>
      <c r="M188" s="3155">
        <v>10.130000000000001</v>
      </c>
      <c r="N188" s="3150" t="s">
        <v>4273</v>
      </c>
    </row>
    <row r="189" spans="1:14">
      <c r="A189" s="3150">
        <v>187</v>
      </c>
      <c r="B189" s="3154" t="s">
        <v>3514</v>
      </c>
      <c r="C189" s="3154" t="s">
        <v>3700</v>
      </c>
      <c r="D189" s="3154">
        <v>36.56</v>
      </c>
      <c r="E189" s="3155">
        <v>11.21</v>
      </c>
      <c r="F189" s="3150" t="s">
        <v>4273</v>
      </c>
      <c r="I189" s="3150">
        <v>187</v>
      </c>
      <c r="J189" s="3154" t="s">
        <v>3935</v>
      </c>
      <c r="K189" s="3154" t="s">
        <v>4121</v>
      </c>
      <c r="L189" s="3154">
        <v>43.78</v>
      </c>
      <c r="M189" s="3155">
        <v>10.130000000000001</v>
      </c>
      <c r="N189" s="3150" t="s">
        <v>4273</v>
      </c>
    </row>
    <row r="190" spans="1:14">
      <c r="A190" s="3150">
        <v>188</v>
      </c>
      <c r="B190" s="3154" t="s">
        <v>3514</v>
      </c>
      <c r="C190" s="3154" t="s">
        <v>3701</v>
      </c>
      <c r="D190" s="3154">
        <v>38.130000000000003</v>
      </c>
      <c r="E190" s="3155">
        <v>11.69</v>
      </c>
      <c r="F190" s="3150" t="s">
        <v>4273</v>
      </c>
      <c r="I190" s="3150">
        <v>188</v>
      </c>
      <c r="J190" s="3154" t="s">
        <v>3935</v>
      </c>
      <c r="K190" s="3154" t="s">
        <v>4122</v>
      </c>
      <c r="L190" s="3154">
        <v>41.97</v>
      </c>
      <c r="M190" s="3155">
        <v>9.7100000000000009</v>
      </c>
      <c r="N190" s="3150" t="s">
        <v>4273</v>
      </c>
    </row>
    <row r="191" spans="1:14">
      <c r="A191" s="3150">
        <v>189</v>
      </c>
      <c r="B191" s="3154" t="s">
        <v>3514</v>
      </c>
      <c r="C191" s="3154" t="s">
        <v>3702</v>
      </c>
      <c r="D191" s="3154">
        <v>36.56</v>
      </c>
      <c r="E191" s="3155">
        <v>11.21</v>
      </c>
      <c r="F191" s="3150" t="s">
        <v>4273</v>
      </c>
      <c r="I191" s="3150">
        <v>189</v>
      </c>
      <c r="J191" s="3154" t="s">
        <v>3935</v>
      </c>
      <c r="K191" s="3154" t="s">
        <v>4123</v>
      </c>
      <c r="L191" s="3154">
        <v>41.97</v>
      </c>
      <c r="M191" s="3155">
        <v>9.7100000000000009</v>
      </c>
      <c r="N191" s="3150" t="s">
        <v>4273</v>
      </c>
    </row>
    <row r="192" spans="1:14">
      <c r="A192" s="3150">
        <v>190</v>
      </c>
      <c r="B192" s="3154" t="s">
        <v>3514</v>
      </c>
      <c r="C192" s="3154" t="s">
        <v>3703</v>
      </c>
      <c r="D192" s="3154">
        <v>36.56</v>
      </c>
      <c r="E192" s="3155">
        <v>11.21</v>
      </c>
      <c r="F192" s="3150" t="s">
        <v>4273</v>
      </c>
      <c r="I192" s="3150">
        <v>190</v>
      </c>
      <c r="J192" s="3154" t="s">
        <v>3935</v>
      </c>
      <c r="K192" s="3154" t="s">
        <v>4124</v>
      </c>
      <c r="L192" s="3154">
        <v>41.97</v>
      </c>
      <c r="M192" s="3155">
        <v>9.7100000000000009</v>
      </c>
      <c r="N192" s="3150" t="s">
        <v>4273</v>
      </c>
    </row>
    <row r="193" spans="1:14">
      <c r="A193" s="3150">
        <v>191</v>
      </c>
      <c r="B193" s="3154" t="s">
        <v>3514</v>
      </c>
      <c r="C193" s="3154" t="s">
        <v>3704</v>
      </c>
      <c r="D193" s="3154">
        <v>38.130000000000003</v>
      </c>
      <c r="E193" s="3155">
        <v>11.69</v>
      </c>
      <c r="F193" s="3150" t="s">
        <v>4273</v>
      </c>
      <c r="I193" s="3150">
        <v>191</v>
      </c>
      <c r="J193" s="3154" t="s">
        <v>3935</v>
      </c>
      <c r="K193" s="3154" t="s">
        <v>4125</v>
      </c>
      <c r="L193" s="3154">
        <v>41.97</v>
      </c>
      <c r="M193" s="3155">
        <v>9.7100000000000009</v>
      </c>
      <c r="N193" s="3150" t="s">
        <v>4273</v>
      </c>
    </row>
    <row r="194" spans="1:14">
      <c r="A194" s="3150">
        <v>192</v>
      </c>
      <c r="B194" s="3154" t="s">
        <v>3514</v>
      </c>
      <c r="C194" s="3154" t="s">
        <v>3705</v>
      </c>
      <c r="D194" s="3154">
        <v>36.56</v>
      </c>
      <c r="E194" s="3155">
        <v>11.21</v>
      </c>
      <c r="F194" s="3150" t="s">
        <v>4273</v>
      </c>
      <c r="I194" s="3150">
        <v>192</v>
      </c>
      <c r="J194" s="3154" t="s">
        <v>3935</v>
      </c>
      <c r="K194" s="3154" t="s">
        <v>4126</v>
      </c>
      <c r="L194" s="3154">
        <v>41.97</v>
      </c>
      <c r="M194" s="3155">
        <v>9.7100000000000009</v>
      </c>
      <c r="N194" s="3150" t="s">
        <v>4273</v>
      </c>
    </row>
    <row r="195" spans="1:14">
      <c r="A195" s="3150">
        <v>193</v>
      </c>
      <c r="B195" s="3154" t="s">
        <v>3514</v>
      </c>
      <c r="C195" s="3154" t="s">
        <v>3706</v>
      </c>
      <c r="D195" s="3154">
        <v>36.56</v>
      </c>
      <c r="E195" s="3155">
        <v>11.21</v>
      </c>
      <c r="F195" s="3150" t="s">
        <v>4273</v>
      </c>
      <c r="I195" s="3150">
        <v>193</v>
      </c>
      <c r="J195" s="3154" t="s">
        <v>3935</v>
      </c>
      <c r="K195" s="3154" t="s">
        <v>4127</v>
      </c>
      <c r="L195" s="3154">
        <v>41.97</v>
      </c>
      <c r="M195" s="3155">
        <v>9.7100000000000009</v>
      </c>
      <c r="N195" s="3150" t="s">
        <v>4273</v>
      </c>
    </row>
    <row r="196" spans="1:14">
      <c r="A196" s="3150">
        <v>194</v>
      </c>
      <c r="B196" s="3154" t="s">
        <v>3514</v>
      </c>
      <c r="C196" s="3154" t="s">
        <v>3707</v>
      </c>
      <c r="D196" s="3154">
        <v>36.56</v>
      </c>
      <c r="E196" s="3155">
        <v>11.21</v>
      </c>
      <c r="F196" s="3150" t="s">
        <v>4273</v>
      </c>
      <c r="I196" s="3150">
        <v>194</v>
      </c>
      <c r="J196" s="3154" t="s">
        <v>3935</v>
      </c>
      <c r="K196" s="3154" t="s">
        <v>4128</v>
      </c>
      <c r="L196" s="3154">
        <v>43.78</v>
      </c>
      <c r="M196" s="3155">
        <v>10.130000000000001</v>
      </c>
      <c r="N196" s="3150" t="s">
        <v>4273</v>
      </c>
    </row>
    <row r="197" spans="1:14">
      <c r="A197" s="3150">
        <v>195</v>
      </c>
      <c r="B197" s="3154" t="s">
        <v>3514</v>
      </c>
      <c r="C197" s="3154" t="s">
        <v>3708</v>
      </c>
      <c r="D197" s="3154">
        <v>36.56</v>
      </c>
      <c r="E197" s="3155">
        <v>11.21</v>
      </c>
      <c r="F197" s="3150" t="s">
        <v>4273</v>
      </c>
      <c r="I197" s="3150">
        <v>195</v>
      </c>
      <c r="J197" s="3154" t="s">
        <v>3935</v>
      </c>
      <c r="K197" s="3154" t="s">
        <v>4129</v>
      </c>
      <c r="L197" s="3154">
        <v>41.97</v>
      </c>
      <c r="M197" s="3155">
        <v>9.7100000000000009</v>
      </c>
      <c r="N197" s="3150" t="s">
        <v>4273</v>
      </c>
    </row>
    <row r="198" spans="1:14">
      <c r="A198" s="3150">
        <v>196</v>
      </c>
      <c r="B198" s="3154" t="s">
        <v>3514</v>
      </c>
      <c r="C198" s="3154" t="s">
        <v>3709</v>
      </c>
      <c r="D198" s="3154">
        <v>38.130000000000003</v>
      </c>
      <c r="E198" s="3155">
        <v>11.69</v>
      </c>
      <c r="F198" s="3150" t="s">
        <v>4273</v>
      </c>
      <c r="I198" s="3150">
        <v>196</v>
      </c>
      <c r="J198" s="3154" t="s">
        <v>3935</v>
      </c>
      <c r="K198" s="3154" t="s">
        <v>4130</v>
      </c>
      <c r="L198" s="3154">
        <v>41.97</v>
      </c>
      <c r="M198" s="3155">
        <v>9.7100000000000009</v>
      </c>
      <c r="N198" s="3150" t="s">
        <v>4273</v>
      </c>
    </row>
    <row r="199" spans="1:14">
      <c r="A199" s="3150">
        <v>197</v>
      </c>
      <c r="B199" s="3154" t="s">
        <v>3514</v>
      </c>
      <c r="C199" s="3154" t="s">
        <v>3710</v>
      </c>
      <c r="D199" s="3154">
        <v>36.56</v>
      </c>
      <c r="E199" s="3155">
        <v>11.21</v>
      </c>
      <c r="F199" s="3150" t="s">
        <v>4273</v>
      </c>
      <c r="I199" s="3150">
        <v>197</v>
      </c>
      <c r="J199" s="3154" t="s">
        <v>3935</v>
      </c>
      <c r="K199" s="3154" t="s">
        <v>4131</v>
      </c>
      <c r="L199" s="3154">
        <v>43.78</v>
      </c>
      <c r="M199" s="3155">
        <v>10.130000000000001</v>
      </c>
      <c r="N199" s="3150" t="s">
        <v>4273</v>
      </c>
    </row>
    <row r="200" spans="1:14">
      <c r="A200" s="3150">
        <v>198</v>
      </c>
      <c r="B200" s="3154" t="s">
        <v>3514</v>
      </c>
      <c r="C200" s="3154" t="s">
        <v>3711</v>
      </c>
      <c r="D200" s="3154">
        <v>66.73</v>
      </c>
      <c r="E200" s="3155">
        <v>20.46</v>
      </c>
      <c r="F200" s="3150" t="s">
        <v>4273</v>
      </c>
      <c r="I200" s="3150">
        <v>198</v>
      </c>
      <c r="J200" s="3154" t="s">
        <v>3935</v>
      </c>
      <c r="K200" s="3154" t="s">
        <v>4132</v>
      </c>
      <c r="L200" s="3154">
        <v>41.97</v>
      </c>
      <c r="M200" s="3155">
        <v>9.7100000000000009</v>
      </c>
      <c r="N200" s="3150" t="s">
        <v>4273</v>
      </c>
    </row>
    <row r="201" spans="1:14">
      <c r="A201" s="3150">
        <v>199</v>
      </c>
      <c r="B201" s="3154" t="s">
        <v>3514</v>
      </c>
      <c r="C201" s="3154" t="s">
        <v>3712</v>
      </c>
      <c r="D201" s="3154">
        <v>36.56</v>
      </c>
      <c r="E201" s="3155">
        <v>11.21</v>
      </c>
      <c r="F201" s="3150" t="s">
        <v>4273</v>
      </c>
      <c r="I201" s="3150">
        <v>199</v>
      </c>
      <c r="J201" s="3154" t="s">
        <v>3935</v>
      </c>
      <c r="K201" s="3154" t="s">
        <v>4133</v>
      </c>
      <c r="L201" s="3154">
        <v>41.97</v>
      </c>
      <c r="M201" s="3155">
        <v>9.7100000000000009</v>
      </c>
      <c r="N201" s="3150" t="s">
        <v>4273</v>
      </c>
    </row>
    <row r="202" spans="1:14">
      <c r="A202" s="3150">
        <v>200</v>
      </c>
      <c r="B202" s="3154" t="s">
        <v>3514</v>
      </c>
      <c r="C202" s="3154" t="s">
        <v>3713</v>
      </c>
      <c r="D202" s="3154">
        <v>36.56</v>
      </c>
      <c r="E202" s="3155">
        <v>11.21</v>
      </c>
      <c r="F202" s="3150" t="s">
        <v>4273</v>
      </c>
      <c r="I202" s="3150">
        <v>200</v>
      </c>
      <c r="J202" s="3154" t="s">
        <v>3935</v>
      </c>
      <c r="K202" s="3154" t="s">
        <v>4134</v>
      </c>
      <c r="L202" s="3154">
        <v>43.78</v>
      </c>
      <c r="M202" s="3155">
        <v>10.130000000000001</v>
      </c>
      <c r="N202" s="3150" t="s">
        <v>4273</v>
      </c>
    </row>
    <row r="203" spans="1:14">
      <c r="A203" s="3150">
        <v>201</v>
      </c>
      <c r="B203" s="3154" t="s">
        <v>3514</v>
      </c>
      <c r="C203" s="3154" t="s">
        <v>3714</v>
      </c>
      <c r="D203" s="3154">
        <v>38.130000000000003</v>
      </c>
      <c r="E203" s="3155">
        <v>11.69</v>
      </c>
      <c r="F203" s="3150" t="s">
        <v>4273</v>
      </c>
      <c r="I203" s="3150">
        <v>201</v>
      </c>
      <c r="J203" s="3154" t="s">
        <v>3935</v>
      </c>
      <c r="K203" s="3154" t="s">
        <v>4135</v>
      </c>
      <c r="L203" s="3154">
        <v>41.97</v>
      </c>
      <c r="M203" s="3155">
        <v>9.7100000000000009</v>
      </c>
      <c r="N203" s="3150" t="s">
        <v>4273</v>
      </c>
    </row>
    <row r="204" spans="1:14">
      <c r="A204" s="3150">
        <v>202</v>
      </c>
      <c r="B204" s="3154" t="s">
        <v>3514</v>
      </c>
      <c r="C204" s="3154" t="s">
        <v>3715</v>
      </c>
      <c r="D204" s="3154">
        <v>36.56</v>
      </c>
      <c r="E204" s="3155">
        <v>11.21</v>
      </c>
      <c r="F204" s="3150" t="s">
        <v>4273</v>
      </c>
      <c r="I204" s="3150">
        <v>202</v>
      </c>
      <c r="J204" s="3154" t="s">
        <v>3935</v>
      </c>
      <c r="K204" s="3154" t="s">
        <v>4136</v>
      </c>
      <c r="L204" s="3154">
        <v>41.97</v>
      </c>
      <c r="M204" s="3155">
        <v>9.7100000000000009</v>
      </c>
      <c r="N204" s="3150" t="s">
        <v>4273</v>
      </c>
    </row>
    <row r="205" spans="1:14">
      <c r="A205" s="3150">
        <v>203</v>
      </c>
      <c r="B205" s="3154" t="s">
        <v>3514</v>
      </c>
      <c r="C205" s="3154" t="s">
        <v>3716</v>
      </c>
      <c r="D205" s="3154">
        <v>36.56</v>
      </c>
      <c r="E205" s="3155">
        <v>11.21</v>
      </c>
      <c r="F205" s="3150" t="s">
        <v>4273</v>
      </c>
      <c r="I205" s="3150">
        <v>203</v>
      </c>
      <c r="J205" s="3154" t="s">
        <v>3935</v>
      </c>
      <c r="K205" s="3154" t="s">
        <v>4137</v>
      </c>
      <c r="L205" s="3154">
        <v>43.78</v>
      </c>
      <c r="M205" s="3155">
        <v>10.130000000000001</v>
      </c>
      <c r="N205" s="3150" t="s">
        <v>4273</v>
      </c>
    </row>
    <row r="206" spans="1:14">
      <c r="A206" s="3150">
        <v>204</v>
      </c>
      <c r="B206" s="3154" t="s">
        <v>3514</v>
      </c>
      <c r="C206" s="3154" t="s">
        <v>3717</v>
      </c>
      <c r="D206" s="3154">
        <v>38.130000000000003</v>
      </c>
      <c r="E206" s="3155">
        <v>11.69</v>
      </c>
      <c r="F206" s="3150" t="s">
        <v>4273</v>
      </c>
      <c r="I206" s="3150">
        <v>204</v>
      </c>
      <c r="J206" s="3154" t="s">
        <v>3935</v>
      </c>
      <c r="K206" s="3154" t="s">
        <v>4138</v>
      </c>
      <c r="L206" s="3154">
        <v>41.97</v>
      </c>
      <c r="M206" s="3155">
        <v>9.7100000000000009</v>
      </c>
      <c r="N206" s="3150" t="s">
        <v>4273</v>
      </c>
    </row>
    <row r="207" spans="1:14">
      <c r="A207" s="3150">
        <v>205</v>
      </c>
      <c r="B207" s="3154" t="s">
        <v>3514</v>
      </c>
      <c r="C207" s="3154" t="s">
        <v>3718</v>
      </c>
      <c r="D207" s="3154">
        <v>36.56</v>
      </c>
      <c r="E207" s="3155">
        <v>11.21</v>
      </c>
      <c r="F207" s="3150" t="s">
        <v>4273</v>
      </c>
      <c r="I207" s="3150">
        <v>205</v>
      </c>
      <c r="J207" s="3154" t="s">
        <v>3935</v>
      </c>
      <c r="K207" s="3154" t="s">
        <v>4139</v>
      </c>
      <c r="L207" s="3154">
        <v>41.97</v>
      </c>
      <c r="M207" s="3155">
        <v>9.7100000000000009</v>
      </c>
      <c r="N207" s="3150" t="s">
        <v>4273</v>
      </c>
    </row>
    <row r="208" spans="1:14">
      <c r="A208" s="3150">
        <v>206</v>
      </c>
      <c r="B208" s="3154" t="s">
        <v>3514</v>
      </c>
      <c r="C208" s="3154" t="s">
        <v>3719</v>
      </c>
      <c r="D208" s="3154">
        <v>36.56</v>
      </c>
      <c r="E208" s="3155">
        <v>11.21</v>
      </c>
      <c r="F208" s="3150" t="s">
        <v>4273</v>
      </c>
      <c r="I208" s="3150">
        <v>206</v>
      </c>
      <c r="J208" s="3154" t="s">
        <v>3935</v>
      </c>
      <c r="K208" s="3154" t="s">
        <v>4140</v>
      </c>
      <c r="L208" s="3154">
        <v>43.78</v>
      </c>
      <c r="M208" s="3155">
        <v>10.130000000000001</v>
      </c>
      <c r="N208" s="3150" t="s">
        <v>4273</v>
      </c>
    </row>
    <row r="209" spans="1:14">
      <c r="A209" s="3150">
        <v>207</v>
      </c>
      <c r="B209" s="3154" t="s">
        <v>3514</v>
      </c>
      <c r="C209" s="3154" t="s">
        <v>3720</v>
      </c>
      <c r="D209" s="3154">
        <v>38.130000000000003</v>
      </c>
      <c r="E209" s="3155">
        <v>11.69</v>
      </c>
      <c r="F209" s="3150" t="s">
        <v>4273</v>
      </c>
      <c r="I209" s="3150">
        <v>207</v>
      </c>
      <c r="J209" s="3154" t="s">
        <v>3935</v>
      </c>
      <c r="K209" s="3154" t="s">
        <v>4141</v>
      </c>
      <c r="L209" s="3154">
        <v>41.97</v>
      </c>
      <c r="M209" s="3155">
        <v>9.7100000000000009</v>
      </c>
      <c r="N209" s="3150" t="s">
        <v>4273</v>
      </c>
    </row>
    <row r="210" spans="1:14">
      <c r="A210" s="3150">
        <v>208</v>
      </c>
      <c r="B210" s="3154" t="s">
        <v>3514</v>
      </c>
      <c r="C210" s="3154" t="s">
        <v>3721</v>
      </c>
      <c r="D210" s="3154">
        <v>36.56</v>
      </c>
      <c r="E210" s="3155">
        <v>11.21</v>
      </c>
      <c r="F210" s="3150" t="s">
        <v>4273</v>
      </c>
      <c r="I210" s="3150">
        <v>208</v>
      </c>
      <c r="J210" s="3154" t="s">
        <v>3935</v>
      </c>
      <c r="K210" s="3154" t="s">
        <v>4142</v>
      </c>
      <c r="L210" s="3154">
        <v>41.97</v>
      </c>
      <c r="M210" s="3155">
        <v>9.7100000000000009</v>
      </c>
      <c r="N210" s="3150" t="s">
        <v>4273</v>
      </c>
    </row>
    <row r="211" spans="1:14">
      <c r="A211" s="3150">
        <v>209</v>
      </c>
      <c r="B211" s="3154" t="s">
        <v>3514</v>
      </c>
      <c r="C211" s="3154" t="s">
        <v>3722</v>
      </c>
      <c r="D211" s="3154">
        <v>36.56</v>
      </c>
      <c r="E211" s="3155">
        <v>11.21</v>
      </c>
      <c r="F211" s="3150" t="s">
        <v>4273</v>
      </c>
      <c r="I211" s="3150">
        <v>209</v>
      </c>
      <c r="J211" s="3154" t="s">
        <v>3935</v>
      </c>
      <c r="K211" s="3154" t="s">
        <v>4143</v>
      </c>
      <c r="L211" s="3154">
        <v>43.78</v>
      </c>
      <c r="M211" s="3155">
        <v>10.130000000000001</v>
      </c>
      <c r="N211" s="3150" t="s">
        <v>4273</v>
      </c>
    </row>
    <row r="212" spans="1:14">
      <c r="A212" s="3150">
        <v>210</v>
      </c>
      <c r="B212" s="3154" t="s">
        <v>3514</v>
      </c>
      <c r="C212" s="3154" t="s">
        <v>3723</v>
      </c>
      <c r="D212" s="3154">
        <v>38.130000000000003</v>
      </c>
      <c r="E212" s="3155">
        <v>11.69</v>
      </c>
      <c r="F212" s="3150" t="s">
        <v>4273</v>
      </c>
      <c r="I212" s="3150">
        <v>210</v>
      </c>
      <c r="J212" s="3154" t="s">
        <v>3935</v>
      </c>
      <c r="K212" s="3154" t="s">
        <v>4144</v>
      </c>
      <c r="L212" s="3154">
        <v>41.97</v>
      </c>
      <c r="M212" s="3155">
        <v>9.7100000000000009</v>
      </c>
      <c r="N212" s="3150" t="s">
        <v>4273</v>
      </c>
    </row>
    <row r="213" spans="1:14">
      <c r="A213" s="3150">
        <v>211</v>
      </c>
      <c r="B213" s="3154" t="s">
        <v>3514</v>
      </c>
      <c r="C213" s="3154" t="s">
        <v>3724</v>
      </c>
      <c r="D213" s="3154">
        <v>36.56</v>
      </c>
      <c r="E213" s="3155">
        <v>11.21</v>
      </c>
      <c r="F213" s="3150" t="s">
        <v>4273</v>
      </c>
      <c r="I213" s="3150">
        <v>211</v>
      </c>
      <c r="J213" s="3154" t="s">
        <v>3935</v>
      </c>
      <c r="K213" s="3154" t="s">
        <v>4145</v>
      </c>
      <c r="L213" s="3154">
        <v>41.97</v>
      </c>
      <c r="M213" s="3155">
        <v>9.7100000000000009</v>
      </c>
      <c r="N213" s="3150" t="s">
        <v>4273</v>
      </c>
    </row>
    <row r="214" spans="1:14">
      <c r="A214" s="3150">
        <v>212</v>
      </c>
      <c r="B214" s="3154" t="s">
        <v>3514</v>
      </c>
      <c r="C214" s="3154" t="s">
        <v>3725</v>
      </c>
      <c r="D214" s="3154">
        <v>36.56</v>
      </c>
      <c r="E214" s="3155">
        <v>11.21</v>
      </c>
      <c r="F214" s="3150" t="s">
        <v>4273</v>
      </c>
      <c r="I214" s="3150">
        <v>212</v>
      </c>
      <c r="J214" s="3154" t="s">
        <v>3935</v>
      </c>
      <c r="K214" s="3154" t="s">
        <v>4146</v>
      </c>
      <c r="L214" s="3154">
        <v>43.78</v>
      </c>
      <c r="M214" s="3155">
        <v>10.130000000000001</v>
      </c>
      <c r="N214" s="3150" t="s">
        <v>4273</v>
      </c>
    </row>
    <row r="215" spans="1:14">
      <c r="A215" s="3150">
        <v>213</v>
      </c>
      <c r="B215" s="3154" t="s">
        <v>3514</v>
      </c>
      <c r="C215" s="3154" t="s">
        <v>3726</v>
      </c>
      <c r="D215" s="3154">
        <v>38.130000000000003</v>
      </c>
      <c r="E215" s="3155">
        <v>11.69</v>
      </c>
      <c r="F215" s="3150" t="s">
        <v>4273</v>
      </c>
      <c r="I215" s="3150">
        <v>213</v>
      </c>
      <c r="J215" s="3154" t="s">
        <v>3935</v>
      </c>
      <c r="K215" s="3154" t="s">
        <v>4147</v>
      </c>
      <c r="L215" s="3154">
        <v>41.97</v>
      </c>
      <c r="M215" s="3155">
        <v>9.7100000000000009</v>
      </c>
      <c r="N215" s="3150" t="s">
        <v>4273</v>
      </c>
    </row>
    <row r="216" spans="1:14">
      <c r="A216" s="3150">
        <v>214</v>
      </c>
      <c r="B216" s="3154" t="s">
        <v>3514</v>
      </c>
      <c r="C216" s="3154" t="s">
        <v>3727</v>
      </c>
      <c r="D216" s="3154">
        <v>36.56</v>
      </c>
      <c r="E216" s="3155">
        <v>11.21</v>
      </c>
      <c r="F216" s="3150" t="s">
        <v>4273</v>
      </c>
      <c r="I216" s="3150">
        <v>214</v>
      </c>
      <c r="J216" s="3154" t="s">
        <v>3935</v>
      </c>
      <c r="K216" s="3154" t="s">
        <v>4148</v>
      </c>
      <c r="L216" s="3154">
        <v>41.97</v>
      </c>
      <c r="M216" s="3155">
        <v>9.7100000000000009</v>
      </c>
      <c r="N216" s="3150" t="s">
        <v>4273</v>
      </c>
    </row>
    <row r="217" spans="1:14">
      <c r="A217" s="3150">
        <v>215</v>
      </c>
      <c r="B217" s="3154" t="s">
        <v>3514</v>
      </c>
      <c r="C217" s="3154" t="s">
        <v>3728</v>
      </c>
      <c r="D217" s="3154">
        <v>36.56</v>
      </c>
      <c r="E217" s="3155">
        <v>11.21</v>
      </c>
      <c r="F217" s="3150" t="s">
        <v>4273</v>
      </c>
      <c r="I217" s="3150">
        <v>215</v>
      </c>
      <c r="J217" s="3154" t="s">
        <v>3935</v>
      </c>
      <c r="K217" s="3154" t="s">
        <v>4149</v>
      </c>
      <c r="L217" s="3154">
        <v>43.78</v>
      </c>
      <c r="M217" s="3155">
        <v>10.130000000000001</v>
      </c>
      <c r="N217" s="3150" t="s">
        <v>4273</v>
      </c>
    </row>
    <row r="218" spans="1:14">
      <c r="A218" s="3150">
        <v>216</v>
      </c>
      <c r="B218" s="3154" t="s">
        <v>3514</v>
      </c>
      <c r="C218" s="3154" t="s">
        <v>3729</v>
      </c>
      <c r="D218" s="3154">
        <v>38.130000000000003</v>
      </c>
      <c r="E218" s="3155">
        <v>11.69</v>
      </c>
      <c r="F218" s="3150" t="s">
        <v>4273</v>
      </c>
      <c r="I218" s="3150">
        <v>216</v>
      </c>
      <c r="J218" s="3154" t="s">
        <v>3935</v>
      </c>
      <c r="K218" s="3154" t="s">
        <v>4150</v>
      </c>
      <c r="L218" s="3154">
        <v>41.97</v>
      </c>
      <c r="M218" s="3155">
        <v>9.7100000000000009</v>
      </c>
      <c r="N218" s="3150" t="s">
        <v>4273</v>
      </c>
    </row>
    <row r="219" spans="1:14">
      <c r="A219" s="3150">
        <v>217</v>
      </c>
      <c r="B219" s="3154" t="s">
        <v>3514</v>
      </c>
      <c r="C219" s="3154" t="s">
        <v>3730</v>
      </c>
      <c r="D219" s="3154">
        <v>36.56</v>
      </c>
      <c r="E219" s="3155">
        <v>11.21</v>
      </c>
      <c r="F219" s="3150" t="s">
        <v>4273</v>
      </c>
      <c r="I219" s="3150">
        <v>217</v>
      </c>
      <c r="J219" s="3154" t="s">
        <v>3935</v>
      </c>
      <c r="K219" s="3154" t="s">
        <v>4151</v>
      </c>
      <c r="L219" s="3154">
        <v>41.97</v>
      </c>
      <c r="M219" s="3155">
        <v>9.7100000000000009</v>
      </c>
      <c r="N219" s="3150" t="s">
        <v>4273</v>
      </c>
    </row>
    <row r="220" spans="1:14">
      <c r="A220" s="3150">
        <v>218</v>
      </c>
      <c r="B220" s="3154" t="s">
        <v>3514</v>
      </c>
      <c r="C220" s="3154" t="s">
        <v>3731</v>
      </c>
      <c r="D220" s="3154">
        <v>36.56</v>
      </c>
      <c r="E220" s="3155">
        <v>11.21</v>
      </c>
      <c r="F220" s="3150" t="s">
        <v>4273</v>
      </c>
      <c r="I220" s="3150">
        <v>218</v>
      </c>
      <c r="J220" s="3154" t="s">
        <v>3935</v>
      </c>
      <c r="K220" s="3154" t="s">
        <v>4152</v>
      </c>
      <c r="L220" s="3154">
        <v>43.78</v>
      </c>
      <c r="M220" s="3155">
        <v>10.130000000000001</v>
      </c>
      <c r="N220" s="3150" t="s">
        <v>4273</v>
      </c>
    </row>
    <row r="221" spans="1:14">
      <c r="A221" s="3150">
        <v>219</v>
      </c>
      <c r="B221" s="3154" t="s">
        <v>3514</v>
      </c>
      <c r="C221" s="3154" t="s">
        <v>3732</v>
      </c>
      <c r="D221" s="3154">
        <v>38.130000000000003</v>
      </c>
      <c r="E221" s="3155">
        <v>11.69</v>
      </c>
      <c r="F221" s="3150" t="s">
        <v>4273</v>
      </c>
      <c r="I221" s="3150">
        <v>219</v>
      </c>
      <c r="J221" s="3154" t="s">
        <v>3935</v>
      </c>
      <c r="K221" s="3154" t="s">
        <v>4153</v>
      </c>
      <c r="L221" s="3154">
        <v>41.97</v>
      </c>
      <c r="M221" s="3155">
        <v>9.7100000000000009</v>
      </c>
      <c r="N221" s="3150" t="s">
        <v>4273</v>
      </c>
    </row>
    <row r="222" spans="1:14">
      <c r="A222" s="3150">
        <v>220</v>
      </c>
      <c r="B222" s="3154" t="s">
        <v>3514</v>
      </c>
      <c r="C222" s="3154" t="s">
        <v>3733</v>
      </c>
      <c r="D222" s="3154">
        <v>36.56</v>
      </c>
      <c r="E222" s="3155">
        <v>11.21</v>
      </c>
      <c r="F222" s="3150" t="s">
        <v>4273</v>
      </c>
      <c r="I222" s="3150">
        <v>220</v>
      </c>
      <c r="J222" s="3154" t="s">
        <v>3935</v>
      </c>
      <c r="K222" s="3154" t="s">
        <v>4154</v>
      </c>
      <c r="L222" s="3154">
        <v>41.97</v>
      </c>
      <c r="M222" s="3155">
        <v>9.7100000000000009</v>
      </c>
      <c r="N222" s="3150" t="s">
        <v>4273</v>
      </c>
    </row>
    <row r="223" spans="1:14">
      <c r="A223" s="3150">
        <v>221</v>
      </c>
      <c r="B223" s="3154" t="s">
        <v>3514</v>
      </c>
      <c r="C223" s="3154" t="s">
        <v>3734</v>
      </c>
      <c r="D223" s="3154">
        <v>36.56</v>
      </c>
      <c r="E223" s="3155">
        <v>11.21</v>
      </c>
      <c r="F223" s="3150" t="s">
        <v>4273</v>
      </c>
      <c r="I223" s="3150">
        <v>221</v>
      </c>
      <c r="J223" s="3154" t="s">
        <v>3935</v>
      </c>
      <c r="K223" s="3154" t="s">
        <v>4155</v>
      </c>
      <c r="L223" s="3154">
        <v>41.97</v>
      </c>
      <c r="M223" s="3155">
        <v>9.7100000000000009</v>
      </c>
      <c r="N223" s="3150" t="s">
        <v>4273</v>
      </c>
    </row>
    <row r="224" spans="1:14">
      <c r="A224" s="3150">
        <v>222</v>
      </c>
      <c r="B224" s="3154" t="s">
        <v>3514</v>
      </c>
      <c r="C224" s="3154" t="s">
        <v>3735</v>
      </c>
      <c r="D224" s="3154">
        <v>38.130000000000003</v>
      </c>
      <c r="E224" s="3155">
        <v>11.69</v>
      </c>
      <c r="F224" s="3150" t="s">
        <v>4273</v>
      </c>
      <c r="I224" s="3150">
        <v>222</v>
      </c>
      <c r="J224" s="3154" t="s">
        <v>3935</v>
      </c>
      <c r="K224" s="3154" t="s">
        <v>4156</v>
      </c>
      <c r="L224" s="3154">
        <v>41.97</v>
      </c>
      <c r="M224" s="3155">
        <v>9.7100000000000009</v>
      </c>
      <c r="N224" s="3150" t="s">
        <v>4273</v>
      </c>
    </row>
    <row r="225" spans="1:14">
      <c r="A225" s="3150">
        <v>223</v>
      </c>
      <c r="B225" s="3154" t="s">
        <v>3514</v>
      </c>
      <c r="C225" s="3154" t="s">
        <v>3736</v>
      </c>
      <c r="D225" s="3154">
        <v>38.130000000000003</v>
      </c>
      <c r="E225" s="3155">
        <v>11.69</v>
      </c>
      <c r="F225" s="3150" t="s">
        <v>4273</v>
      </c>
      <c r="I225" s="3150">
        <v>223</v>
      </c>
      <c r="J225" s="3154" t="s">
        <v>3935</v>
      </c>
      <c r="K225" s="3154" t="s">
        <v>4157</v>
      </c>
      <c r="L225" s="3154">
        <v>41.97</v>
      </c>
      <c r="M225" s="3155">
        <v>9.7100000000000009</v>
      </c>
      <c r="N225" s="3150" t="s">
        <v>4273</v>
      </c>
    </row>
    <row r="226" spans="1:14">
      <c r="A226" s="3150">
        <v>224</v>
      </c>
      <c r="B226" s="3154" t="s">
        <v>3514</v>
      </c>
      <c r="C226" s="3154" t="s">
        <v>3737</v>
      </c>
      <c r="D226" s="3154">
        <v>38.130000000000003</v>
      </c>
      <c r="E226" s="3155">
        <v>11.69</v>
      </c>
      <c r="F226" s="3150" t="s">
        <v>4273</v>
      </c>
      <c r="I226" s="3150">
        <v>224</v>
      </c>
      <c r="J226" s="3154" t="s">
        <v>3935</v>
      </c>
      <c r="K226" s="3154" t="s">
        <v>4158</v>
      </c>
      <c r="L226" s="3154">
        <v>41.97</v>
      </c>
      <c r="M226" s="3155">
        <v>9.7100000000000009</v>
      </c>
      <c r="N226" s="3150" t="s">
        <v>4273</v>
      </c>
    </row>
    <row r="227" spans="1:14">
      <c r="A227" s="3150">
        <v>225</v>
      </c>
      <c r="B227" s="3154" t="s">
        <v>3514</v>
      </c>
      <c r="C227" s="3154" t="s">
        <v>3738</v>
      </c>
      <c r="D227" s="3154">
        <v>38.130000000000003</v>
      </c>
      <c r="E227" s="3155">
        <v>11.69</v>
      </c>
      <c r="F227" s="3150" t="s">
        <v>4273</v>
      </c>
      <c r="I227" s="3150">
        <v>225</v>
      </c>
      <c r="J227" s="3154" t="s">
        <v>3935</v>
      </c>
      <c r="K227" s="3154" t="s">
        <v>4159</v>
      </c>
      <c r="L227" s="3154">
        <v>41.97</v>
      </c>
      <c r="M227" s="3155">
        <v>9.7100000000000009</v>
      </c>
      <c r="N227" s="3150" t="s">
        <v>4273</v>
      </c>
    </row>
    <row r="228" spans="1:14">
      <c r="A228" s="3150">
        <v>226</v>
      </c>
      <c r="B228" s="3154" t="s">
        <v>3514</v>
      </c>
      <c r="C228" s="3154" t="s">
        <v>3739</v>
      </c>
      <c r="D228" s="3154">
        <v>36.56</v>
      </c>
      <c r="E228" s="3155">
        <v>11.21</v>
      </c>
      <c r="F228" s="3150" t="s">
        <v>4273</v>
      </c>
      <c r="I228" s="3150">
        <v>226</v>
      </c>
      <c r="J228" s="3154" t="s">
        <v>3935</v>
      </c>
      <c r="K228" s="3154" t="s">
        <v>4160</v>
      </c>
      <c r="L228" s="3154">
        <v>41.97</v>
      </c>
      <c r="M228" s="3155">
        <v>9.7100000000000009</v>
      </c>
      <c r="N228" s="3150" t="s">
        <v>4273</v>
      </c>
    </row>
    <row r="229" spans="1:14">
      <c r="A229" s="3150">
        <v>227</v>
      </c>
      <c r="B229" s="3154" t="s">
        <v>3514</v>
      </c>
      <c r="C229" s="3154" t="s">
        <v>3740</v>
      </c>
      <c r="D229" s="3154">
        <v>36.56</v>
      </c>
      <c r="E229" s="3155">
        <v>11.21</v>
      </c>
      <c r="F229" s="3150" t="s">
        <v>4273</v>
      </c>
      <c r="I229" s="3150">
        <v>227</v>
      </c>
      <c r="J229" s="3154" t="s">
        <v>3935</v>
      </c>
      <c r="K229" s="3154" t="s">
        <v>4161</v>
      </c>
      <c r="L229" s="3154">
        <v>43.78</v>
      </c>
      <c r="M229" s="3155">
        <v>10.130000000000001</v>
      </c>
      <c r="N229" s="3150" t="s">
        <v>4273</v>
      </c>
    </row>
    <row r="230" spans="1:14">
      <c r="A230" s="3150">
        <v>228</v>
      </c>
      <c r="B230" s="3154" t="s">
        <v>3514</v>
      </c>
      <c r="C230" s="3154" t="s">
        <v>3741</v>
      </c>
      <c r="D230" s="3154">
        <v>38.130000000000003</v>
      </c>
      <c r="E230" s="3155">
        <v>11.69</v>
      </c>
      <c r="F230" s="3150" t="s">
        <v>4273</v>
      </c>
      <c r="I230" s="3150">
        <v>228</v>
      </c>
      <c r="J230" s="3154" t="s">
        <v>3935</v>
      </c>
      <c r="K230" s="3154" t="s">
        <v>4162</v>
      </c>
      <c r="L230" s="3154">
        <v>41.97</v>
      </c>
      <c r="M230" s="3155">
        <v>9.7100000000000009</v>
      </c>
      <c r="N230" s="3150" t="s">
        <v>4273</v>
      </c>
    </row>
    <row r="231" spans="1:14">
      <c r="A231" s="3150">
        <v>229</v>
      </c>
      <c r="B231" s="3154" t="s">
        <v>3514</v>
      </c>
      <c r="C231" s="3154" t="s">
        <v>3742</v>
      </c>
      <c r="D231" s="3154">
        <v>36.56</v>
      </c>
      <c r="E231" s="3155">
        <v>11.21</v>
      </c>
      <c r="F231" s="3150" t="s">
        <v>4273</v>
      </c>
      <c r="I231" s="3150">
        <v>229</v>
      </c>
      <c r="J231" s="3154" t="s">
        <v>3935</v>
      </c>
      <c r="K231" s="3154" t="s">
        <v>4163</v>
      </c>
      <c r="L231" s="3154">
        <v>41.97</v>
      </c>
      <c r="M231" s="3155">
        <v>9.7100000000000009</v>
      </c>
      <c r="N231" s="3150" t="s">
        <v>4273</v>
      </c>
    </row>
    <row r="232" spans="1:14">
      <c r="A232" s="3150">
        <v>230</v>
      </c>
      <c r="B232" s="3154" t="s">
        <v>3514</v>
      </c>
      <c r="C232" s="3154" t="s">
        <v>3743</v>
      </c>
      <c r="D232" s="3154">
        <v>36.56</v>
      </c>
      <c r="E232" s="3155">
        <v>11.21</v>
      </c>
      <c r="F232" s="3150" t="s">
        <v>4273</v>
      </c>
      <c r="I232" s="3150">
        <v>230</v>
      </c>
      <c r="J232" s="3154" t="s">
        <v>3935</v>
      </c>
      <c r="K232" s="3154" t="s">
        <v>4164</v>
      </c>
      <c r="L232" s="3154">
        <v>43.78</v>
      </c>
      <c r="M232" s="3155">
        <v>10.130000000000001</v>
      </c>
      <c r="N232" s="3150" t="s">
        <v>4273</v>
      </c>
    </row>
    <row r="233" spans="1:14">
      <c r="A233" s="3150">
        <v>231</v>
      </c>
      <c r="B233" s="3154" t="s">
        <v>3514</v>
      </c>
      <c r="C233" s="3154" t="s">
        <v>3744</v>
      </c>
      <c r="D233" s="3154">
        <v>38.130000000000003</v>
      </c>
      <c r="E233" s="3155">
        <v>11.69</v>
      </c>
      <c r="F233" s="3150" t="s">
        <v>4273</v>
      </c>
      <c r="I233" s="3150">
        <v>231</v>
      </c>
      <c r="J233" s="3154" t="s">
        <v>3935</v>
      </c>
      <c r="K233" s="3154" t="s">
        <v>4165</v>
      </c>
      <c r="L233" s="3154">
        <v>41.97</v>
      </c>
      <c r="M233" s="3155">
        <v>9.7100000000000009</v>
      </c>
      <c r="N233" s="3150" t="s">
        <v>4273</v>
      </c>
    </row>
    <row r="234" spans="1:14">
      <c r="A234" s="3150">
        <v>232</v>
      </c>
      <c r="B234" s="3154" t="s">
        <v>3514</v>
      </c>
      <c r="C234" s="3154" t="s">
        <v>3745</v>
      </c>
      <c r="D234" s="3154">
        <v>36.56</v>
      </c>
      <c r="E234" s="3155">
        <v>11.21</v>
      </c>
      <c r="F234" s="3150" t="s">
        <v>4273</v>
      </c>
      <c r="I234" s="3150">
        <v>232</v>
      </c>
      <c r="J234" s="3154" t="s">
        <v>3935</v>
      </c>
      <c r="K234" s="3154" t="s">
        <v>4166</v>
      </c>
      <c r="L234" s="3154">
        <v>41.97</v>
      </c>
      <c r="M234" s="3155">
        <v>9.7100000000000009</v>
      </c>
      <c r="N234" s="3150" t="s">
        <v>4273</v>
      </c>
    </row>
    <row r="235" spans="1:14">
      <c r="A235" s="3150">
        <v>233</v>
      </c>
      <c r="B235" s="3154" t="s">
        <v>3514</v>
      </c>
      <c r="C235" s="3154" t="s">
        <v>3746</v>
      </c>
      <c r="D235" s="3154">
        <v>36.56</v>
      </c>
      <c r="E235" s="3155">
        <v>11.21</v>
      </c>
      <c r="F235" s="3150" t="s">
        <v>4273</v>
      </c>
      <c r="I235" s="3150">
        <v>233</v>
      </c>
      <c r="J235" s="3154" t="s">
        <v>3935</v>
      </c>
      <c r="K235" s="3154" t="s">
        <v>4167</v>
      </c>
      <c r="L235" s="3154">
        <v>43.78</v>
      </c>
      <c r="M235" s="3155">
        <v>10.130000000000001</v>
      </c>
      <c r="N235" s="3150" t="s">
        <v>4273</v>
      </c>
    </row>
    <row r="236" spans="1:14">
      <c r="A236" s="3150">
        <v>234</v>
      </c>
      <c r="B236" s="3154" t="s">
        <v>3514</v>
      </c>
      <c r="C236" s="3154" t="s">
        <v>3747</v>
      </c>
      <c r="D236" s="3154">
        <v>38.130000000000003</v>
      </c>
      <c r="E236" s="3155">
        <v>11.69</v>
      </c>
      <c r="F236" s="3150" t="s">
        <v>4273</v>
      </c>
      <c r="I236" s="3150">
        <v>234</v>
      </c>
      <c r="J236" s="3154" t="s">
        <v>3935</v>
      </c>
      <c r="K236" s="3154" t="s">
        <v>4168</v>
      </c>
      <c r="L236" s="3154">
        <v>41.97</v>
      </c>
      <c r="M236" s="3155">
        <v>9.7100000000000009</v>
      </c>
      <c r="N236" s="3150" t="s">
        <v>4273</v>
      </c>
    </row>
    <row r="237" spans="1:14">
      <c r="A237" s="3150">
        <v>235</v>
      </c>
      <c r="B237" s="3154" t="s">
        <v>3514</v>
      </c>
      <c r="C237" s="3154" t="s">
        <v>3748</v>
      </c>
      <c r="D237" s="3154">
        <v>36.56</v>
      </c>
      <c r="E237" s="3155">
        <v>11.21</v>
      </c>
      <c r="F237" s="3150" t="s">
        <v>4273</v>
      </c>
      <c r="I237" s="3150">
        <v>235</v>
      </c>
      <c r="J237" s="3154" t="s">
        <v>3935</v>
      </c>
      <c r="K237" s="3154" t="s">
        <v>4169</v>
      </c>
      <c r="L237" s="3154">
        <v>41.97</v>
      </c>
      <c r="M237" s="3155">
        <v>9.7100000000000009</v>
      </c>
      <c r="N237" s="3150" t="s">
        <v>4273</v>
      </c>
    </row>
    <row r="238" spans="1:14">
      <c r="A238" s="3150">
        <v>236</v>
      </c>
      <c r="B238" s="3154" t="s">
        <v>3514</v>
      </c>
      <c r="C238" s="3154" t="s">
        <v>3749</v>
      </c>
      <c r="D238" s="3154">
        <v>36.56</v>
      </c>
      <c r="E238" s="3155">
        <v>11.21</v>
      </c>
      <c r="F238" s="3150" t="s">
        <v>4273</v>
      </c>
      <c r="I238" s="3150">
        <v>236</v>
      </c>
      <c r="J238" s="3154" t="s">
        <v>3935</v>
      </c>
      <c r="K238" s="3154" t="s">
        <v>4170</v>
      </c>
      <c r="L238" s="3154">
        <v>43.78</v>
      </c>
      <c r="M238" s="3155">
        <v>10.130000000000001</v>
      </c>
      <c r="N238" s="3150" t="s">
        <v>4273</v>
      </c>
    </row>
    <row r="239" spans="1:14">
      <c r="A239" s="3150">
        <v>237</v>
      </c>
      <c r="B239" s="3154" t="s">
        <v>3514</v>
      </c>
      <c r="C239" s="3154" t="s">
        <v>3750</v>
      </c>
      <c r="D239" s="3154">
        <v>38.130000000000003</v>
      </c>
      <c r="E239" s="3155">
        <v>11.69</v>
      </c>
      <c r="F239" s="3150" t="s">
        <v>4273</v>
      </c>
      <c r="I239" s="3150">
        <v>237</v>
      </c>
      <c r="J239" s="3154" t="s">
        <v>3935</v>
      </c>
      <c r="K239" s="3154" t="s">
        <v>4171</v>
      </c>
      <c r="L239" s="3154">
        <v>41.97</v>
      </c>
      <c r="M239" s="3155">
        <v>9.7100000000000009</v>
      </c>
      <c r="N239" s="3150" t="s">
        <v>4273</v>
      </c>
    </row>
    <row r="240" spans="1:14">
      <c r="A240" s="3150">
        <v>238</v>
      </c>
      <c r="B240" s="3154" t="s">
        <v>3514</v>
      </c>
      <c r="C240" s="3154" t="s">
        <v>3751</v>
      </c>
      <c r="D240" s="3154">
        <v>36.56</v>
      </c>
      <c r="E240" s="3155">
        <v>11.21</v>
      </c>
      <c r="F240" s="3150" t="s">
        <v>4273</v>
      </c>
      <c r="I240" s="3150">
        <v>238</v>
      </c>
      <c r="J240" s="3154" t="s">
        <v>3935</v>
      </c>
      <c r="K240" s="3154" t="s">
        <v>4172</v>
      </c>
      <c r="L240" s="3154">
        <v>41.97</v>
      </c>
      <c r="M240" s="3155">
        <v>9.7100000000000009</v>
      </c>
      <c r="N240" s="3150" t="s">
        <v>4273</v>
      </c>
    </row>
    <row r="241" spans="1:14">
      <c r="A241" s="3150">
        <v>239</v>
      </c>
      <c r="B241" s="3154" t="s">
        <v>3514</v>
      </c>
      <c r="C241" s="3154" t="s">
        <v>3752</v>
      </c>
      <c r="D241" s="3154">
        <v>36.56</v>
      </c>
      <c r="E241" s="3155">
        <v>11.21</v>
      </c>
      <c r="F241" s="3150" t="s">
        <v>4273</v>
      </c>
      <c r="I241" s="3150">
        <v>239</v>
      </c>
      <c r="J241" s="3154" t="s">
        <v>3935</v>
      </c>
      <c r="K241" s="3154" t="s">
        <v>4173</v>
      </c>
      <c r="L241" s="3154">
        <v>41.97</v>
      </c>
      <c r="M241" s="3155">
        <v>9.7100000000000009</v>
      </c>
      <c r="N241" s="3150" t="s">
        <v>4273</v>
      </c>
    </row>
    <row r="242" spans="1:14">
      <c r="A242" s="3150">
        <v>240</v>
      </c>
      <c r="B242" s="3154" t="s">
        <v>3514</v>
      </c>
      <c r="C242" s="3154" t="s">
        <v>3753</v>
      </c>
      <c r="D242" s="3154">
        <v>38.130000000000003</v>
      </c>
      <c r="E242" s="3155">
        <v>11.69</v>
      </c>
      <c r="F242" s="3150" t="s">
        <v>4273</v>
      </c>
      <c r="I242" s="3150">
        <v>240</v>
      </c>
      <c r="J242" s="3154" t="s">
        <v>3935</v>
      </c>
      <c r="K242" s="3154" t="s">
        <v>4174</v>
      </c>
      <c r="L242" s="3154">
        <v>43.78</v>
      </c>
      <c r="M242" s="3155">
        <v>10.130000000000001</v>
      </c>
      <c r="N242" s="3150" t="s">
        <v>4273</v>
      </c>
    </row>
    <row r="243" spans="1:14">
      <c r="A243" s="3150">
        <v>241</v>
      </c>
      <c r="B243" s="3154" t="s">
        <v>3514</v>
      </c>
      <c r="C243" s="3154" t="s">
        <v>3754</v>
      </c>
      <c r="D243" s="3154">
        <v>36.56</v>
      </c>
      <c r="E243" s="3155">
        <v>11.21</v>
      </c>
      <c r="F243" s="3150" t="s">
        <v>4273</v>
      </c>
      <c r="I243" s="3150">
        <v>241</v>
      </c>
      <c r="J243" s="3154" t="s">
        <v>3935</v>
      </c>
      <c r="K243" s="3154" t="s">
        <v>4175</v>
      </c>
      <c r="L243" s="3154">
        <v>41.97</v>
      </c>
      <c r="M243" s="3155">
        <v>9.7100000000000009</v>
      </c>
      <c r="N243" s="3150" t="s">
        <v>4273</v>
      </c>
    </row>
    <row r="244" spans="1:14">
      <c r="A244" s="3150">
        <v>242</v>
      </c>
      <c r="B244" s="3154" t="s">
        <v>3514</v>
      </c>
      <c r="C244" s="3154" t="s">
        <v>3755</v>
      </c>
      <c r="D244" s="3154">
        <v>36.56</v>
      </c>
      <c r="E244" s="3155">
        <v>11.21</v>
      </c>
      <c r="F244" s="3150" t="s">
        <v>4273</v>
      </c>
      <c r="I244" s="3150">
        <v>242</v>
      </c>
      <c r="J244" s="3154" t="s">
        <v>3935</v>
      </c>
      <c r="K244" s="3154" t="s">
        <v>4176</v>
      </c>
      <c r="L244" s="3154">
        <v>41.97</v>
      </c>
      <c r="M244" s="3155">
        <v>9.7100000000000009</v>
      </c>
      <c r="N244" s="3150" t="s">
        <v>4273</v>
      </c>
    </row>
    <row r="245" spans="1:14">
      <c r="A245" s="3150">
        <v>243</v>
      </c>
      <c r="B245" s="3154" t="s">
        <v>3514</v>
      </c>
      <c r="C245" s="3154" t="s">
        <v>3756</v>
      </c>
      <c r="D245" s="3154">
        <v>36.56</v>
      </c>
      <c r="E245" s="3155">
        <v>11.21</v>
      </c>
      <c r="F245" s="3150" t="s">
        <v>4273</v>
      </c>
      <c r="I245" s="3150">
        <v>243</v>
      </c>
      <c r="J245" s="3154" t="s">
        <v>3935</v>
      </c>
      <c r="K245" s="3154" t="s">
        <v>4177</v>
      </c>
      <c r="L245" s="3154">
        <v>43.78</v>
      </c>
      <c r="M245" s="3155">
        <v>10.130000000000001</v>
      </c>
      <c r="N245" s="3150" t="s">
        <v>4273</v>
      </c>
    </row>
    <row r="246" spans="1:14">
      <c r="A246" s="3150">
        <v>244</v>
      </c>
      <c r="B246" s="3154" t="s">
        <v>3514</v>
      </c>
      <c r="C246" s="3154" t="s">
        <v>3757</v>
      </c>
      <c r="D246" s="3154">
        <v>38.130000000000003</v>
      </c>
      <c r="E246" s="3155">
        <v>11.69</v>
      </c>
      <c r="F246" s="3150" t="s">
        <v>4273</v>
      </c>
      <c r="I246" s="3150">
        <v>244</v>
      </c>
      <c r="J246" s="3154" t="s">
        <v>3935</v>
      </c>
      <c r="K246" s="3154" t="s">
        <v>4178</v>
      </c>
      <c r="L246" s="3154">
        <v>41.97</v>
      </c>
      <c r="M246" s="3155">
        <v>9.7100000000000009</v>
      </c>
      <c r="N246" s="3150" t="s">
        <v>4273</v>
      </c>
    </row>
    <row r="247" spans="1:14">
      <c r="A247" s="3150">
        <v>245</v>
      </c>
      <c r="B247" s="3154" t="s">
        <v>3514</v>
      </c>
      <c r="C247" s="3154" t="s">
        <v>3758</v>
      </c>
      <c r="D247" s="3154">
        <v>36.56</v>
      </c>
      <c r="E247" s="3155">
        <v>11.21</v>
      </c>
      <c r="F247" s="3150" t="s">
        <v>4273</v>
      </c>
      <c r="I247" s="3150">
        <v>245</v>
      </c>
      <c r="J247" s="3154" t="s">
        <v>3935</v>
      </c>
      <c r="K247" s="3154" t="s">
        <v>4179</v>
      </c>
      <c r="L247" s="3154">
        <v>54.72</v>
      </c>
      <c r="M247" s="3155">
        <v>12.66</v>
      </c>
      <c r="N247" s="3150" t="s">
        <v>4273</v>
      </c>
    </row>
    <row r="248" spans="1:14">
      <c r="A248" s="3150">
        <v>246</v>
      </c>
      <c r="B248" s="3154" t="s">
        <v>3514</v>
      </c>
      <c r="C248" s="3154" t="s">
        <v>3759</v>
      </c>
      <c r="D248" s="3154">
        <v>36.56</v>
      </c>
      <c r="E248" s="3155">
        <v>11.21</v>
      </c>
      <c r="F248" s="3150" t="s">
        <v>4273</v>
      </c>
      <c r="I248" s="3150">
        <v>246</v>
      </c>
      <c r="J248" s="3154" t="s">
        <v>3935</v>
      </c>
      <c r="K248" s="3154" t="s">
        <v>4180</v>
      </c>
      <c r="L248" s="3154">
        <v>54.72</v>
      </c>
      <c r="M248" s="3155">
        <v>12.66</v>
      </c>
      <c r="N248" s="3150" t="s">
        <v>4273</v>
      </c>
    </row>
    <row r="249" spans="1:14">
      <c r="A249" s="3150">
        <v>247</v>
      </c>
      <c r="B249" s="3154" t="s">
        <v>3514</v>
      </c>
      <c r="C249" s="3154" t="s">
        <v>3760</v>
      </c>
      <c r="D249" s="3154">
        <v>36.56</v>
      </c>
      <c r="E249" s="3155">
        <v>11.21</v>
      </c>
      <c r="F249" s="3150" t="s">
        <v>4273</v>
      </c>
      <c r="I249" s="3150">
        <v>247</v>
      </c>
      <c r="J249" s="3154" t="s">
        <v>3935</v>
      </c>
      <c r="K249" s="3154" t="s">
        <v>4181</v>
      </c>
      <c r="L249" s="3154">
        <v>41.97</v>
      </c>
      <c r="M249" s="3155">
        <v>9.7100000000000009</v>
      </c>
      <c r="N249" s="3150" t="s">
        <v>4273</v>
      </c>
    </row>
    <row r="250" spans="1:14">
      <c r="A250" s="3150">
        <v>248</v>
      </c>
      <c r="B250" s="3154" t="s">
        <v>3514</v>
      </c>
      <c r="C250" s="3154" t="s">
        <v>3761</v>
      </c>
      <c r="D250" s="3154">
        <v>36.56</v>
      </c>
      <c r="E250" s="3155">
        <v>11.21</v>
      </c>
      <c r="F250" s="3150" t="s">
        <v>4273</v>
      </c>
      <c r="I250" s="3150">
        <v>248</v>
      </c>
      <c r="J250" s="3154" t="s">
        <v>3935</v>
      </c>
      <c r="K250" s="3154" t="s">
        <v>4182</v>
      </c>
      <c r="L250" s="3154">
        <v>43.78</v>
      </c>
      <c r="M250" s="3155">
        <v>10.130000000000001</v>
      </c>
      <c r="N250" s="3150" t="s">
        <v>4273</v>
      </c>
    </row>
    <row r="251" spans="1:14">
      <c r="A251" s="3150">
        <v>249</v>
      </c>
      <c r="B251" s="3154" t="s">
        <v>3514</v>
      </c>
      <c r="C251" s="3154" t="s">
        <v>3762</v>
      </c>
      <c r="D251" s="3154">
        <v>38.130000000000003</v>
      </c>
      <c r="E251" s="3155">
        <v>11.69</v>
      </c>
      <c r="F251" s="3150" t="s">
        <v>4273</v>
      </c>
      <c r="I251" s="3150">
        <v>249</v>
      </c>
      <c r="J251" s="3154" t="s">
        <v>3935</v>
      </c>
      <c r="K251" s="3154" t="s">
        <v>4183</v>
      </c>
      <c r="L251" s="3154">
        <v>41.97</v>
      </c>
      <c r="M251" s="3155">
        <v>9.7100000000000009</v>
      </c>
      <c r="N251" s="3150" t="s">
        <v>4273</v>
      </c>
    </row>
    <row r="252" spans="1:14">
      <c r="A252" s="3150">
        <v>250</v>
      </c>
      <c r="B252" s="3154" t="s">
        <v>3514</v>
      </c>
      <c r="C252" s="3154" t="s">
        <v>3763</v>
      </c>
      <c r="D252" s="3154">
        <v>36.56</v>
      </c>
      <c r="E252" s="3155">
        <v>11.21</v>
      </c>
      <c r="F252" s="3150" t="s">
        <v>4273</v>
      </c>
      <c r="I252" s="3150">
        <v>250</v>
      </c>
      <c r="J252" s="3154" t="s">
        <v>3935</v>
      </c>
      <c r="K252" s="3154" t="s">
        <v>4184</v>
      </c>
      <c r="L252" s="3154">
        <v>41.97</v>
      </c>
      <c r="M252" s="3155">
        <v>9.7100000000000009</v>
      </c>
      <c r="N252" s="3150" t="s">
        <v>4273</v>
      </c>
    </row>
    <row r="253" spans="1:14">
      <c r="A253" s="3150">
        <v>251</v>
      </c>
      <c r="B253" s="3154" t="s">
        <v>3514</v>
      </c>
      <c r="C253" s="3154" t="s">
        <v>3764</v>
      </c>
      <c r="D253" s="3154">
        <v>36.56</v>
      </c>
      <c r="E253" s="3155">
        <v>11.21</v>
      </c>
      <c r="F253" s="3150" t="s">
        <v>4273</v>
      </c>
      <c r="I253" s="3150">
        <v>251</v>
      </c>
      <c r="J253" s="3154" t="s">
        <v>3935</v>
      </c>
      <c r="K253" s="3154" t="s">
        <v>4185</v>
      </c>
      <c r="L253" s="3154">
        <v>43.78</v>
      </c>
      <c r="M253" s="3155">
        <v>10.130000000000001</v>
      </c>
      <c r="N253" s="3150" t="s">
        <v>4273</v>
      </c>
    </row>
    <row r="254" spans="1:14">
      <c r="A254" s="3150">
        <v>252</v>
      </c>
      <c r="B254" s="3154" t="s">
        <v>3514</v>
      </c>
      <c r="C254" s="3154" t="s">
        <v>3765</v>
      </c>
      <c r="D254" s="3154">
        <v>38.130000000000003</v>
      </c>
      <c r="E254" s="3155">
        <v>11.69</v>
      </c>
      <c r="F254" s="3150" t="s">
        <v>4273</v>
      </c>
      <c r="I254" s="3150">
        <v>252</v>
      </c>
      <c r="J254" s="3154" t="s">
        <v>3935</v>
      </c>
      <c r="K254" s="3154" t="s">
        <v>4186</v>
      </c>
      <c r="L254" s="3154">
        <v>41.97</v>
      </c>
      <c r="M254" s="3155">
        <v>9.7100000000000009</v>
      </c>
      <c r="N254" s="3150" t="s">
        <v>4273</v>
      </c>
    </row>
    <row r="255" spans="1:14">
      <c r="A255" s="3150">
        <v>253</v>
      </c>
      <c r="B255" s="3154" t="s">
        <v>3514</v>
      </c>
      <c r="C255" s="3154" t="s">
        <v>3766</v>
      </c>
      <c r="D255" s="3154">
        <v>38.130000000000003</v>
      </c>
      <c r="E255" s="3155">
        <v>11.69</v>
      </c>
      <c r="F255" s="3150" t="s">
        <v>4273</v>
      </c>
      <c r="I255" s="3150">
        <v>253</v>
      </c>
      <c r="J255" s="3154" t="s">
        <v>3935</v>
      </c>
      <c r="K255" s="3154" t="s">
        <v>4187</v>
      </c>
      <c r="L255" s="3154">
        <v>41.97</v>
      </c>
      <c r="M255" s="3155">
        <v>9.7100000000000009</v>
      </c>
      <c r="N255" s="3150" t="s">
        <v>4273</v>
      </c>
    </row>
    <row r="256" spans="1:14">
      <c r="A256" s="3150">
        <v>254</v>
      </c>
      <c r="B256" s="3154" t="s">
        <v>3514</v>
      </c>
      <c r="C256" s="3154" t="s">
        <v>3767</v>
      </c>
      <c r="D256" s="3154">
        <v>36.56</v>
      </c>
      <c r="E256" s="3155">
        <v>11.21</v>
      </c>
      <c r="F256" s="3150" t="s">
        <v>4273</v>
      </c>
      <c r="I256" s="3150">
        <v>254</v>
      </c>
      <c r="J256" s="3154" t="s">
        <v>3935</v>
      </c>
      <c r="K256" s="3154" t="s">
        <v>4188</v>
      </c>
      <c r="L256" s="3154">
        <v>43.78</v>
      </c>
      <c r="M256" s="3155">
        <v>10.130000000000001</v>
      </c>
      <c r="N256" s="3150" t="s">
        <v>4273</v>
      </c>
    </row>
    <row r="257" spans="1:14">
      <c r="A257" s="3150">
        <v>255</v>
      </c>
      <c r="B257" s="3154" t="s">
        <v>3514</v>
      </c>
      <c r="C257" s="3154" t="s">
        <v>3768</v>
      </c>
      <c r="D257" s="3154">
        <v>36.56</v>
      </c>
      <c r="E257" s="3155">
        <v>11.21</v>
      </c>
      <c r="F257" s="3150" t="s">
        <v>4273</v>
      </c>
      <c r="I257" s="3150">
        <v>255</v>
      </c>
      <c r="J257" s="3154" t="s">
        <v>3935</v>
      </c>
      <c r="K257" s="3154" t="s">
        <v>4189</v>
      </c>
      <c r="L257" s="3154">
        <v>41.97</v>
      </c>
      <c r="M257" s="3155">
        <v>9.7100000000000009</v>
      </c>
      <c r="N257" s="3150" t="s">
        <v>4273</v>
      </c>
    </row>
    <row r="258" spans="1:14">
      <c r="A258" s="3150">
        <v>256</v>
      </c>
      <c r="B258" s="3154" t="s">
        <v>3514</v>
      </c>
      <c r="C258" s="3154" t="s">
        <v>3769</v>
      </c>
      <c r="D258" s="3154">
        <v>36.56</v>
      </c>
      <c r="E258" s="3155">
        <v>11.21</v>
      </c>
      <c r="F258" s="3150" t="s">
        <v>4273</v>
      </c>
      <c r="I258" s="3150">
        <v>256</v>
      </c>
      <c r="J258" s="3154" t="s">
        <v>3935</v>
      </c>
      <c r="K258" s="3154" t="s">
        <v>4190</v>
      </c>
      <c r="L258" s="3154">
        <v>41.97</v>
      </c>
      <c r="M258" s="3155">
        <v>9.7100000000000009</v>
      </c>
      <c r="N258" s="3150" t="s">
        <v>4273</v>
      </c>
    </row>
    <row r="259" spans="1:14">
      <c r="A259" s="3150">
        <v>257</v>
      </c>
      <c r="B259" s="3154" t="s">
        <v>3514</v>
      </c>
      <c r="C259" s="3154" t="s">
        <v>3770</v>
      </c>
      <c r="D259" s="3154">
        <v>36.56</v>
      </c>
      <c r="E259" s="3155">
        <v>11.21</v>
      </c>
      <c r="F259" s="3150" t="s">
        <v>4273</v>
      </c>
      <c r="I259" s="3150">
        <v>257</v>
      </c>
      <c r="J259" s="3154" t="s">
        <v>3935</v>
      </c>
      <c r="K259" s="3154" t="s">
        <v>4191</v>
      </c>
      <c r="L259" s="3154">
        <v>43.78</v>
      </c>
      <c r="M259" s="3155">
        <v>10.130000000000001</v>
      </c>
      <c r="N259" s="3150" t="s">
        <v>4273</v>
      </c>
    </row>
    <row r="260" spans="1:14">
      <c r="A260" s="3150">
        <v>258</v>
      </c>
      <c r="B260" s="3154" t="s">
        <v>3514</v>
      </c>
      <c r="C260" s="3154" t="s">
        <v>3771</v>
      </c>
      <c r="D260" s="3154">
        <v>38.130000000000003</v>
      </c>
      <c r="E260" s="3155">
        <v>11.69</v>
      </c>
      <c r="F260" s="3150" t="s">
        <v>4273</v>
      </c>
      <c r="I260" s="3150">
        <v>258</v>
      </c>
      <c r="J260" s="3154" t="s">
        <v>3935</v>
      </c>
      <c r="K260" s="3154" t="s">
        <v>4192</v>
      </c>
      <c r="L260" s="3154">
        <v>41.97</v>
      </c>
      <c r="M260" s="3155">
        <v>9.7100000000000009</v>
      </c>
      <c r="N260" s="3150" t="s">
        <v>4273</v>
      </c>
    </row>
    <row r="261" spans="1:14">
      <c r="A261" s="3150">
        <v>259</v>
      </c>
      <c r="B261" s="3154" t="s">
        <v>3514</v>
      </c>
      <c r="C261" s="3154" t="s">
        <v>3772</v>
      </c>
      <c r="D261" s="3154">
        <v>36.56</v>
      </c>
      <c r="E261" s="3155">
        <v>11.21</v>
      </c>
      <c r="F261" s="3150" t="s">
        <v>4273</v>
      </c>
      <c r="I261" s="3150">
        <v>259</v>
      </c>
      <c r="J261" s="3154" t="s">
        <v>3935</v>
      </c>
      <c r="K261" s="3154" t="s">
        <v>4193</v>
      </c>
      <c r="L261" s="3154">
        <v>41.97</v>
      </c>
      <c r="M261" s="3155">
        <v>9.7100000000000009</v>
      </c>
      <c r="N261" s="3150" t="s">
        <v>4273</v>
      </c>
    </row>
    <row r="262" spans="1:14">
      <c r="A262" s="3150">
        <v>260</v>
      </c>
      <c r="B262" s="3154" t="s">
        <v>3514</v>
      </c>
      <c r="C262" s="3154" t="s">
        <v>3773</v>
      </c>
      <c r="D262" s="3154">
        <v>36.56</v>
      </c>
      <c r="E262" s="3155">
        <v>11.21</v>
      </c>
      <c r="F262" s="3150" t="s">
        <v>4273</v>
      </c>
      <c r="I262" s="3150">
        <v>260</v>
      </c>
      <c r="J262" s="3154" t="s">
        <v>3935</v>
      </c>
      <c r="K262" s="3154" t="s">
        <v>4194</v>
      </c>
      <c r="L262" s="3154">
        <v>43.78</v>
      </c>
      <c r="M262" s="3155">
        <v>10.130000000000001</v>
      </c>
      <c r="N262" s="3150" t="s">
        <v>4273</v>
      </c>
    </row>
    <row r="263" spans="1:14">
      <c r="A263" s="3150">
        <v>261</v>
      </c>
      <c r="B263" s="3154" t="s">
        <v>3514</v>
      </c>
      <c r="C263" s="3154" t="s">
        <v>3774</v>
      </c>
      <c r="D263" s="3154">
        <v>38.130000000000003</v>
      </c>
      <c r="E263" s="3155">
        <v>11.69</v>
      </c>
      <c r="F263" s="3150" t="s">
        <v>4273</v>
      </c>
      <c r="I263" s="3150">
        <v>261</v>
      </c>
      <c r="J263" s="3154" t="s">
        <v>3935</v>
      </c>
      <c r="K263" s="3154" t="s">
        <v>4195</v>
      </c>
      <c r="L263" s="3154">
        <v>41.97</v>
      </c>
      <c r="M263" s="3155">
        <v>9.7100000000000009</v>
      </c>
      <c r="N263" s="3150" t="s">
        <v>4273</v>
      </c>
    </row>
    <row r="264" spans="1:14">
      <c r="A264" s="3150">
        <v>262</v>
      </c>
      <c r="B264" s="3154" t="s">
        <v>3514</v>
      </c>
      <c r="C264" s="3154" t="s">
        <v>3775</v>
      </c>
      <c r="D264" s="3154">
        <v>36.56</v>
      </c>
      <c r="E264" s="3155">
        <v>11.21</v>
      </c>
      <c r="F264" s="3150" t="s">
        <v>4273</v>
      </c>
      <c r="I264" s="3150">
        <v>262</v>
      </c>
      <c r="J264" s="3154" t="s">
        <v>3935</v>
      </c>
      <c r="K264" s="3154" t="s">
        <v>4196</v>
      </c>
      <c r="L264" s="3154">
        <v>41.97</v>
      </c>
      <c r="M264" s="3155">
        <v>9.7100000000000009</v>
      </c>
      <c r="N264" s="3150" t="s">
        <v>4273</v>
      </c>
    </row>
    <row r="265" spans="1:14">
      <c r="A265" s="3150">
        <v>263</v>
      </c>
      <c r="B265" s="3154" t="s">
        <v>3514</v>
      </c>
      <c r="C265" s="3154" t="s">
        <v>3776</v>
      </c>
      <c r="D265" s="3154">
        <v>36.56</v>
      </c>
      <c r="E265" s="3155">
        <v>11.21</v>
      </c>
      <c r="F265" s="3150" t="s">
        <v>4273</v>
      </c>
      <c r="I265" s="3150">
        <v>263</v>
      </c>
      <c r="J265" s="3154" t="s">
        <v>3935</v>
      </c>
      <c r="K265" s="3154" t="s">
        <v>4197</v>
      </c>
      <c r="L265" s="3154">
        <v>43.78</v>
      </c>
      <c r="M265" s="3155">
        <v>10.130000000000001</v>
      </c>
      <c r="N265" s="3150" t="s">
        <v>4273</v>
      </c>
    </row>
    <row r="266" spans="1:14">
      <c r="A266" s="3150">
        <v>264</v>
      </c>
      <c r="B266" s="3154" t="s">
        <v>3514</v>
      </c>
      <c r="C266" s="3154" t="s">
        <v>3777</v>
      </c>
      <c r="D266" s="3154">
        <v>38.130000000000003</v>
      </c>
      <c r="E266" s="3155">
        <v>11.69</v>
      </c>
      <c r="F266" s="3150" t="s">
        <v>4273</v>
      </c>
      <c r="I266" s="3150">
        <v>264</v>
      </c>
      <c r="J266" s="3154" t="s">
        <v>3935</v>
      </c>
      <c r="K266" s="3154" t="s">
        <v>4198</v>
      </c>
      <c r="L266" s="3154">
        <v>41.97</v>
      </c>
      <c r="M266" s="3155">
        <v>9.7100000000000009</v>
      </c>
      <c r="N266" s="3150" t="s">
        <v>4273</v>
      </c>
    </row>
    <row r="267" spans="1:14">
      <c r="A267" s="3150">
        <v>265</v>
      </c>
      <c r="B267" s="3154" t="s">
        <v>3514</v>
      </c>
      <c r="C267" s="3154" t="s">
        <v>3778</v>
      </c>
      <c r="D267" s="3154">
        <v>36.56</v>
      </c>
      <c r="E267" s="3155">
        <v>11.21</v>
      </c>
      <c r="F267" s="3150" t="s">
        <v>4273</v>
      </c>
      <c r="I267" s="3150">
        <v>265</v>
      </c>
      <c r="J267" s="3154" t="s">
        <v>3935</v>
      </c>
      <c r="K267" s="3154" t="s">
        <v>4199</v>
      </c>
      <c r="L267" s="3154">
        <v>41.97</v>
      </c>
      <c r="M267" s="3155">
        <v>9.7100000000000009</v>
      </c>
      <c r="N267" s="3150" t="s">
        <v>4273</v>
      </c>
    </row>
    <row r="268" spans="1:14">
      <c r="A268" s="3150">
        <v>266</v>
      </c>
      <c r="B268" s="3154" t="s">
        <v>3514</v>
      </c>
      <c r="C268" s="3154" t="s">
        <v>3779</v>
      </c>
      <c r="D268" s="3154">
        <v>36.56</v>
      </c>
      <c r="E268" s="3155">
        <v>11.21</v>
      </c>
      <c r="F268" s="3150" t="s">
        <v>4273</v>
      </c>
      <c r="I268" s="3150">
        <v>266</v>
      </c>
      <c r="J268" s="3154" t="s">
        <v>3935</v>
      </c>
      <c r="K268" s="3154" t="s">
        <v>4200</v>
      </c>
      <c r="L268" s="3154">
        <v>43.78</v>
      </c>
      <c r="M268" s="3155">
        <v>10.130000000000001</v>
      </c>
      <c r="N268" s="3150" t="s">
        <v>4273</v>
      </c>
    </row>
    <row r="269" spans="1:14">
      <c r="A269" s="3150">
        <v>267</v>
      </c>
      <c r="B269" s="3154" t="s">
        <v>3514</v>
      </c>
      <c r="C269" s="3154" t="s">
        <v>3780</v>
      </c>
      <c r="D269" s="3154">
        <v>38.130000000000003</v>
      </c>
      <c r="E269" s="3155">
        <v>11.69</v>
      </c>
      <c r="F269" s="3150" t="s">
        <v>4273</v>
      </c>
      <c r="I269" s="3150">
        <v>267</v>
      </c>
      <c r="J269" s="3154" t="s">
        <v>3935</v>
      </c>
      <c r="K269" s="3154" t="s">
        <v>4201</v>
      </c>
      <c r="L269" s="3154">
        <v>41.97</v>
      </c>
      <c r="M269" s="3155">
        <v>9.7100000000000009</v>
      </c>
      <c r="N269" s="3150" t="s">
        <v>4273</v>
      </c>
    </row>
    <row r="270" spans="1:14">
      <c r="A270" s="3150">
        <v>268</v>
      </c>
      <c r="B270" s="3154" t="s">
        <v>3514</v>
      </c>
      <c r="C270" s="3154" t="s">
        <v>3781</v>
      </c>
      <c r="D270" s="3154">
        <v>36.56</v>
      </c>
      <c r="E270" s="3155">
        <v>11.21</v>
      </c>
      <c r="F270" s="3150" t="s">
        <v>4273</v>
      </c>
      <c r="I270" s="3150">
        <v>268</v>
      </c>
      <c r="J270" s="3154" t="s">
        <v>3935</v>
      </c>
      <c r="K270" s="3154" t="s">
        <v>4202</v>
      </c>
      <c r="L270" s="3154">
        <v>41.97</v>
      </c>
      <c r="M270" s="3155">
        <v>9.7100000000000009</v>
      </c>
      <c r="N270" s="3150" t="s">
        <v>4273</v>
      </c>
    </row>
    <row r="271" spans="1:14">
      <c r="A271" s="3150">
        <v>269</v>
      </c>
      <c r="B271" s="3154" t="s">
        <v>3514</v>
      </c>
      <c r="C271" s="3154" t="s">
        <v>3782</v>
      </c>
      <c r="D271" s="3154">
        <v>36.56</v>
      </c>
      <c r="E271" s="3155">
        <v>11.21</v>
      </c>
      <c r="F271" s="3150" t="s">
        <v>4273</v>
      </c>
      <c r="I271" s="3150">
        <v>269</v>
      </c>
      <c r="J271" s="3154" t="s">
        <v>3935</v>
      </c>
      <c r="K271" s="3154" t="s">
        <v>4203</v>
      </c>
      <c r="L271" s="3154">
        <v>43.78</v>
      </c>
      <c r="M271" s="3155">
        <v>10.130000000000001</v>
      </c>
      <c r="N271" s="3150" t="s">
        <v>4273</v>
      </c>
    </row>
    <row r="272" spans="1:14">
      <c r="A272" s="3150">
        <v>270</v>
      </c>
      <c r="B272" s="3154" t="s">
        <v>3514</v>
      </c>
      <c r="C272" s="3154" t="s">
        <v>3783</v>
      </c>
      <c r="D272" s="3154">
        <v>38.130000000000003</v>
      </c>
      <c r="E272" s="3155">
        <v>11.69</v>
      </c>
      <c r="F272" s="3150" t="s">
        <v>4273</v>
      </c>
      <c r="I272" s="3150">
        <v>270</v>
      </c>
      <c r="J272" s="3154" t="s">
        <v>3935</v>
      </c>
      <c r="K272" s="3154" t="s">
        <v>4204</v>
      </c>
      <c r="L272" s="3154">
        <v>41.97</v>
      </c>
      <c r="M272" s="3155">
        <v>9.7100000000000009</v>
      </c>
      <c r="N272" s="3150" t="s">
        <v>4273</v>
      </c>
    </row>
    <row r="273" spans="1:14">
      <c r="A273" s="3150">
        <v>271</v>
      </c>
      <c r="B273" s="3154" t="s">
        <v>3514</v>
      </c>
      <c r="C273" s="3154" t="s">
        <v>3784</v>
      </c>
      <c r="D273" s="3154">
        <v>36.56</v>
      </c>
      <c r="E273" s="3155">
        <v>11.21</v>
      </c>
      <c r="F273" s="3150" t="s">
        <v>4273</v>
      </c>
      <c r="I273" s="3150">
        <v>271</v>
      </c>
      <c r="J273" s="3154" t="s">
        <v>3935</v>
      </c>
      <c r="K273" s="3154" t="s">
        <v>4205</v>
      </c>
      <c r="L273" s="3154">
        <v>41.97</v>
      </c>
      <c r="M273" s="3155">
        <v>9.7100000000000009</v>
      </c>
      <c r="N273" s="3150" t="s">
        <v>4273</v>
      </c>
    </row>
    <row r="274" spans="1:14">
      <c r="A274" s="3150">
        <v>272</v>
      </c>
      <c r="B274" s="3154" t="s">
        <v>3514</v>
      </c>
      <c r="C274" s="3154" t="s">
        <v>3785</v>
      </c>
      <c r="D274" s="3154">
        <v>36.56</v>
      </c>
      <c r="E274" s="3155">
        <v>11.21</v>
      </c>
      <c r="F274" s="3150" t="s">
        <v>4273</v>
      </c>
      <c r="I274" s="3150">
        <v>272</v>
      </c>
      <c r="J274" s="3154" t="s">
        <v>3935</v>
      </c>
      <c r="K274" s="3154" t="s">
        <v>4206</v>
      </c>
      <c r="L274" s="3154">
        <v>41.97</v>
      </c>
      <c r="M274" s="3155">
        <v>9.7100000000000009</v>
      </c>
      <c r="N274" s="3150" t="s">
        <v>4273</v>
      </c>
    </row>
    <row r="275" spans="1:14">
      <c r="A275" s="3150">
        <v>273</v>
      </c>
      <c r="B275" s="3154" t="s">
        <v>3514</v>
      </c>
      <c r="C275" s="3154" t="s">
        <v>3786</v>
      </c>
      <c r="D275" s="3154">
        <v>38.130000000000003</v>
      </c>
      <c r="E275" s="3155">
        <v>11.69</v>
      </c>
      <c r="F275" s="3150" t="s">
        <v>4273</v>
      </c>
      <c r="I275" s="3150">
        <v>273</v>
      </c>
      <c r="J275" s="3154" t="s">
        <v>3935</v>
      </c>
      <c r="K275" s="3154" t="s">
        <v>4207</v>
      </c>
      <c r="L275" s="3154">
        <v>41.97</v>
      </c>
      <c r="M275" s="3155">
        <v>9.7100000000000009</v>
      </c>
      <c r="N275" s="3150" t="s">
        <v>4273</v>
      </c>
    </row>
    <row r="276" spans="1:14">
      <c r="A276" s="3150">
        <v>274</v>
      </c>
      <c r="B276" s="3154" t="s">
        <v>3514</v>
      </c>
      <c r="C276" s="3154" t="s">
        <v>3787</v>
      </c>
      <c r="D276" s="3154">
        <v>36.56</v>
      </c>
      <c r="E276" s="3155">
        <v>11.21</v>
      </c>
      <c r="F276" s="3150" t="s">
        <v>4273</v>
      </c>
      <c r="I276" s="3150">
        <v>274</v>
      </c>
      <c r="J276" s="3154" t="s">
        <v>3935</v>
      </c>
      <c r="K276" s="3154" t="s">
        <v>4208</v>
      </c>
      <c r="L276" s="3154">
        <v>41.97</v>
      </c>
      <c r="M276" s="3155">
        <v>9.7100000000000009</v>
      </c>
      <c r="N276" s="3150" t="s">
        <v>4273</v>
      </c>
    </row>
    <row r="277" spans="1:14">
      <c r="A277" s="3150">
        <v>275</v>
      </c>
      <c r="B277" s="3154" t="s">
        <v>3514</v>
      </c>
      <c r="C277" s="3154" t="s">
        <v>3788</v>
      </c>
      <c r="D277" s="3154">
        <v>36.56</v>
      </c>
      <c r="E277" s="3155">
        <v>11.21</v>
      </c>
      <c r="F277" s="3150" t="s">
        <v>4273</v>
      </c>
      <c r="I277" s="3150">
        <v>275</v>
      </c>
      <c r="J277" s="3154" t="s">
        <v>3935</v>
      </c>
      <c r="K277" s="3154" t="s">
        <v>4209</v>
      </c>
      <c r="L277" s="3154">
        <v>41.97</v>
      </c>
      <c r="M277" s="3155">
        <v>9.7100000000000009</v>
      </c>
      <c r="N277" s="3150" t="s">
        <v>4273</v>
      </c>
    </row>
    <row r="278" spans="1:14">
      <c r="A278" s="3150">
        <v>276</v>
      </c>
      <c r="B278" s="3154" t="s">
        <v>3514</v>
      </c>
      <c r="C278" s="3154" t="s">
        <v>3789</v>
      </c>
      <c r="D278" s="3154">
        <v>38.130000000000003</v>
      </c>
      <c r="E278" s="3155">
        <v>11.69</v>
      </c>
      <c r="F278" s="3150" t="s">
        <v>4273</v>
      </c>
      <c r="I278" s="3150">
        <v>276</v>
      </c>
      <c r="J278" s="3154" t="s">
        <v>3935</v>
      </c>
      <c r="K278" s="3154" t="s">
        <v>4210</v>
      </c>
      <c r="L278" s="3154">
        <v>41.97</v>
      </c>
      <c r="M278" s="3155">
        <v>9.7100000000000009</v>
      </c>
      <c r="N278" s="3150" t="s">
        <v>4273</v>
      </c>
    </row>
    <row r="279" spans="1:14">
      <c r="A279" s="3150">
        <v>277</v>
      </c>
      <c r="B279" s="3154" t="s">
        <v>3514</v>
      </c>
      <c r="C279" s="3154" t="s">
        <v>3790</v>
      </c>
      <c r="D279" s="3154">
        <v>36.56</v>
      </c>
      <c r="E279" s="3155">
        <v>11.21</v>
      </c>
      <c r="F279" s="3150" t="s">
        <v>4273</v>
      </c>
      <c r="I279" s="3150">
        <v>277</v>
      </c>
      <c r="J279" s="3154" t="s">
        <v>3935</v>
      </c>
      <c r="K279" s="3154" t="s">
        <v>4211</v>
      </c>
      <c r="L279" s="3154">
        <v>41.97</v>
      </c>
      <c r="M279" s="3155">
        <v>9.7100000000000009</v>
      </c>
      <c r="N279" s="3150" t="s">
        <v>4273</v>
      </c>
    </row>
    <row r="280" spans="1:14">
      <c r="A280" s="3150">
        <v>278</v>
      </c>
      <c r="B280" s="3154" t="s">
        <v>3514</v>
      </c>
      <c r="C280" s="3154" t="s">
        <v>3791</v>
      </c>
      <c r="D280" s="3154">
        <v>36.56</v>
      </c>
      <c r="E280" s="3155">
        <v>11.21</v>
      </c>
      <c r="F280" s="3150" t="s">
        <v>4273</v>
      </c>
      <c r="I280" s="3150">
        <v>278</v>
      </c>
      <c r="J280" s="3154" t="s">
        <v>3935</v>
      </c>
      <c r="K280" s="3154" t="s">
        <v>4212</v>
      </c>
      <c r="L280" s="3154">
        <v>43.78</v>
      </c>
      <c r="M280" s="3155">
        <v>10.130000000000001</v>
      </c>
      <c r="N280" s="3150" t="s">
        <v>4273</v>
      </c>
    </row>
    <row r="281" spans="1:14">
      <c r="A281" s="3150">
        <v>279</v>
      </c>
      <c r="B281" s="3154" t="s">
        <v>3514</v>
      </c>
      <c r="C281" s="3154" t="s">
        <v>3792</v>
      </c>
      <c r="D281" s="3154">
        <v>38.130000000000003</v>
      </c>
      <c r="E281" s="3155">
        <v>11.69</v>
      </c>
      <c r="F281" s="3150" t="s">
        <v>4273</v>
      </c>
      <c r="I281" s="3150">
        <v>279</v>
      </c>
      <c r="J281" s="3154" t="s">
        <v>3935</v>
      </c>
      <c r="K281" s="3154" t="s">
        <v>4213</v>
      </c>
      <c r="L281" s="3154">
        <v>41.97</v>
      </c>
      <c r="M281" s="3155">
        <v>9.7100000000000009</v>
      </c>
      <c r="N281" s="3150" t="s">
        <v>4273</v>
      </c>
    </row>
    <row r="282" spans="1:14">
      <c r="A282" s="3150">
        <v>280</v>
      </c>
      <c r="B282" s="3154" t="s">
        <v>3514</v>
      </c>
      <c r="C282" s="3154" t="s">
        <v>3793</v>
      </c>
      <c r="D282" s="3154">
        <v>36.56</v>
      </c>
      <c r="E282" s="3155">
        <v>11.21</v>
      </c>
      <c r="F282" s="3150" t="s">
        <v>4273</v>
      </c>
      <c r="I282" s="3150">
        <v>280</v>
      </c>
      <c r="J282" s="3154" t="s">
        <v>3935</v>
      </c>
      <c r="K282" s="3154" t="s">
        <v>4214</v>
      </c>
      <c r="L282" s="3154">
        <v>41.97</v>
      </c>
      <c r="M282" s="3155">
        <v>9.7100000000000009</v>
      </c>
      <c r="N282" s="3150" t="s">
        <v>4273</v>
      </c>
    </row>
    <row r="283" spans="1:14">
      <c r="A283" s="3150">
        <v>281</v>
      </c>
      <c r="B283" s="3154" t="s">
        <v>3514</v>
      </c>
      <c r="C283" s="3154" t="s">
        <v>3794</v>
      </c>
      <c r="D283" s="3154">
        <v>36.56</v>
      </c>
      <c r="E283" s="3155">
        <v>11.21</v>
      </c>
      <c r="F283" s="3150" t="s">
        <v>4273</v>
      </c>
      <c r="I283" s="3150">
        <v>281</v>
      </c>
      <c r="J283" s="3154" t="s">
        <v>3935</v>
      </c>
      <c r="K283" s="3154" t="s">
        <v>4215</v>
      </c>
      <c r="L283" s="3154">
        <v>41.97</v>
      </c>
      <c r="M283" s="3155">
        <v>9.7100000000000009</v>
      </c>
      <c r="N283" s="3150" t="s">
        <v>4273</v>
      </c>
    </row>
    <row r="284" spans="1:14">
      <c r="A284" s="3150">
        <v>282</v>
      </c>
      <c r="B284" s="3154" t="s">
        <v>3514</v>
      </c>
      <c r="C284" s="3154" t="s">
        <v>3795</v>
      </c>
      <c r="D284" s="3154">
        <v>38.130000000000003</v>
      </c>
      <c r="E284" s="3155">
        <v>11.69</v>
      </c>
      <c r="F284" s="3150" t="s">
        <v>4273</v>
      </c>
      <c r="I284" s="3150">
        <v>282</v>
      </c>
      <c r="J284" s="3154" t="s">
        <v>3935</v>
      </c>
      <c r="K284" s="3154" t="s">
        <v>4216</v>
      </c>
      <c r="L284" s="3154">
        <v>43.78</v>
      </c>
      <c r="M284" s="3155">
        <v>10.130000000000001</v>
      </c>
      <c r="N284" s="3150" t="s">
        <v>4273</v>
      </c>
    </row>
    <row r="285" spans="1:14">
      <c r="A285" s="3150">
        <v>283</v>
      </c>
      <c r="B285" s="3154" t="s">
        <v>3514</v>
      </c>
      <c r="C285" s="3154" t="s">
        <v>3796</v>
      </c>
      <c r="D285" s="3154">
        <v>36.56</v>
      </c>
      <c r="E285" s="3155">
        <v>11.21</v>
      </c>
      <c r="F285" s="3150" t="s">
        <v>4273</v>
      </c>
      <c r="I285" s="3150">
        <v>283</v>
      </c>
      <c r="J285" s="3154" t="s">
        <v>3935</v>
      </c>
      <c r="K285" s="3154" t="s">
        <v>4217</v>
      </c>
      <c r="L285" s="3154">
        <v>41.97</v>
      </c>
      <c r="M285" s="3155">
        <v>9.7100000000000009</v>
      </c>
      <c r="N285" s="3150" t="s">
        <v>4273</v>
      </c>
    </row>
    <row r="286" spans="1:14">
      <c r="A286" s="3150">
        <v>284</v>
      </c>
      <c r="B286" s="3154" t="s">
        <v>3514</v>
      </c>
      <c r="C286" s="3154" t="s">
        <v>3797</v>
      </c>
      <c r="D286" s="3154">
        <v>36.56</v>
      </c>
      <c r="E286" s="3155">
        <v>11.21</v>
      </c>
      <c r="F286" s="3150" t="s">
        <v>4273</v>
      </c>
      <c r="I286" s="3150">
        <v>284</v>
      </c>
      <c r="J286" s="3154" t="s">
        <v>3935</v>
      </c>
      <c r="K286" s="3154" t="s">
        <v>4218</v>
      </c>
      <c r="L286" s="3154">
        <v>41.97</v>
      </c>
      <c r="M286" s="3155">
        <v>9.7100000000000009</v>
      </c>
      <c r="N286" s="3150" t="s">
        <v>4273</v>
      </c>
    </row>
    <row r="287" spans="1:14">
      <c r="A287" s="3150">
        <v>285</v>
      </c>
      <c r="B287" s="3154" t="s">
        <v>3514</v>
      </c>
      <c r="C287" s="3154" t="s">
        <v>3798</v>
      </c>
      <c r="D287" s="3154">
        <v>38.130000000000003</v>
      </c>
      <c r="E287" s="3155">
        <v>11.69</v>
      </c>
      <c r="F287" s="3150" t="s">
        <v>4273</v>
      </c>
      <c r="I287" s="3150">
        <v>285</v>
      </c>
      <c r="J287" s="3154" t="s">
        <v>3935</v>
      </c>
      <c r="K287" s="3154" t="s">
        <v>4219</v>
      </c>
      <c r="L287" s="3154">
        <v>43.78</v>
      </c>
      <c r="M287" s="3155">
        <v>10.130000000000001</v>
      </c>
      <c r="N287" s="3150" t="s">
        <v>4273</v>
      </c>
    </row>
    <row r="288" spans="1:14">
      <c r="A288" s="3150">
        <v>286</v>
      </c>
      <c r="B288" s="3154" t="s">
        <v>3514</v>
      </c>
      <c r="C288" s="3154" t="s">
        <v>3799</v>
      </c>
      <c r="D288" s="3154">
        <v>36.56</v>
      </c>
      <c r="E288" s="3155">
        <v>11.21</v>
      </c>
      <c r="F288" s="3150" t="s">
        <v>4273</v>
      </c>
      <c r="I288" s="3150">
        <v>286</v>
      </c>
      <c r="J288" s="3154" t="s">
        <v>3935</v>
      </c>
      <c r="K288" s="3154" t="s">
        <v>4220</v>
      </c>
      <c r="L288" s="3154">
        <v>41.97</v>
      </c>
      <c r="M288" s="3155">
        <v>9.7100000000000009</v>
      </c>
      <c r="N288" s="3150" t="s">
        <v>4273</v>
      </c>
    </row>
    <row r="289" spans="1:14">
      <c r="A289" s="3150">
        <v>287</v>
      </c>
      <c r="B289" s="3154" t="s">
        <v>3514</v>
      </c>
      <c r="C289" s="3154" t="s">
        <v>3800</v>
      </c>
      <c r="D289" s="3154">
        <v>36.56</v>
      </c>
      <c r="E289" s="3155">
        <v>11.21</v>
      </c>
      <c r="F289" s="3150" t="s">
        <v>4273</v>
      </c>
      <c r="I289" s="3150">
        <v>287</v>
      </c>
      <c r="J289" s="3154" t="s">
        <v>3935</v>
      </c>
      <c r="K289" s="3154" t="s">
        <v>4221</v>
      </c>
      <c r="L289" s="3154">
        <v>41.97</v>
      </c>
      <c r="M289" s="3155">
        <v>9.7100000000000009</v>
      </c>
      <c r="N289" s="3150" t="s">
        <v>4273</v>
      </c>
    </row>
    <row r="290" spans="1:14">
      <c r="A290" s="3150">
        <v>288</v>
      </c>
      <c r="B290" s="3154" t="s">
        <v>3514</v>
      </c>
      <c r="C290" s="3154" t="s">
        <v>3801</v>
      </c>
      <c r="D290" s="3154">
        <v>36.56</v>
      </c>
      <c r="E290" s="3155">
        <v>11.21</v>
      </c>
      <c r="F290" s="3150" t="s">
        <v>4273</v>
      </c>
      <c r="I290" s="3150">
        <v>288</v>
      </c>
      <c r="J290" s="3154" t="s">
        <v>3935</v>
      </c>
      <c r="K290" s="3154" t="s">
        <v>4222</v>
      </c>
      <c r="L290" s="3154">
        <v>43.78</v>
      </c>
      <c r="M290" s="3155">
        <v>10.130000000000001</v>
      </c>
      <c r="N290" s="3150" t="s">
        <v>4273</v>
      </c>
    </row>
    <row r="291" spans="1:14">
      <c r="A291" s="3150">
        <v>289</v>
      </c>
      <c r="B291" s="3154" t="s">
        <v>3514</v>
      </c>
      <c r="C291" s="3154" t="s">
        <v>3802</v>
      </c>
      <c r="D291" s="3154">
        <v>36.56</v>
      </c>
      <c r="E291" s="3155">
        <v>11.21</v>
      </c>
      <c r="F291" s="3150" t="s">
        <v>4273</v>
      </c>
      <c r="I291" s="3150">
        <v>289</v>
      </c>
      <c r="J291" s="3154" t="s">
        <v>3935</v>
      </c>
      <c r="K291" s="3154" t="s">
        <v>4223</v>
      </c>
      <c r="L291" s="3154">
        <v>41.97</v>
      </c>
      <c r="M291" s="3155">
        <v>9.7100000000000009</v>
      </c>
      <c r="N291" s="3150" t="s">
        <v>4273</v>
      </c>
    </row>
    <row r="292" spans="1:14">
      <c r="A292" s="3150">
        <v>290</v>
      </c>
      <c r="B292" s="3154" t="s">
        <v>3514</v>
      </c>
      <c r="C292" s="3154" t="s">
        <v>3803</v>
      </c>
      <c r="D292" s="3154">
        <v>36.56</v>
      </c>
      <c r="E292" s="3155">
        <v>11.21</v>
      </c>
      <c r="F292" s="3150" t="s">
        <v>4273</v>
      </c>
      <c r="I292" s="3150">
        <v>290</v>
      </c>
      <c r="J292" s="3154" t="s">
        <v>3935</v>
      </c>
      <c r="K292" s="3154" t="s">
        <v>4224</v>
      </c>
      <c r="L292" s="3154">
        <v>41.97</v>
      </c>
      <c r="M292" s="3155">
        <v>9.7100000000000009</v>
      </c>
      <c r="N292" s="3150" t="s">
        <v>4273</v>
      </c>
    </row>
    <row r="293" spans="1:14">
      <c r="A293" s="3150">
        <v>291</v>
      </c>
      <c r="B293" s="3154" t="s">
        <v>3514</v>
      </c>
      <c r="C293" s="3154" t="s">
        <v>3804</v>
      </c>
      <c r="D293" s="3154">
        <v>36.56</v>
      </c>
      <c r="E293" s="3155">
        <v>11.21</v>
      </c>
      <c r="F293" s="3150" t="s">
        <v>4273</v>
      </c>
      <c r="I293" s="3150">
        <v>291</v>
      </c>
      <c r="J293" s="3154" t="s">
        <v>3935</v>
      </c>
      <c r="K293" s="3154" t="s">
        <v>4225</v>
      </c>
      <c r="L293" s="3154">
        <v>43.78</v>
      </c>
      <c r="M293" s="3155">
        <v>10.130000000000001</v>
      </c>
      <c r="N293" s="3150" t="s">
        <v>4273</v>
      </c>
    </row>
    <row r="294" spans="1:14">
      <c r="A294" s="3150">
        <v>292</v>
      </c>
      <c r="B294" s="3154" t="s">
        <v>3514</v>
      </c>
      <c r="C294" s="3154" t="s">
        <v>3805</v>
      </c>
      <c r="D294" s="3154">
        <v>36.56</v>
      </c>
      <c r="E294" s="3155">
        <v>11.21</v>
      </c>
      <c r="F294" s="3150" t="s">
        <v>4273</v>
      </c>
      <c r="I294" s="3150">
        <v>292</v>
      </c>
      <c r="J294" s="3154" t="s">
        <v>3935</v>
      </c>
      <c r="K294" s="3154" t="s">
        <v>4226</v>
      </c>
      <c r="L294" s="3154">
        <v>41.97</v>
      </c>
      <c r="M294" s="3155">
        <v>9.7100000000000009</v>
      </c>
      <c r="N294" s="3150" t="s">
        <v>4273</v>
      </c>
    </row>
    <row r="295" spans="1:14">
      <c r="A295" s="3150">
        <v>293</v>
      </c>
      <c r="B295" s="3154" t="s">
        <v>3514</v>
      </c>
      <c r="C295" s="3154" t="s">
        <v>3806</v>
      </c>
      <c r="D295" s="3154">
        <v>36.56</v>
      </c>
      <c r="E295" s="3155">
        <v>11.21</v>
      </c>
      <c r="F295" s="3150" t="s">
        <v>4273</v>
      </c>
      <c r="I295" s="3150">
        <v>293</v>
      </c>
      <c r="J295" s="3154" t="s">
        <v>3935</v>
      </c>
      <c r="K295" s="3154" t="s">
        <v>4227</v>
      </c>
      <c r="L295" s="3154">
        <v>41.97</v>
      </c>
      <c r="M295" s="3155">
        <v>9.7100000000000009</v>
      </c>
      <c r="N295" s="3150" t="s">
        <v>4273</v>
      </c>
    </row>
    <row r="296" spans="1:14">
      <c r="A296" s="3150">
        <v>294</v>
      </c>
      <c r="B296" s="3154" t="s">
        <v>3514</v>
      </c>
      <c r="C296" s="3154" t="s">
        <v>3807</v>
      </c>
      <c r="D296" s="3154">
        <v>36.56</v>
      </c>
      <c r="E296" s="3155">
        <v>11.21</v>
      </c>
      <c r="F296" s="3150" t="s">
        <v>4273</v>
      </c>
      <c r="I296" s="3150">
        <v>294</v>
      </c>
      <c r="J296" s="3154" t="s">
        <v>3935</v>
      </c>
      <c r="K296" s="3154" t="s">
        <v>4228</v>
      </c>
      <c r="L296" s="3154">
        <v>43.78</v>
      </c>
      <c r="M296" s="3155">
        <v>10.130000000000001</v>
      </c>
      <c r="N296" s="3150" t="s">
        <v>4273</v>
      </c>
    </row>
    <row r="297" spans="1:14">
      <c r="A297" s="3150">
        <v>295</v>
      </c>
      <c r="B297" s="3154" t="s">
        <v>3514</v>
      </c>
      <c r="C297" s="3154" t="s">
        <v>3808</v>
      </c>
      <c r="D297" s="3154">
        <v>36.56</v>
      </c>
      <c r="E297" s="3155">
        <v>11.21</v>
      </c>
      <c r="F297" s="3150" t="s">
        <v>4273</v>
      </c>
      <c r="I297" s="3150">
        <v>295</v>
      </c>
      <c r="J297" s="3154" t="s">
        <v>3935</v>
      </c>
      <c r="K297" s="3154" t="s">
        <v>4229</v>
      </c>
      <c r="L297" s="3154">
        <v>41.97</v>
      </c>
      <c r="M297" s="3155">
        <v>9.7100000000000009</v>
      </c>
      <c r="N297" s="3150" t="s">
        <v>4273</v>
      </c>
    </row>
    <row r="298" spans="1:14">
      <c r="A298" s="3150">
        <v>296</v>
      </c>
      <c r="B298" s="3154" t="s">
        <v>3514</v>
      </c>
      <c r="C298" s="3154" t="s">
        <v>3809</v>
      </c>
      <c r="D298" s="3154">
        <v>36.56</v>
      </c>
      <c r="E298" s="3155">
        <v>11.21</v>
      </c>
      <c r="F298" s="3150" t="s">
        <v>4273</v>
      </c>
      <c r="I298" s="3150">
        <v>296</v>
      </c>
      <c r="J298" s="3154" t="s">
        <v>3935</v>
      </c>
      <c r="K298" s="3154" t="s">
        <v>4230</v>
      </c>
      <c r="L298" s="3154">
        <v>41.97</v>
      </c>
      <c r="M298" s="3155">
        <v>9.7100000000000009</v>
      </c>
      <c r="N298" s="3150" t="s">
        <v>4273</v>
      </c>
    </row>
    <row r="299" spans="1:14">
      <c r="A299" s="3150">
        <v>297</v>
      </c>
      <c r="B299" s="3154" t="s">
        <v>3514</v>
      </c>
      <c r="C299" s="3154" t="s">
        <v>3810</v>
      </c>
      <c r="D299" s="3154">
        <v>38.130000000000003</v>
      </c>
      <c r="E299" s="3155">
        <v>11.69</v>
      </c>
      <c r="F299" s="3150" t="s">
        <v>4273</v>
      </c>
      <c r="I299" s="3150">
        <v>297</v>
      </c>
      <c r="J299" s="3154" t="s">
        <v>3935</v>
      </c>
      <c r="K299" s="3154" t="s">
        <v>4231</v>
      </c>
      <c r="L299" s="3154">
        <v>43.78</v>
      </c>
      <c r="M299" s="3155">
        <v>10.130000000000001</v>
      </c>
      <c r="N299" s="3150" t="s">
        <v>4273</v>
      </c>
    </row>
    <row r="300" spans="1:14">
      <c r="A300" s="3150">
        <v>298</v>
      </c>
      <c r="B300" s="3154" t="s">
        <v>3514</v>
      </c>
      <c r="C300" s="3154" t="s">
        <v>3811</v>
      </c>
      <c r="D300" s="3154">
        <v>36.56</v>
      </c>
      <c r="E300" s="3155">
        <v>11.21</v>
      </c>
      <c r="F300" s="3150" t="s">
        <v>4273</v>
      </c>
      <c r="I300" s="3150">
        <v>298</v>
      </c>
      <c r="J300" s="3154" t="s">
        <v>3935</v>
      </c>
      <c r="K300" s="3154" t="s">
        <v>4232</v>
      </c>
      <c r="L300" s="3154">
        <v>41.97</v>
      </c>
      <c r="M300" s="3155">
        <v>9.7100000000000009</v>
      </c>
      <c r="N300" s="3150" t="s">
        <v>4273</v>
      </c>
    </row>
    <row r="301" spans="1:14">
      <c r="A301" s="3150">
        <v>299</v>
      </c>
      <c r="B301" s="3154" t="s">
        <v>3514</v>
      </c>
      <c r="C301" s="3154" t="s">
        <v>3812</v>
      </c>
      <c r="D301" s="3154">
        <v>36.56</v>
      </c>
      <c r="E301" s="3155">
        <v>11.21</v>
      </c>
      <c r="F301" s="3150" t="s">
        <v>4273</v>
      </c>
      <c r="I301" s="3150">
        <v>299</v>
      </c>
      <c r="J301" s="3154" t="s">
        <v>3935</v>
      </c>
      <c r="K301" s="3154" t="s">
        <v>4233</v>
      </c>
      <c r="L301" s="3154">
        <v>41.97</v>
      </c>
      <c r="M301" s="3155">
        <v>9.7100000000000009</v>
      </c>
      <c r="N301" s="3150" t="s">
        <v>4273</v>
      </c>
    </row>
    <row r="302" spans="1:14">
      <c r="A302" s="3150">
        <v>300</v>
      </c>
      <c r="B302" s="3154" t="s">
        <v>3514</v>
      </c>
      <c r="C302" s="3154" t="s">
        <v>3813</v>
      </c>
      <c r="D302" s="3154">
        <v>38.130000000000003</v>
      </c>
      <c r="E302" s="3155">
        <v>11.69</v>
      </c>
      <c r="F302" s="3150" t="s">
        <v>4273</v>
      </c>
      <c r="I302" s="3150">
        <v>300</v>
      </c>
      <c r="J302" s="3154" t="s">
        <v>3935</v>
      </c>
      <c r="K302" s="3154" t="s">
        <v>4234</v>
      </c>
      <c r="L302" s="3154">
        <v>43.78</v>
      </c>
      <c r="M302" s="3155">
        <v>10.130000000000001</v>
      </c>
      <c r="N302" s="3150" t="s">
        <v>4273</v>
      </c>
    </row>
    <row r="303" spans="1:14">
      <c r="A303" s="3150">
        <v>301</v>
      </c>
      <c r="B303" s="3154" t="s">
        <v>3514</v>
      </c>
      <c r="C303" s="3154" t="s">
        <v>3814</v>
      </c>
      <c r="D303" s="3154">
        <v>36.56</v>
      </c>
      <c r="E303" s="3155">
        <v>11.21</v>
      </c>
      <c r="F303" s="3150" t="s">
        <v>4273</v>
      </c>
      <c r="I303" s="3150">
        <v>301</v>
      </c>
      <c r="J303" s="3154" t="s">
        <v>3935</v>
      </c>
      <c r="K303" s="3154" t="s">
        <v>4235</v>
      </c>
      <c r="L303" s="3154">
        <v>41.97</v>
      </c>
      <c r="M303" s="3155">
        <v>9.7100000000000009</v>
      </c>
      <c r="N303" s="3150" t="s">
        <v>4273</v>
      </c>
    </row>
    <row r="304" spans="1:14">
      <c r="A304" s="3150">
        <v>302</v>
      </c>
      <c r="B304" s="3154" t="s">
        <v>3514</v>
      </c>
      <c r="C304" s="3154" t="s">
        <v>3815</v>
      </c>
      <c r="D304" s="3154">
        <v>36.56</v>
      </c>
      <c r="E304" s="3155">
        <v>11.21</v>
      </c>
      <c r="F304" s="3150" t="s">
        <v>4273</v>
      </c>
      <c r="I304" s="3150">
        <v>302</v>
      </c>
      <c r="J304" s="3154" t="s">
        <v>3935</v>
      </c>
      <c r="K304" s="3154" t="s">
        <v>4236</v>
      </c>
      <c r="L304" s="3154">
        <v>41.97</v>
      </c>
      <c r="M304" s="3155">
        <v>9.7100000000000009</v>
      </c>
      <c r="N304" s="3150" t="s">
        <v>4273</v>
      </c>
    </row>
    <row r="305" spans="1:14">
      <c r="A305" s="3150">
        <v>303</v>
      </c>
      <c r="B305" s="3154" t="s">
        <v>3514</v>
      </c>
      <c r="C305" s="3154" t="s">
        <v>3816</v>
      </c>
      <c r="D305" s="3154">
        <v>36.56</v>
      </c>
      <c r="E305" s="3155">
        <v>11.21</v>
      </c>
      <c r="F305" s="3150" t="s">
        <v>4273</v>
      </c>
      <c r="I305" s="3150">
        <v>303</v>
      </c>
      <c r="J305" s="3154" t="s">
        <v>3935</v>
      </c>
      <c r="K305" s="3154" t="s">
        <v>4237</v>
      </c>
      <c r="L305" s="3154">
        <v>43.78</v>
      </c>
      <c r="M305" s="3155">
        <v>10.130000000000001</v>
      </c>
      <c r="N305" s="3150" t="s">
        <v>4273</v>
      </c>
    </row>
    <row r="306" spans="1:14">
      <c r="A306" s="3150">
        <v>304</v>
      </c>
      <c r="B306" s="3154" t="s">
        <v>3514</v>
      </c>
      <c r="C306" s="3154" t="s">
        <v>3817</v>
      </c>
      <c r="D306" s="3154">
        <v>36.56</v>
      </c>
      <c r="E306" s="3155">
        <v>11.21</v>
      </c>
      <c r="F306" s="3150" t="s">
        <v>4273</v>
      </c>
      <c r="I306" s="3150">
        <v>304</v>
      </c>
      <c r="J306" s="3154" t="s">
        <v>3935</v>
      </c>
      <c r="K306" s="3154" t="s">
        <v>4238</v>
      </c>
      <c r="L306" s="3154">
        <v>41.97</v>
      </c>
      <c r="M306" s="3155">
        <v>9.7100000000000009</v>
      </c>
      <c r="N306" s="3150" t="s">
        <v>4273</v>
      </c>
    </row>
    <row r="307" spans="1:14">
      <c r="A307" s="3150">
        <v>305</v>
      </c>
      <c r="B307" s="3154" t="s">
        <v>3514</v>
      </c>
      <c r="C307" s="3154" t="s">
        <v>3818</v>
      </c>
      <c r="D307" s="3154">
        <v>38.130000000000003</v>
      </c>
      <c r="E307" s="3155">
        <v>11.69</v>
      </c>
      <c r="F307" s="3150" t="s">
        <v>4273</v>
      </c>
      <c r="I307" s="3150">
        <v>305</v>
      </c>
      <c r="J307" s="3154" t="s">
        <v>3935</v>
      </c>
      <c r="K307" s="3154" t="s">
        <v>4239</v>
      </c>
      <c r="L307" s="3154">
        <v>43.78</v>
      </c>
      <c r="M307" s="3155">
        <v>10.130000000000001</v>
      </c>
      <c r="N307" s="3150" t="s">
        <v>4273</v>
      </c>
    </row>
    <row r="308" spans="1:14">
      <c r="A308" s="3150">
        <v>306</v>
      </c>
      <c r="B308" s="3154" t="s">
        <v>3514</v>
      </c>
      <c r="C308" s="3154" t="s">
        <v>3819</v>
      </c>
      <c r="D308" s="3154">
        <v>36.56</v>
      </c>
      <c r="E308" s="3155">
        <v>11.21</v>
      </c>
      <c r="F308" s="3150" t="s">
        <v>4273</v>
      </c>
      <c r="I308" s="3150">
        <v>306</v>
      </c>
      <c r="J308" s="3154" t="s">
        <v>3935</v>
      </c>
      <c r="K308" s="3154" t="s">
        <v>4240</v>
      </c>
      <c r="L308" s="3154">
        <v>41.97</v>
      </c>
      <c r="M308" s="3155">
        <v>9.7100000000000009</v>
      </c>
      <c r="N308" s="3150" t="s">
        <v>4273</v>
      </c>
    </row>
    <row r="309" spans="1:14">
      <c r="A309" s="3150">
        <v>307</v>
      </c>
      <c r="B309" s="3154" t="s">
        <v>3514</v>
      </c>
      <c r="C309" s="3154" t="s">
        <v>3820</v>
      </c>
      <c r="D309" s="3154">
        <v>36.56</v>
      </c>
      <c r="E309" s="3155">
        <v>11.21</v>
      </c>
      <c r="F309" s="3150" t="s">
        <v>4273</v>
      </c>
      <c r="I309" s="3150">
        <v>307</v>
      </c>
      <c r="J309" s="3154" t="s">
        <v>3935</v>
      </c>
      <c r="K309" s="3154" t="s">
        <v>4241</v>
      </c>
      <c r="L309" s="3154">
        <v>41.97</v>
      </c>
      <c r="M309" s="3155">
        <v>9.7100000000000009</v>
      </c>
      <c r="N309" s="3150" t="s">
        <v>4273</v>
      </c>
    </row>
    <row r="310" spans="1:14">
      <c r="A310" s="3150">
        <v>308</v>
      </c>
      <c r="B310" s="3154" t="s">
        <v>3514</v>
      </c>
      <c r="C310" s="3154" t="s">
        <v>3821</v>
      </c>
      <c r="D310" s="3154">
        <v>38.130000000000003</v>
      </c>
      <c r="E310" s="3155">
        <v>11.69</v>
      </c>
      <c r="F310" s="3150" t="s">
        <v>4273</v>
      </c>
      <c r="I310" s="3150">
        <v>308</v>
      </c>
      <c r="J310" s="3154" t="s">
        <v>3935</v>
      </c>
      <c r="K310" s="3154" t="s">
        <v>4242</v>
      </c>
      <c r="L310" s="3154">
        <v>43.78</v>
      </c>
      <c r="M310" s="3155">
        <v>10.130000000000001</v>
      </c>
      <c r="N310" s="3150" t="s">
        <v>4273</v>
      </c>
    </row>
    <row r="311" spans="1:14">
      <c r="A311" s="3150">
        <v>309</v>
      </c>
      <c r="B311" s="3154" t="s">
        <v>3514</v>
      </c>
      <c r="C311" s="3154" t="s">
        <v>3822</v>
      </c>
      <c r="D311" s="3154">
        <v>36.56</v>
      </c>
      <c r="E311" s="3155">
        <v>11.21</v>
      </c>
      <c r="F311" s="3150" t="s">
        <v>4273</v>
      </c>
      <c r="I311" s="3150">
        <v>309</v>
      </c>
      <c r="J311" s="3154" t="s">
        <v>3935</v>
      </c>
      <c r="K311" s="3154" t="s">
        <v>4243</v>
      </c>
      <c r="L311" s="3154">
        <v>41.97</v>
      </c>
      <c r="M311" s="3155">
        <v>9.7100000000000009</v>
      </c>
      <c r="N311" s="3150" t="s">
        <v>4273</v>
      </c>
    </row>
    <row r="312" spans="1:14">
      <c r="A312" s="3150">
        <v>310</v>
      </c>
      <c r="B312" s="3154" t="s">
        <v>3514</v>
      </c>
      <c r="C312" s="3154" t="s">
        <v>3823</v>
      </c>
      <c r="D312" s="3154">
        <v>36.56</v>
      </c>
      <c r="E312" s="3155">
        <v>11.21</v>
      </c>
      <c r="F312" s="3150" t="s">
        <v>4273</v>
      </c>
      <c r="I312" s="3150">
        <v>310</v>
      </c>
      <c r="J312" s="3154" t="s">
        <v>3935</v>
      </c>
      <c r="K312" s="3154" t="s">
        <v>4244</v>
      </c>
      <c r="L312" s="3154">
        <v>41.97</v>
      </c>
      <c r="M312" s="3155">
        <v>9.7100000000000009</v>
      </c>
      <c r="N312" s="3150" t="s">
        <v>4273</v>
      </c>
    </row>
    <row r="313" spans="1:14">
      <c r="A313" s="3150">
        <v>311</v>
      </c>
      <c r="B313" s="3154" t="s">
        <v>3514</v>
      </c>
      <c r="C313" s="3154" t="s">
        <v>3824</v>
      </c>
      <c r="D313" s="3154">
        <v>38.130000000000003</v>
      </c>
      <c r="E313" s="3155">
        <v>11.69</v>
      </c>
      <c r="F313" s="3150" t="s">
        <v>4273</v>
      </c>
      <c r="I313" s="3150">
        <v>311</v>
      </c>
      <c r="J313" s="3154" t="s">
        <v>3935</v>
      </c>
      <c r="K313" s="3154" t="s">
        <v>4245</v>
      </c>
      <c r="L313" s="3154">
        <v>43.78</v>
      </c>
      <c r="M313" s="3155">
        <v>10.130000000000001</v>
      </c>
      <c r="N313" s="3150" t="s">
        <v>4273</v>
      </c>
    </row>
    <row r="314" spans="1:14">
      <c r="A314" s="3150">
        <v>312</v>
      </c>
      <c r="B314" s="3154" t="s">
        <v>3514</v>
      </c>
      <c r="C314" s="3154" t="s">
        <v>3825</v>
      </c>
      <c r="D314" s="3154">
        <v>36.56</v>
      </c>
      <c r="E314" s="3155">
        <v>11.21</v>
      </c>
      <c r="F314" s="3150" t="s">
        <v>4273</v>
      </c>
      <c r="I314" s="3150">
        <v>312</v>
      </c>
      <c r="J314" s="3154" t="s">
        <v>3935</v>
      </c>
      <c r="K314" s="3154" t="s">
        <v>4246</v>
      </c>
      <c r="L314" s="3154">
        <v>41.97</v>
      </c>
      <c r="M314" s="3155">
        <v>9.7100000000000009</v>
      </c>
      <c r="N314" s="3150" t="s">
        <v>4273</v>
      </c>
    </row>
    <row r="315" spans="1:14">
      <c r="A315" s="3150">
        <v>313</v>
      </c>
      <c r="B315" s="3154" t="s">
        <v>3514</v>
      </c>
      <c r="C315" s="3154" t="s">
        <v>3826</v>
      </c>
      <c r="D315" s="3154">
        <v>36.56</v>
      </c>
      <c r="E315" s="3155">
        <v>11.21</v>
      </c>
      <c r="F315" s="3150" t="s">
        <v>4273</v>
      </c>
      <c r="I315" s="3150">
        <v>313</v>
      </c>
      <c r="J315" s="3154" t="s">
        <v>3935</v>
      </c>
      <c r="K315" s="3154" t="s">
        <v>4247</v>
      </c>
      <c r="L315" s="3154">
        <v>41.97</v>
      </c>
      <c r="M315" s="3155">
        <v>9.7100000000000009</v>
      </c>
      <c r="N315" s="3150" t="s">
        <v>4273</v>
      </c>
    </row>
    <row r="316" spans="1:14">
      <c r="A316" s="3150">
        <v>314</v>
      </c>
      <c r="B316" s="3154" t="s">
        <v>3514</v>
      </c>
      <c r="C316" s="3154" t="s">
        <v>3827</v>
      </c>
      <c r="D316" s="3154">
        <v>38.130000000000003</v>
      </c>
      <c r="E316" s="3155">
        <v>11.69</v>
      </c>
      <c r="F316" s="3150" t="s">
        <v>4273</v>
      </c>
      <c r="I316" s="3150">
        <v>314</v>
      </c>
      <c r="J316" s="3154" t="s">
        <v>3935</v>
      </c>
      <c r="K316" s="3154" t="s">
        <v>4248</v>
      </c>
      <c r="L316" s="3154">
        <v>43.78</v>
      </c>
      <c r="M316" s="3155">
        <v>10.130000000000001</v>
      </c>
      <c r="N316" s="3150" t="s">
        <v>4273</v>
      </c>
    </row>
    <row r="317" spans="1:14">
      <c r="A317" s="3150">
        <v>315</v>
      </c>
      <c r="B317" s="3154" t="s">
        <v>3514</v>
      </c>
      <c r="C317" s="3154" t="s">
        <v>3828</v>
      </c>
      <c r="D317" s="3154">
        <v>36.56</v>
      </c>
      <c r="E317" s="3155">
        <v>11.21</v>
      </c>
      <c r="F317" s="3150" t="s">
        <v>4273</v>
      </c>
      <c r="I317" s="3150">
        <v>315</v>
      </c>
      <c r="J317" s="3154" t="s">
        <v>3935</v>
      </c>
      <c r="K317" s="3154" t="s">
        <v>4249</v>
      </c>
      <c r="L317" s="3154">
        <v>41.97</v>
      </c>
      <c r="M317" s="3155">
        <v>9.7100000000000009</v>
      </c>
      <c r="N317" s="3150" t="s">
        <v>4273</v>
      </c>
    </row>
    <row r="318" spans="1:14">
      <c r="A318" s="3150">
        <v>316</v>
      </c>
      <c r="B318" s="3154" t="s">
        <v>3514</v>
      </c>
      <c r="C318" s="3154" t="s">
        <v>3829</v>
      </c>
      <c r="D318" s="3154">
        <v>36.56</v>
      </c>
      <c r="E318" s="3155">
        <v>11.21</v>
      </c>
      <c r="F318" s="3150" t="s">
        <v>4273</v>
      </c>
      <c r="I318" s="3150">
        <v>316</v>
      </c>
      <c r="J318" s="3154" t="s">
        <v>3935</v>
      </c>
      <c r="K318" s="3154" t="s">
        <v>4250</v>
      </c>
      <c r="L318" s="3154">
        <v>41.97</v>
      </c>
      <c r="M318" s="3155">
        <v>9.7100000000000009</v>
      </c>
      <c r="N318" s="3150" t="s">
        <v>4273</v>
      </c>
    </row>
    <row r="319" spans="1:14">
      <c r="A319" s="3150">
        <v>317</v>
      </c>
      <c r="B319" s="3154" t="s">
        <v>3514</v>
      </c>
      <c r="C319" s="3154" t="s">
        <v>3830</v>
      </c>
      <c r="D319" s="3154">
        <v>36.56</v>
      </c>
      <c r="E319" s="3155">
        <v>11.21</v>
      </c>
      <c r="F319" s="3150" t="s">
        <v>4273</v>
      </c>
      <c r="I319" s="3150">
        <v>317</v>
      </c>
      <c r="J319" s="3154" t="s">
        <v>3935</v>
      </c>
      <c r="K319" s="3154" t="s">
        <v>4251</v>
      </c>
      <c r="L319" s="3154">
        <v>43.78</v>
      </c>
      <c r="M319" s="3155">
        <v>10.130000000000001</v>
      </c>
      <c r="N319" s="3150" t="s">
        <v>4273</v>
      </c>
    </row>
    <row r="320" spans="1:14">
      <c r="A320" s="3150">
        <v>318</v>
      </c>
      <c r="B320" s="3154" t="s">
        <v>3514</v>
      </c>
      <c r="C320" s="3154" t="s">
        <v>3831</v>
      </c>
      <c r="D320" s="3154">
        <v>36.56</v>
      </c>
      <c r="E320" s="3155">
        <v>11.21</v>
      </c>
      <c r="F320" s="3150" t="s">
        <v>4273</v>
      </c>
      <c r="I320" s="3150">
        <v>318</v>
      </c>
      <c r="J320" s="3154" t="s">
        <v>3935</v>
      </c>
      <c r="K320" s="3154" t="s">
        <v>4252</v>
      </c>
      <c r="L320" s="3154">
        <v>41.97</v>
      </c>
      <c r="M320" s="3155">
        <v>9.7100000000000009</v>
      </c>
      <c r="N320" s="3150" t="s">
        <v>4273</v>
      </c>
    </row>
    <row r="321" spans="1:14">
      <c r="A321" s="3150">
        <v>319</v>
      </c>
      <c r="B321" s="3154" t="s">
        <v>3514</v>
      </c>
      <c r="C321" s="3154" t="s">
        <v>3832</v>
      </c>
      <c r="D321" s="3154">
        <v>36.56</v>
      </c>
      <c r="E321" s="3155">
        <v>11.21</v>
      </c>
      <c r="F321" s="3150" t="s">
        <v>4273</v>
      </c>
      <c r="I321" s="3150">
        <v>319</v>
      </c>
      <c r="J321" s="3154" t="s">
        <v>3935</v>
      </c>
      <c r="K321" s="3154" t="s">
        <v>4253</v>
      </c>
      <c r="L321" s="3154">
        <v>41.97</v>
      </c>
      <c r="M321" s="3155">
        <v>9.7100000000000009</v>
      </c>
      <c r="N321" s="3150" t="s">
        <v>4273</v>
      </c>
    </row>
    <row r="322" spans="1:14">
      <c r="A322" s="3150">
        <v>320</v>
      </c>
      <c r="B322" s="3154" t="s">
        <v>3514</v>
      </c>
      <c r="C322" s="3154" t="s">
        <v>3833</v>
      </c>
      <c r="D322" s="3154">
        <v>36.56</v>
      </c>
      <c r="E322" s="3155">
        <v>11.21</v>
      </c>
      <c r="F322" s="3150" t="s">
        <v>4273</v>
      </c>
      <c r="I322" s="3150">
        <v>320</v>
      </c>
      <c r="J322" s="3154" t="s">
        <v>3935</v>
      </c>
      <c r="K322" s="3154" t="s">
        <v>4254</v>
      </c>
      <c r="L322" s="3154">
        <v>43.78</v>
      </c>
      <c r="M322" s="3155">
        <v>10.130000000000001</v>
      </c>
      <c r="N322" s="3150" t="s">
        <v>4273</v>
      </c>
    </row>
    <row r="323" spans="1:14">
      <c r="A323" s="3150">
        <v>321</v>
      </c>
      <c r="B323" s="3154" t="s">
        <v>3514</v>
      </c>
      <c r="C323" s="3154" t="s">
        <v>3834</v>
      </c>
      <c r="D323" s="3154">
        <v>36.56</v>
      </c>
      <c r="E323" s="3155">
        <v>11.21</v>
      </c>
      <c r="F323" s="3150" t="s">
        <v>4273</v>
      </c>
      <c r="I323" s="3150">
        <v>321</v>
      </c>
      <c r="J323" s="3154" t="s">
        <v>3935</v>
      </c>
      <c r="K323" s="3154" t="s">
        <v>4255</v>
      </c>
      <c r="L323" s="3154">
        <v>41.97</v>
      </c>
      <c r="M323" s="3155">
        <v>9.7100000000000009</v>
      </c>
      <c r="N323" s="3150" t="s">
        <v>4273</v>
      </c>
    </row>
    <row r="324" spans="1:14">
      <c r="A324" s="3150">
        <v>322</v>
      </c>
      <c r="B324" s="3154" t="s">
        <v>3514</v>
      </c>
      <c r="C324" s="3154" t="s">
        <v>3835</v>
      </c>
      <c r="D324" s="3154">
        <v>38.130000000000003</v>
      </c>
      <c r="E324" s="3155">
        <v>11.69</v>
      </c>
      <c r="F324" s="3150" t="s">
        <v>4273</v>
      </c>
      <c r="I324" s="3150">
        <v>322</v>
      </c>
      <c r="J324" s="3154" t="s">
        <v>3935</v>
      </c>
      <c r="K324" s="3154" t="s">
        <v>4256</v>
      </c>
      <c r="L324" s="3154">
        <v>41.97</v>
      </c>
      <c r="M324" s="3155">
        <v>9.7100000000000009</v>
      </c>
      <c r="N324" s="3150" t="s">
        <v>4273</v>
      </c>
    </row>
    <row r="325" spans="1:14">
      <c r="A325" s="3150">
        <v>323</v>
      </c>
      <c r="B325" s="3154" t="s">
        <v>3514</v>
      </c>
      <c r="C325" s="3154" t="s">
        <v>3836</v>
      </c>
      <c r="D325" s="3154">
        <v>36.56</v>
      </c>
      <c r="E325" s="3155">
        <v>11.21</v>
      </c>
      <c r="F325" s="3150" t="s">
        <v>4273</v>
      </c>
      <c r="I325" s="3150">
        <v>323</v>
      </c>
      <c r="J325" s="3154" t="s">
        <v>3935</v>
      </c>
      <c r="K325" s="3154" t="s">
        <v>4257</v>
      </c>
      <c r="L325" s="3154">
        <v>43.78</v>
      </c>
      <c r="M325" s="3155">
        <v>10.130000000000001</v>
      </c>
      <c r="N325" s="3150" t="s">
        <v>4273</v>
      </c>
    </row>
    <row r="326" spans="1:14">
      <c r="A326" s="3150">
        <v>324</v>
      </c>
      <c r="B326" s="3154" t="s">
        <v>3514</v>
      </c>
      <c r="C326" s="3154" t="s">
        <v>3837</v>
      </c>
      <c r="D326" s="3154">
        <v>36.56</v>
      </c>
      <c r="E326" s="3155">
        <v>11.21</v>
      </c>
      <c r="F326" s="3150" t="s">
        <v>4273</v>
      </c>
      <c r="I326" s="3150">
        <v>324</v>
      </c>
      <c r="J326" s="3154" t="s">
        <v>3935</v>
      </c>
      <c r="K326" s="3154" t="s">
        <v>4258</v>
      </c>
      <c r="L326" s="3154">
        <v>41.97</v>
      </c>
      <c r="M326" s="3155">
        <v>9.7100000000000009</v>
      </c>
      <c r="N326" s="3150" t="s">
        <v>4273</v>
      </c>
    </row>
    <row r="327" spans="1:14">
      <c r="A327" s="3150">
        <v>325</v>
      </c>
      <c r="B327" s="3154" t="s">
        <v>3514</v>
      </c>
      <c r="C327" s="3154" t="s">
        <v>3838</v>
      </c>
      <c r="D327" s="3154">
        <v>38.130000000000003</v>
      </c>
      <c r="E327" s="3155">
        <v>11.69</v>
      </c>
      <c r="F327" s="3150" t="s">
        <v>4273</v>
      </c>
      <c r="I327" s="3150">
        <v>325</v>
      </c>
      <c r="J327" s="3154" t="s">
        <v>3935</v>
      </c>
      <c r="K327" s="3154" t="s">
        <v>4259</v>
      </c>
      <c r="L327" s="3154">
        <v>41.97</v>
      </c>
      <c r="M327" s="3155">
        <v>9.7100000000000009</v>
      </c>
      <c r="N327" s="3150" t="s">
        <v>4273</v>
      </c>
    </row>
    <row r="328" spans="1:14">
      <c r="A328" s="3150">
        <v>326</v>
      </c>
      <c r="B328" s="3154" t="s">
        <v>3514</v>
      </c>
      <c r="C328" s="3154" t="s">
        <v>3839</v>
      </c>
      <c r="D328" s="3154">
        <v>36.56</v>
      </c>
      <c r="E328" s="3155">
        <v>11.21</v>
      </c>
      <c r="F328" s="3150" t="s">
        <v>4273</v>
      </c>
      <c r="I328" s="3150">
        <v>326</v>
      </c>
      <c r="J328" s="3154" t="s">
        <v>3935</v>
      </c>
      <c r="K328" s="3154" t="s">
        <v>4260</v>
      </c>
      <c r="L328" s="3154">
        <v>43.78</v>
      </c>
      <c r="M328" s="3155">
        <v>10.130000000000001</v>
      </c>
      <c r="N328" s="3150" t="s">
        <v>4273</v>
      </c>
    </row>
    <row r="329" spans="1:14">
      <c r="A329" s="3150">
        <v>327</v>
      </c>
      <c r="B329" s="3154" t="s">
        <v>3514</v>
      </c>
      <c r="C329" s="3154" t="s">
        <v>3840</v>
      </c>
      <c r="D329" s="3154">
        <v>36.56</v>
      </c>
      <c r="E329" s="3155">
        <v>11.21</v>
      </c>
      <c r="F329" s="3150" t="s">
        <v>4273</v>
      </c>
      <c r="I329" s="3150">
        <v>327</v>
      </c>
      <c r="J329" s="3154" t="s">
        <v>3935</v>
      </c>
      <c r="K329" s="3154" t="s">
        <v>4261</v>
      </c>
      <c r="L329" s="3154">
        <v>41.97</v>
      </c>
      <c r="M329" s="3155">
        <v>9.7100000000000009</v>
      </c>
      <c r="N329" s="3150" t="s">
        <v>4273</v>
      </c>
    </row>
    <row r="330" spans="1:14">
      <c r="A330" s="3150">
        <v>328</v>
      </c>
      <c r="B330" s="3154" t="s">
        <v>3514</v>
      </c>
      <c r="C330" s="3154" t="s">
        <v>3841</v>
      </c>
      <c r="D330" s="3154">
        <v>38.130000000000003</v>
      </c>
      <c r="E330" s="3155">
        <v>11.69</v>
      </c>
      <c r="F330" s="3150" t="s">
        <v>4273</v>
      </c>
      <c r="I330" s="3150">
        <v>328</v>
      </c>
      <c r="J330" s="3154" t="s">
        <v>3935</v>
      </c>
      <c r="K330" s="3154" t="s">
        <v>4262</v>
      </c>
      <c r="L330" s="3154">
        <v>41.97</v>
      </c>
      <c r="M330" s="3155">
        <v>9.7100000000000009</v>
      </c>
      <c r="N330" s="3150" t="s">
        <v>4273</v>
      </c>
    </row>
    <row r="331" spans="1:14">
      <c r="A331" s="3150">
        <v>329</v>
      </c>
      <c r="B331" s="3154" t="s">
        <v>3514</v>
      </c>
      <c r="C331" s="3154" t="s">
        <v>3842</v>
      </c>
      <c r="D331" s="3154">
        <v>36.56</v>
      </c>
      <c r="E331" s="3155">
        <v>11.21</v>
      </c>
      <c r="F331" s="3150" t="s">
        <v>4273</v>
      </c>
      <c r="I331" s="3150">
        <v>329</v>
      </c>
      <c r="J331" s="3154" t="s">
        <v>3935</v>
      </c>
      <c r="K331" s="3154" t="s">
        <v>4263</v>
      </c>
      <c r="L331" s="3154">
        <v>43.78</v>
      </c>
      <c r="M331" s="3155">
        <v>10.130000000000001</v>
      </c>
      <c r="N331" s="3150" t="s">
        <v>4273</v>
      </c>
    </row>
    <row r="332" spans="1:14">
      <c r="A332" s="3150">
        <v>330</v>
      </c>
      <c r="B332" s="3154" t="s">
        <v>3514</v>
      </c>
      <c r="C332" s="3154" t="s">
        <v>3843</v>
      </c>
      <c r="D332" s="3154">
        <v>36.56</v>
      </c>
      <c r="E332" s="3155">
        <v>11.21</v>
      </c>
      <c r="F332" s="3150" t="s">
        <v>4273</v>
      </c>
      <c r="I332" s="3150">
        <v>330</v>
      </c>
      <c r="J332" s="3154" t="s">
        <v>3935</v>
      </c>
      <c r="K332" s="3154" t="s">
        <v>4264</v>
      </c>
      <c r="L332" s="3154">
        <v>41.97</v>
      </c>
      <c r="M332" s="3155">
        <v>9.7100000000000009</v>
      </c>
      <c r="N332" s="3150" t="s">
        <v>4273</v>
      </c>
    </row>
    <row r="333" spans="1:14">
      <c r="A333" s="3150">
        <v>331</v>
      </c>
      <c r="B333" s="3154" t="s">
        <v>3514</v>
      </c>
      <c r="C333" s="3154" t="s">
        <v>3844</v>
      </c>
      <c r="D333" s="3154">
        <v>38.130000000000003</v>
      </c>
      <c r="E333" s="3155">
        <v>11.69</v>
      </c>
      <c r="F333" s="3150" t="s">
        <v>4273</v>
      </c>
      <c r="I333" s="3150">
        <v>331</v>
      </c>
      <c r="J333" s="3154" t="s">
        <v>3935</v>
      </c>
      <c r="K333" s="3154" t="s">
        <v>4265</v>
      </c>
      <c r="L333" s="3154">
        <v>41.97</v>
      </c>
      <c r="M333" s="3155">
        <v>9.7100000000000009</v>
      </c>
      <c r="N333" s="3150" t="s">
        <v>4273</v>
      </c>
    </row>
    <row r="334" spans="1:14">
      <c r="A334" s="3150">
        <v>332</v>
      </c>
      <c r="B334" s="3154" t="s">
        <v>3514</v>
      </c>
      <c r="C334" s="3154" t="s">
        <v>3845</v>
      </c>
      <c r="D334" s="3154">
        <v>36.56</v>
      </c>
      <c r="E334" s="3155">
        <v>11.21</v>
      </c>
      <c r="F334" s="3150" t="s">
        <v>4273</v>
      </c>
      <c r="I334" s="3150">
        <v>332</v>
      </c>
      <c r="J334" s="3154" t="s">
        <v>3935</v>
      </c>
      <c r="K334" s="3154" t="s">
        <v>4266</v>
      </c>
      <c r="L334" s="3154">
        <v>41.97</v>
      </c>
      <c r="M334" s="3155">
        <v>9.7100000000000009</v>
      </c>
      <c r="N334" s="3150" t="s">
        <v>4273</v>
      </c>
    </row>
    <row r="335" spans="1:14">
      <c r="A335" s="3150">
        <v>333</v>
      </c>
      <c r="B335" s="3154" t="s">
        <v>3514</v>
      </c>
      <c r="C335" s="3154" t="s">
        <v>3846</v>
      </c>
      <c r="D335" s="3154">
        <v>36.56</v>
      </c>
      <c r="E335" s="3155">
        <v>11.21</v>
      </c>
      <c r="F335" s="3150" t="s">
        <v>4273</v>
      </c>
      <c r="I335" s="3150">
        <v>333</v>
      </c>
      <c r="J335" s="3154" t="s">
        <v>3935</v>
      </c>
      <c r="K335" s="3154" t="s">
        <v>4267</v>
      </c>
      <c r="L335" s="3154">
        <v>41.97</v>
      </c>
      <c r="M335" s="3155">
        <v>9.7100000000000009</v>
      </c>
      <c r="N335" s="3150" t="s">
        <v>4273</v>
      </c>
    </row>
    <row r="336" spans="1:14">
      <c r="A336" s="3150">
        <v>334</v>
      </c>
      <c r="B336" s="3154" t="s">
        <v>3514</v>
      </c>
      <c r="C336" s="3154" t="s">
        <v>3847</v>
      </c>
      <c r="D336" s="3154">
        <v>38.130000000000003</v>
      </c>
      <c r="E336" s="3155">
        <v>11.69</v>
      </c>
      <c r="F336" s="3150" t="s">
        <v>4273</v>
      </c>
      <c r="I336" s="3150">
        <v>334</v>
      </c>
      <c r="J336" s="3154" t="s">
        <v>3935</v>
      </c>
      <c r="K336" s="3154" t="s">
        <v>4268</v>
      </c>
      <c r="L336" s="3154">
        <v>43.78</v>
      </c>
      <c r="M336" s="3155">
        <v>10.130000000000001</v>
      </c>
      <c r="N336" s="3150" t="s">
        <v>4273</v>
      </c>
    </row>
    <row r="337" spans="1:14">
      <c r="A337" s="3150">
        <v>335</v>
      </c>
      <c r="B337" s="3154" t="s">
        <v>3514</v>
      </c>
      <c r="C337" s="3154" t="s">
        <v>3848</v>
      </c>
      <c r="D337" s="3154">
        <v>36.56</v>
      </c>
      <c r="E337" s="3155">
        <v>11.21</v>
      </c>
      <c r="F337" s="3150" t="s">
        <v>4273</v>
      </c>
      <c r="I337" s="3150">
        <v>335</v>
      </c>
      <c r="J337" s="3154" t="s">
        <v>3935</v>
      </c>
      <c r="K337" s="3154" t="s">
        <v>4269</v>
      </c>
      <c r="L337" s="3154">
        <v>43.78</v>
      </c>
      <c r="M337" s="3155">
        <v>10.130000000000001</v>
      </c>
      <c r="N337" s="3150" t="s">
        <v>4273</v>
      </c>
    </row>
    <row r="338" spans="1:14">
      <c r="A338" s="3150">
        <v>336</v>
      </c>
      <c r="B338" s="3154" t="s">
        <v>3514</v>
      </c>
      <c r="C338" s="3154" t="s">
        <v>3849</v>
      </c>
      <c r="D338" s="3154">
        <v>36.56</v>
      </c>
      <c r="E338" s="3155">
        <v>11.21</v>
      </c>
      <c r="F338" s="3150" t="s">
        <v>4273</v>
      </c>
      <c r="I338" s="3150">
        <v>336</v>
      </c>
      <c r="J338" s="3154" t="s">
        <v>3935</v>
      </c>
      <c r="K338" s="3154" t="s">
        <v>4270</v>
      </c>
      <c r="L338" s="3154">
        <v>41.97</v>
      </c>
      <c r="M338" s="3155">
        <v>9.7100000000000009</v>
      </c>
      <c r="N338" s="3150" t="s">
        <v>4273</v>
      </c>
    </row>
    <row r="339" spans="1:14">
      <c r="A339" s="3150">
        <v>337</v>
      </c>
      <c r="B339" s="3154" t="s">
        <v>3514</v>
      </c>
      <c r="C339" s="3154" t="s">
        <v>3850</v>
      </c>
      <c r="D339" s="3154">
        <v>38.130000000000003</v>
      </c>
      <c r="E339" s="3155">
        <v>11.69</v>
      </c>
      <c r="F339" s="3150" t="s">
        <v>4273</v>
      </c>
      <c r="I339" s="3150">
        <v>337</v>
      </c>
      <c r="J339" s="3154" t="s">
        <v>3935</v>
      </c>
      <c r="K339" s="3154" t="s">
        <v>4271</v>
      </c>
      <c r="L339" s="3154">
        <v>41.97</v>
      </c>
      <c r="M339" s="3155">
        <v>9.7100000000000009</v>
      </c>
      <c r="N339" s="3150" t="s">
        <v>4273</v>
      </c>
    </row>
    <row r="340" spans="1:14">
      <c r="A340" s="3150">
        <v>338</v>
      </c>
      <c r="B340" s="3154" t="s">
        <v>3514</v>
      </c>
      <c r="C340" s="3154" t="s">
        <v>3851</v>
      </c>
      <c r="D340" s="3154">
        <v>36.56</v>
      </c>
      <c r="E340" s="3155">
        <v>11.21</v>
      </c>
      <c r="F340" s="3150" t="s">
        <v>4273</v>
      </c>
      <c r="I340" s="3150">
        <v>338</v>
      </c>
      <c r="J340" s="3154" t="s">
        <v>3935</v>
      </c>
      <c r="K340" s="3154" t="s">
        <v>4272</v>
      </c>
      <c r="L340" s="3154">
        <v>40.130000000000003</v>
      </c>
      <c r="M340" s="3155">
        <v>9.2799999999999994</v>
      </c>
      <c r="N340" s="3150" t="s">
        <v>4273</v>
      </c>
    </row>
    <row r="341" spans="1:14">
      <c r="A341" s="3150">
        <v>339</v>
      </c>
      <c r="B341" s="3154" t="s">
        <v>3514</v>
      </c>
      <c r="C341" s="3154" t="s">
        <v>3852</v>
      </c>
      <c r="D341" s="3154">
        <v>36.56</v>
      </c>
      <c r="E341" s="3155">
        <v>11.21</v>
      </c>
      <c r="F341" s="3150" t="s">
        <v>4273</v>
      </c>
      <c r="I341" s="3150">
        <v>339</v>
      </c>
      <c r="J341" s="3154" t="s">
        <v>3935</v>
      </c>
      <c r="K341" s="3154">
        <v>-101</v>
      </c>
      <c r="L341" s="3154">
        <v>9581.2999999999993</v>
      </c>
      <c r="M341" s="3155">
        <v>2216.37</v>
      </c>
      <c r="N341" s="3150" t="s">
        <v>4276</v>
      </c>
    </row>
    <row r="342" spans="1:14">
      <c r="A342" s="3150">
        <v>340</v>
      </c>
      <c r="B342" s="3154" t="s">
        <v>3514</v>
      </c>
      <c r="C342" s="3154" t="s">
        <v>3853</v>
      </c>
      <c r="D342" s="3154">
        <v>38.130000000000003</v>
      </c>
      <c r="E342" s="3155">
        <v>11.69</v>
      </c>
      <c r="F342" s="3150" t="s">
        <v>4273</v>
      </c>
      <c r="I342" s="3150" t="s">
        <v>4288</v>
      </c>
      <c r="J342" s="3154"/>
      <c r="K342" s="3154"/>
      <c r="L342" s="3154">
        <f>SUM(L3:L341)</f>
        <v>68049.780000000173</v>
      </c>
      <c r="M342" s="3154">
        <f>ROUND(SUM(M3:M341),2)</f>
        <v>15742.02</v>
      </c>
      <c r="N342" s="3150"/>
    </row>
    <row r="343" spans="1:14">
      <c r="A343" s="3150">
        <v>341</v>
      </c>
      <c r="B343" s="3154" t="s">
        <v>3514</v>
      </c>
      <c r="C343" s="3154" t="s">
        <v>3854</v>
      </c>
      <c r="D343" s="3154">
        <v>36.56</v>
      </c>
      <c r="E343" s="3155">
        <v>11.21</v>
      </c>
      <c r="F343" s="3150" t="s">
        <v>4273</v>
      </c>
      <c r="I343" s="3156" t="s">
        <v>4290</v>
      </c>
      <c r="J343" s="3152"/>
      <c r="K343" s="3152"/>
      <c r="L343" s="3153">
        <f>L3+L341</f>
        <v>53721.66</v>
      </c>
      <c r="M343" s="3153">
        <f>M3+M341</f>
        <v>12427.02</v>
      </c>
    </row>
    <row r="344" spans="1:14">
      <c r="A344" s="3150">
        <v>342</v>
      </c>
      <c r="B344" s="3154" t="s">
        <v>3514</v>
      </c>
      <c r="C344" s="3154" t="s">
        <v>3855</v>
      </c>
      <c r="D344" s="3154">
        <v>36.56</v>
      </c>
      <c r="E344" s="3155">
        <v>11.21</v>
      </c>
      <c r="F344" s="3150" t="s">
        <v>4273</v>
      </c>
      <c r="I344" s="3156" t="s">
        <v>4291</v>
      </c>
      <c r="L344" s="3156">
        <f>SUM(L4:L340)</f>
        <v>14328.11999999997</v>
      </c>
      <c r="M344" s="3156">
        <f>SUM(M4:M340)</f>
        <v>3315.0000000000136</v>
      </c>
    </row>
    <row r="345" spans="1:14">
      <c r="A345" s="3150">
        <v>343</v>
      </c>
      <c r="B345" s="3154" t="s">
        <v>3514</v>
      </c>
      <c r="C345" s="3154" t="s">
        <v>3856</v>
      </c>
      <c r="D345" s="3154">
        <v>38.130000000000003</v>
      </c>
      <c r="E345" s="3155">
        <v>11.69</v>
      </c>
      <c r="F345" s="3150" t="s">
        <v>4273</v>
      </c>
      <c r="I345" s="3156" t="s">
        <v>4292</v>
      </c>
      <c r="L345" s="3156">
        <f>L341+L344</f>
        <v>23909.419999999969</v>
      </c>
      <c r="M345" s="3156">
        <f>M341+M344</f>
        <v>5531.3700000000135</v>
      </c>
    </row>
    <row r="346" spans="1:14">
      <c r="A346" s="3150">
        <v>344</v>
      </c>
      <c r="B346" s="3154" t="s">
        <v>3514</v>
      </c>
      <c r="C346" s="3154" t="s">
        <v>3857</v>
      </c>
      <c r="D346" s="3154">
        <v>36.56</v>
      </c>
      <c r="E346" s="3155">
        <v>11.21</v>
      </c>
      <c r="F346" s="3150" t="s">
        <v>4273</v>
      </c>
    </row>
    <row r="347" spans="1:14">
      <c r="A347" s="3150">
        <v>345</v>
      </c>
      <c r="B347" s="3154" t="s">
        <v>3514</v>
      </c>
      <c r="C347" s="3154" t="s">
        <v>3858</v>
      </c>
      <c r="D347" s="3154">
        <v>36.56</v>
      </c>
      <c r="E347" s="3155">
        <v>11.21</v>
      </c>
      <c r="F347" s="3150" t="s">
        <v>4273</v>
      </c>
    </row>
    <row r="348" spans="1:14">
      <c r="A348" s="3150">
        <v>346</v>
      </c>
      <c r="B348" s="3154" t="s">
        <v>3514</v>
      </c>
      <c r="C348" s="3154" t="s">
        <v>3859</v>
      </c>
      <c r="D348" s="3154">
        <v>38.130000000000003</v>
      </c>
      <c r="E348" s="3155">
        <v>11.69</v>
      </c>
      <c r="F348" s="3150" t="s">
        <v>4273</v>
      </c>
    </row>
    <row r="349" spans="1:14">
      <c r="A349" s="3150">
        <v>347</v>
      </c>
      <c r="B349" s="3154" t="s">
        <v>3514</v>
      </c>
      <c r="C349" s="3154" t="s">
        <v>3860</v>
      </c>
      <c r="D349" s="3154">
        <v>36.56</v>
      </c>
      <c r="E349" s="3155">
        <v>11.21</v>
      </c>
      <c r="F349" s="3150" t="s">
        <v>4273</v>
      </c>
    </row>
    <row r="350" spans="1:14">
      <c r="A350" s="3150">
        <v>348</v>
      </c>
      <c r="B350" s="3154" t="s">
        <v>3514</v>
      </c>
      <c r="C350" s="3154" t="s">
        <v>3861</v>
      </c>
      <c r="D350" s="3154">
        <v>36.56</v>
      </c>
      <c r="E350" s="3155">
        <v>11.21</v>
      </c>
      <c r="F350" s="3150" t="s">
        <v>4273</v>
      </c>
    </row>
    <row r="351" spans="1:14">
      <c r="A351" s="3150">
        <v>349</v>
      </c>
      <c r="B351" s="3154" t="s">
        <v>3514</v>
      </c>
      <c r="C351" s="3154" t="s">
        <v>3862</v>
      </c>
      <c r="D351" s="3154">
        <v>38.130000000000003</v>
      </c>
      <c r="E351" s="3155">
        <v>11.69</v>
      </c>
      <c r="F351" s="3150" t="s">
        <v>4273</v>
      </c>
    </row>
    <row r="352" spans="1:14">
      <c r="A352" s="3150">
        <v>350</v>
      </c>
      <c r="B352" s="3154" t="s">
        <v>3514</v>
      </c>
      <c r="C352" s="3154" t="s">
        <v>3863</v>
      </c>
      <c r="D352" s="3154">
        <v>36.56</v>
      </c>
      <c r="E352" s="3155">
        <v>11.21</v>
      </c>
      <c r="F352" s="3150" t="s">
        <v>4273</v>
      </c>
    </row>
    <row r="353" spans="1:6">
      <c r="A353" s="3150">
        <v>351</v>
      </c>
      <c r="B353" s="3154" t="s">
        <v>3514</v>
      </c>
      <c r="C353" s="3154" t="s">
        <v>3864</v>
      </c>
      <c r="D353" s="3154">
        <v>36.56</v>
      </c>
      <c r="E353" s="3155">
        <v>11.21</v>
      </c>
      <c r="F353" s="3150" t="s">
        <v>4273</v>
      </c>
    </row>
    <row r="354" spans="1:6">
      <c r="A354" s="3150">
        <v>352</v>
      </c>
      <c r="B354" s="3154" t="s">
        <v>3514</v>
      </c>
      <c r="C354" s="3154" t="s">
        <v>3865</v>
      </c>
      <c r="D354" s="3154">
        <v>38.130000000000003</v>
      </c>
      <c r="E354" s="3155">
        <v>11.69</v>
      </c>
      <c r="F354" s="3150" t="s">
        <v>4273</v>
      </c>
    </row>
    <row r="355" spans="1:6">
      <c r="A355" s="3150">
        <v>353</v>
      </c>
      <c r="B355" s="3154" t="s">
        <v>3514</v>
      </c>
      <c r="C355" s="3154" t="s">
        <v>3866</v>
      </c>
      <c r="D355" s="3154">
        <v>36.56</v>
      </c>
      <c r="E355" s="3155">
        <v>11.21</v>
      </c>
      <c r="F355" s="3150" t="s">
        <v>4273</v>
      </c>
    </row>
    <row r="356" spans="1:6">
      <c r="A356" s="3150">
        <v>354</v>
      </c>
      <c r="B356" s="3154" t="s">
        <v>3514</v>
      </c>
      <c r="C356" s="3154" t="s">
        <v>3867</v>
      </c>
      <c r="D356" s="3154">
        <v>36.56</v>
      </c>
      <c r="E356" s="3155">
        <v>11.21</v>
      </c>
      <c r="F356" s="3150" t="s">
        <v>4273</v>
      </c>
    </row>
    <row r="357" spans="1:6">
      <c r="A357" s="3150">
        <v>355</v>
      </c>
      <c r="B357" s="3154" t="s">
        <v>3514</v>
      </c>
      <c r="C357" s="3154" t="s">
        <v>3868</v>
      </c>
      <c r="D357" s="3154">
        <v>38.130000000000003</v>
      </c>
      <c r="E357" s="3155">
        <v>11.69</v>
      </c>
      <c r="F357" s="3150" t="s">
        <v>4273</v>
      </c>
    </row>
    <row r="358" spans="1:6">
      <c r="A358" s="3150">
        <v>356</v>
      </c>
      <c r="B358" s="3154" t="s">
        <v>3514</v>
      </c>
      <c r="C358" s="3154" t="s">
        <v>3869</v>
      </c>
      <c r="D358" s="3154">
        <v>36.56</v>
      </c>
      <c r="E358" s="3155">
        <v>11.21</v>
      </c>
      <c r="F358" s="3150" t="s">
        <v>4273</v>
      </c>
    </row>
    <row r="359" spans="1:6">
      <c r="A359" s="3150">
        <v>357</v>
      </c>
      <c r="B359" s="3154" t="s">
        <v>3514</v>
      </c>
      <c r="C359" s="3154" t="s">
        <v>3870</v>
      </c>
      <c r="D359" s="3154">
        <v>36.56</v>
      </c>
      <c r="E359" s="3155">
        <v>11.21</v>
      </c>
      <c r="F359" s="3150" t="s">
        <v>4273</v>
      </c>
    </row>
    <row r="360" spans="1:6">
      <c r="A360" s="3150">
        <v>358</v>
      </c>
      <c r="B360" s="3154" t="s">
        <v>3514</v>
      </c>
      <c r="C360" s="3154" t="s">
        <v>3871</v>
      </c>
      <c r="D360" s="3154">
        <v>38.130000000000003</v>
      </c>
      <c r="E360" s="3155">
        <v>11.69</v>
      </c>
      <c r="F360" s="3150" t="s">
        <v>4273</v>
      </c>
    </row>
    <row r="361" spans="1:6">
      <c r="A361" s="3150">
        <v>359</v>
      </c>
      <c r="B361" s="3154" t="s">
        <v>3514</v>
      </c>
      <c r="C361" s="3154" t="s">
        <v>3872</v>
      </c>
      <c r="D361" s="3154">
        <v>36.56</v>
      </c>
      <c r="E361" s="3155">
        <v>11.21</v>
      </c>
      <c r="F361" s="3150" t="s">
        <v>4273</v>
      </c>
    </row>
    <row r="362" spans="1:6">
      <c r="A362" s="3150">
        <v>360</v>
      </c>
      <c r="B362" s="3154" t="s">
        <v>3514</v>
      </c>
      <c r="C362" s="3154" t="s">
        <v>3873</v>
      </c>
      <c r="D362" s="3154">
        <v>36.56</v>
      </c>
      <c r="E362" s="3155">
        <v>11.21</v>
      </c>
      <c r="F362" s="3150" t="s">
        <v>4273</v>
      </c>
    </row>
    <row r="363" spans="1:6">
      <c r="A363" s="3150">
        <v>361</v>
      </c>
      <c r="B363" s="3154" t="s">
        <v>3514</v>
      </c>
      <c r="C363" s="3154" t="s">
        <v>3874</v>
      </c>
      <c r="D363" s="3154">
        <v>38.130000000000003</v>
      </c>
      <c r="E363" s="3155">
        <v>11.69</v>
      </c>
      <c r="F363" s="3150" t="s">
        <v>4273</v>
      </c>
    </row>
    <row r="364" spans="1:6">
      <c r="A364" s="3150">
        <v>362</v>
      </c>
      <c r="B364" s="3154" t="s">
        <v>3514</v>
      </c>
      <c r="C364" s="3154" t="s">
        <v>3875</v>
      </c>
      <c r="D364" s="3154">
        <v>36.56</v>
      </c>
      <c r="E364" s="3155">
        <v>11.21</v>
      </c>
      <c r="F364" s="3150" t="s">
        <v>4273</v>
      </c>
    </row>
    <row r="365" spans="1:6">
      <c r="A365" s="3150">
        <v>363</v>
      </c>
      <c r="B365" s="3154" t="s">
        <v>3514</v>
      </c>
      <c r="C365" s="3154" t="s">
        <v>3876</v>
      </c>
      <c r="D365" s="3154">
        <v>36.56</v>
      </c>
      <c r="E365" s="3155">
        <v>11.21</v>
      </c>
      <c r="F365" s="3150" t="s">
        <v>4273</v>
      </c>
    </row>
    <row r="366" spans="1:6">
      <c r="A366" s="3150">
        <v>364</v>
      </c>
      <c r="B366" s="3154" t="s">
        <v>3514</v>
      </c>
      <c r="C366" s="3154" t="s">
        <v>3877</v>
      </c>
      <c r="D366" s="3154">
        <v>38.130000000000003</v>
      </c>
      <c r="E366" s="3155">
        <v>11.69</v>
      </c>
      <c r="F366" s="3150" t="s">
        <v>4273</v>
      </c>
    </row>
    <row r="367" spans="1:6">
      <c r="A367" s="3150">
        <v>365</v>
      </c>
      <c r="B367" s="3154" t="s">
        <v>3514</v>
      </c>
      <c r="C367" s="3154" t="s">
        <v>3878</v>
      </c>
      <c r="D367" s="3154">
        <v>36.56</v>
      </c>
      <c r="E367" s="3155">
        <v>11.21</v>
      </c>
      <c r="F367" s="3150" t="s">
        <v>4273</v>
      </c>
    </row>
    <row r="368" spans="1:6">
      <c r="A368" s="3150">
        <v>366</v>
      </c>
      <c r="B368" s="3154" t="s">
        <v>3514</v>
      </c>
      <c r="C368" s="3154" t="s">
        <v>3879</v>
      </c>
      <c r="D368" s="3154">
        <v>36.56</v>
      </c>
      <c r="E368" s="3155">
        <v>11.21</v>
      </c>
      <c r="F368" s="3150" t="s">
        <v>4273</v>
      </c>
    </row>
    <row r="369" spans="1:6">
      <c r="A369" s="3150">
        <v>367</v>
      </c>
      <c r="B369" s="3154" t="s">
        <v>3514</v>
      </c>
      <c r="C369" s="3154" t="s">
        <v>3880</v>
      </c>
      <c r="D369" s="3154">
        <v>38.130000000000003</v>
      </c>
      <c r="E369" s="3155">
        <v>11.69</v>
      </c>
      <c r="F369" s="3150" t="s">
        <v>4273</v>
      </c>
    </row>
    <row r="370" spans="1:6">
      <c r="A370" s="3150">
        <v>368</v>
      </c>
      <c r="B370" s="3154" t="s">
        <v>3514</v>
      </c>
      <c r="C370" s="3154" t="s">
        <v>3881</v>
      </c>
      <c r="D370" s="3154">
        <v>36.56</v>
      </c>
      <c r="E370" s="3155">
        <v>11.21</v>
      </c>
      <c r="F370" s="3150" t="s">
        <v>4273</v>
      </c>
    </row>
    <row r="371" spans="1:6">
      <c r="A371" s="3150">
        <v>369</v>
      </c>
      <c r="B371" s="3154" t="s">
        <v>3514</v>
      </c>
      <c r="C371" s="3154" t="s">
        <v>3882</v>
      </c>
      <c r="D371" s="3154">
        <v>36.56</v>
      </c>
      <c r="E371" s="3155">
        <v>11.21</v>
      </c>
      <c r="F371" s="3150" t="s">
        <v>4273</v>
      </c>
    </row>
    <row r="372" spans="1:6">
      <c r="A372" s="3150">
        <v>370</v>
      </c>
      <c r="B372" s="3154" t="s">
        <v>3514</v>
      </c>
      <c r="C372" s="3154" t="s">
        <v>3883</v>
      </c>
      <c r="D372" s="3154">
        <v>38.130000000000003</v>
      </c>
      <c r="E372" s="3155">
        <v>11.69</v>
      </c>
      <c r="F372" s="3150" t="s">
        <v>4273</v>
      </c>
    </row>
    <row r="373" spans="1:6">
      <c r="A373" s="3150">
        <v>371</v>
      </c>
      <c r="B373" s="3154" t="s">
        <v>3514</v>
      </c>
      <c r="C373" s="3154" t="s">
        <v>3884</v>
      </c>
      <c r="D373" s="3154">
        <v>36.56</v>
      </c>
      <c r="E373" s="3155">
        <v>11.21</v>
      </c>
      <c r="F373" s="3150" t="s">
        <v>4273</v>
      </c>
    </row>
    <row r="374" spans="1:6">
      <c r="A374" s="3150">
        <v>372</v>
      </c>
      <c r="B374" s="3154" t="s">
        <v>3514</v>
      </c>
      <c r="C374" s="3154" t="s">
        <v>3885</v>
      </c>
      <c r="D374" s="3154">
        <v>36.56</v>
      </c>
      <c r="E374" s="3155">
        <v>11.21</v>
      </c>
      <c r="F374" s="3150" t="s">
        <v>4273</v>
      </c>
    </row>
    <row r="375" spans="1:6">
      <c r="A375" s="3150">
        <v>373</v>
      </c>
      <c r="B375" s="3154" t="s">
        <v>3514</v>
      </c>
      <c r="C375" s="3154" t="s">
        <v>3886</v>
      </c>
      <c r="D375" s="3154">
        <v>38.130000000000003</v>
      </c>
      <c r="E375" s="3155">
        <v>11.69</v>
      </c>
      <c r="F375" s="3150" t="s">
        <v>4273</v>
      </c>
    </row>
    <row r="376" spans="1:6">
      <c r="A376" s="3150">
        <v>374</v>
      </c>
      <c r="B376" s="3154" t="s">
        <v>3514</v>
      </c>
      <c r="C376" s="3154" t="s">
        <v>3887</v>
      </c>
      <c r="D376" s="3154">
        <v>36.56</v>
      </c>
      <c r="E376" s="3155">
        <v>11.21</v>
      </c>
      <c r="F376" s="3150" t="s">
        <v>4273</v>
      </c>
    </row>
    <row r="377" spans="1:6">
      <c r="A377" s="3150">
        <v>375</v>
      </c>
      <c r="B377" s="3154" t="s">
        <v>3514</v>
      </c>
      <c r="C377" s="3154" t="s">
        <v>3888</v>
      </c>
      <c r="D377" s="3154">
        <v>36.56</v>
      </c>
      <c r="E377" s="3155">
        <v>11.21</v>
      </c>
      <c r="F377" s="3150" t="s">
        <v>4273</v>
      </c>
    </row>
    <row r="378" spans="1:6">
      <c r="A378" s="3150">
        <v>376</v>
      </c>
      <c r="B378" s="3154" t="s">
        <v>3514</v>
      </c>
      <c r="C378" s="3154" t="s">
        <v>3889</v>
      </c>
      <c r="D378" s="3154">
        <v>38.130000000000003</v>
      </c>
      <c r="E378" s="3155">
        <v>11.69</v>
      </c>
      <c r="F378" s="3150" t="s">
        <v>4273</v>
      </c>
    </row>
    <row r="379" spans="1:6">
      <c r="A379" s="3150">
        <v>377</v>
      </c>
      <c r="B379" s="3154" t="s">
        <v>3514</v>
      </c>
      <c r="C379" s="3154" t="s">
        <v>3890</v>
      </c>
      <c r="D379" s="3154">
        <v>36.56</v>
      </c>
      <c r="E379" s="3155">
        <v>11.21</v>
      </c>
      <c r="F379" s="3150" t="s">
        <v>4273</v>
      </c>
    </row>
    <row r="380" spans="1:6">
      <c r="A380" s="3150">
        <v>378</v>
      </c>
      <c r="B380" s="3154" t="s">
        <v>3514</v>
      </c>
      <c r="C380" s="3154" t="s">
        <v>3891</v>
      </c>
      <c r="D380" s="3154">
        <v>36.56</v>
      </c>
      <c r="E380" s="3155">
        <v>11.21</v>
      </c>
      <c r="F380" s="3150" t="s">
        <v>4273</v>
      </c>
    </row>
    <row r="381" spans="1:6">
      <c r="A381" s="3150">
        <v>379</v>
      </c>
      <c r="B381" s="3154" t="s">
        <v>3514</v>
      </c>
      <c r="C381" s="3154" t="s">
        <v>3892</v>
      </c>
      <c r="D381" s="3154">
        <v>38.130000000000003</v>
      </c>
      <c r="E381" s="3155">
        <v>11.69</v>
      </c>
      <c r="F381" s="3150" t="s">
        <v>4273</v>
      </c>
    </row>
    <row r="382" spans="1:6">
      <c r="A382" s="3150">
        <v>380</v>
      </c>
      <c r="B382" s="3154" t="s">
        <v>3514</v>
      </c>
      <c r="C382" s="3154" t="s">
        <v>3893</v>
      </c>
      <c r="D382" s="3154">
        <v>36.56</v>
      </c>
      <c r="E382" s="3155">
        <v>11.21</v>
      </c>
      <c r="F382" s="3150" t="s">
        <v>4273</v>
      </c>
    </row>
    <row r="383" spans="1:6">
      <c r="A383" s="3150">
        <v>381</v>
      </c>
      <c r="B383" s="3154" t="s">
        <v>3514</v>
      </c>
      <c r="C383" s="3154" t="s">
        <v>3894</v>
      </c>
      <c r="D383" s="3154">
        <v>36.56</v>
      </c>
      <c r="E383" s="3155">
        <v>11.21</v>
      </c>
      <c r="F383" s="3150" t="s">
        <v>4273</v>
      </c>
    </row>
    <row r="384" spans="1:6">
      <c r="A384" s="3150">
        <v>382</v>
      </c>
      <c r="B384" s="3154" t="s">
        <v>3514</v>
      </c>
      <c r="C384" s="3154" t="s">
        <v>3895</v>
      </c>
      <c r="D384" s="3154">
        <v>36.56</v>
      </c>
      <c r="E384" s="3155">
        <v>11.21</v>
      </c>
      <c r="F384" s="3150" t="s">
        <v>4273</v>
      </c>
    </row>
    <row r="385" spans="1:6">
      <c r="A385" s="3150">
        <v>383</v>
      </c>
      <c r="B385" s="3154" t="s">
        <v>3514</v>
      </c>
      <c r="C385" s="3154" t="s">
        <v>3896</v>
      </c>
      <c r="D385" s="3154">
        <v>36.56</v>
      </c>
      <c r="E385" s="3155">
        <v>11.21</v>
      </c>
      <c r="F385" s="3150" t="s">
        <v>4273</v>
      </c>
    </row>
    <row r="386" spans="1:6">
      <c r="A386" s="3150">
        <v>384</v>
      </c>
      <c r="B386" s="3154" t="s">
        <v>3514</v>
      </c>
      <c r="C386" s="3154" t="s">
        <v>3897</v>
      </c>
      <c r="D386" s="3154">
        <v>38.130000000000003</v>
      </c>
      <c r="E386" s="3155">
        <v>11.69</v>
      </c>
      <c r="F386" s="3150" t="s">
        <v>4273</v>
      </c>
    </row>
    <row r="387" spans="1:6">
      <c r="A387" s="3150">
        <v>385</v>
      </c>
      <c r="B387" s="3154" t="s">
        <v>3514</v>
      </c>
      <c r="C387" s="3154" t="s">
        <v>3898</v>
      </c>
      <c r="D387" s="3154">
        <v>36.56</v>
      </c>
      <c r="E387" s="3155">
        <v>11.21</v>
      </c>
      <c r="F387" s="3150" t="s">
        <v>4273</v>
      </c>
    </row>
    <row r="388" spans="1:6">
      <c r="A388" s="3150">
        <v>386</v>
      </c>
      <c r="B388" s="3154" t="s">
        <v>3514</v>
      </c>
      <c r="C388" s="3154" t="s">
        <v>3899</v>
      </c>
      <c r="D388" s="3154">
        <v>36.56</v>
      </c>
      <c r="E388" s="3155">
        <v>11.21</v>
      </c>
      <c r="F388" s="3150" t="s">
        <v>4273</v>
      </c>
    </row>
    <row r="389" spans="1:6">
      <c r="A389" s="3150">
        <v>387</v>
      </c>
      <c r="B389" s="3154" t="s">
        <v>3514</v>
      </c>
      <c r="C389" s="3154" t="s">
        <v>3900</v>
      </c>
      <c r="D389" s="3154">
        <v>38.130000000000003</v>
      </c>
      <c r="E389" s="3155">
        <v>11.69</v>
      </c>
      <c r="F389" s="3150" t="s">
        <v>4273</v>
      </c>
    </row>
    <row r="390" spans="1:6">
      <c r="A390" s="3150">
        <v>388</v>
      </c>
      <c r="B390" s="3154" t="s">
        <v>3514</v>
      </c>
      <c r="C390" s="3154" t="s">
        <v>3901</v>
      </c>
      <c r="D390" s="3154">
        <v>36.56</v>
      </c>
      <c r="E390" s="3155">
        <v>11.21</v>
      </c>
      <c r="F390" s="3150" t="s">
        <v>4273</v>
      </c>
    </row>
    <row r="391" spans="1:6">
      <c r="A391" s="3150">
        <v>389</v>
      </c>
      <c r="B391" s="3154" t="s">
        <v>3514</v>
      </c>
      <c r="C391" s="3154" t="s">
        <v>3902</v>
      </c>
      <c r="D391" s="3154">
        <v>36.56</v>
      </c>
      <c r="E391" s="3155">
        <v>11.21</v>
      </c>
      <c r="F391" s="3150" t="s">
        <v>4273</v>
      </c>
    </row>
    <row r="392" spans="1:6">
      <c r="A392" s="3150">
        <v>390</v>
      </c>
      <c r="B392" s="3154" t="s">
        <v>3514</v>
      </c>
      <c r="C392" s="3154" t="s">
        <v>3903</v>
      </c>
      <c r="D392" s="3154">
        <v>36.56</v>
      </c>
      <c r="E392" s="3155">
        <v>11.21</v>
      </c>
      <c r="F392" s="3150" t="s">
        <v>4273</v>
      </c>
    </row>
    <row r="393" spans="1:6">
      <c r="A393" s="3150">
        <v>391</v>
      </c>
      <c r="B393" s="3154" t="s">
        <v>3514</v>
      </c>
      <c r="C393" s="3154" t="s">
        <v>3904</v>
      </c>
      <c r="D393" s="3154">
        <v>38.130000000000003</v>
      </c>
      <c r="E393" s="3155">
        <v>11.69</v>
      </c>
      <c r="F393" s="3150" t="s">
        <v>4273</v>
      </c>
    </row>
    <row r="394" spans="1:6">
      <c r="A394" s="3150">
        <v>392</v>
      </c>
      <c r="B394" s="3154" t="s">
        <v>3514</v>
      </c>
      <c r="C394" s="3154" t="s">
        <v>3905</v>
      </c>
      <c r="D394" s="3154">
        <v>36.56</v>
      </c>
      <c r="E394" s="3155">
        <v>11.21</v>
      </c>
      <c r="F394" s="3150" t="s">
        <v>4273</v>
      </c>
    </row>
    <row r="395" spans="1:6">
      <c r="A395" s="3150">
        <v>393</v>
      </c>
      <c r="B395" s="3154" t="s">
        <v>3514</v>
      </c>
      <c r="C395" s="3154" t="s">
        <v>3906</v>
      </c>
      <c r="D395" s="3154">
        <v>36.56</v>
      </c>
      <c r="E395" s="3155">
        <v>11.21</v>
      </c>
      <c r="F395" s="3150" t="s">
        <v>4273</v>
      </c>
    </row>
    <row r="396" spans="1:6">
      <c r="A396" s="3150">
        <v>394</v>
      </c>
      <c r="B396" s="3154" t="s">
        <v>3514</v>
      </c>
      <c r="C396" s="3154" t="s">
        <v>3907</v>
      </c>
      <c r="D396" s="3154">
        <v>36.56</v>
      </c>
      <c r="E396" s="3155">
        <v>11.21</v>
      </c>
      <c r="F396" s="3150" t="s">
        <v>4273</v>
      </c>
    </row>
    <row r="397" spans="1:6">
      <c r="A397" s="3150">
        <v>395</v>
      </c>
      <c r="B397" s="3154" t="s">
        <v>3514</v>
      </c>
      <c r="C397" s="3154" t="s">
        <v>3908</v>
      </c>
      <c r="D397" s="3154">
        <v>36.56</v>
      </c>
      <c r="E397" s="3155">
        <v>11.21</v>
      </c>
      <c r="F397" s="3150" t="s">
        <v>4273</v>
      </c>
    </row>
    <row r="398" spans="1:6">
      <c r="A398" s="3150">
        <v>396</v>
      </c>
      <c r="B398" s="3154" t="s">
        <v>3514</v>
      </c>
      <c r="C398" s="3154" t="s">
        <v>3909</v>
      </c>
      <c r="D398" s="3154">
        <v>36.56</v>
      </c>
      <c r="E398" s="3155">
        <v>11.21</v>
      </c>
      <c r="F398" s="3150" t="s">
        <v>4273</v>
      </c>
    </row>
    <row r="399" spans="1:6">
      <c r="A399" s="3150">
        <v>397</v>
      </c>
      <c r="B399" s="3154" t="s">
        <v>3514</v>
      </c>
      <c r="C399" s="3154" t="s">
        <v>3910</v>
      </c>
      <c r="D399" s="3154">
        <v>36.56</v>
      </c>
      <c r="E399" s="3155">
        <v>11.21</v>
      </c>
      <c r="F399" s="3150" t="s">
        <v>4273</v>
      </c>
    </row>
    <row r="400" spans="1:6">
      <c r="A400" s="3150">
        <v>398</v>
      </c>
      <c r="B400" s="3154" t="s">
        <v>3514</v>
      </c>
      <c r="C400" s="3154" t="s">
        <v>3911</v>
      </c>
      <c r="D400" s="3154">
        <v>38.130000000000003</v>
      </c>
      <c r="E400" s="3155">
        <v>11.69</v>
      </c>
      <c r="F400" s="3150" t="s">
        <v>4273</v>
      </c>
    </row>
    <row r="401" spans="1:6">
      <c r="A401" s="3150">
        <v>399</v>
      </c>
      <c r="B401" s="3154" t="s">
        <v>3514</v>
      </c>
      <c r="C401" s="3154" t="s">
        <v>3912</v>
      </c>
      <c r="D401" s="3154">
        <v>36.56</v>
      </c>
      <c r="E401" s="3155">
        <v>11.21</v>
      </c>
      <c r="F401" s="3150" t="s">
        <v>4273</v>
      </c>
    </row>
    <row r="402" spans="1:6">
      <c r="A402" s="3150">
        <v>400</v>
      </c>
      <c r="B402" s="3154" t="s">
        <v>3514</v>
      </c>
      <c r="C402" s="3154" t="s">
        <v>3913</v>
      </c>
      <c r="D402" s="3154">
        <v>36.56</v>
      </c>
      <c r="E402" s="3155">
        <v>11.21</v>
      </c>
      <c r="F402" s="3150" t="s">
        <v>4273</v>
      </c>
    </row>
    <row r="403" spans="1:6">
      <c r="A403" s="3150">
        <v>401</v>
      </c>
      <c r="B403" s="3154" t="s">
        <v>3514</v>
      </c>
      <c r="C403" s="3154" t="s">
        <v>3914</v>
      </c>
      <c r="D403" s="3154">
        <v>36.56</v>
      </c>
      <c r="E403" s="3155">
        <v>11.21</v>
      </c>
      <c r="F403" s="3150" t="s">
        <v>4273</v>
      </c>
    </row>
    <row r="404" spans="1:6">
      <c r="A404" s="3150">
        <v>402</v>
      </c>
      <c r="B404" s="3154" t="s">
        <v>3514</v>
      </c>
      <c r="C404" s="3154" t="s">
        <v>3915</v>
      </c>
      <c r="D404" s="3154">
        <v>36.56</v>
      </c>
      <c r="E404" s="3155">
        <v>11.21</v>
      </c>
      <c r="F404" s="3150" t="s">
        <v>4273</v>
      </c>
    </row>
    <row r="405" spans="1:6">
      <c r="A405" s="3150">
        <v>403</v>
      </c>
      <c r="B405" s="3154" t="s">
        <v>3514</v>
      </c>
      <c r="C405" s="3154" t="s">
        <v>3916</v>
      </c>
      <c r="D405" s="3154">
        <v>36.56</v>
      </c>
      <c r="E405" s="3155">
        <v>11.21</v>
      </c>
      <c r="F405" s="3150" t="s">
        <v>4273</v>
      </c>
    </row>
    <row r="406" spans="1:6">
      <c r="A406" s="3150">
        <v>404</v>
      </c>
      <c r="B406" s="3154" t="s">
        <v>3514</v>
      </c>
      <c r="C406" s="3154" t="s">
        <v>3917</v>
      </c>
      <c r="D406" s="3154">
        <v>36.56</v>
      </c>
      <c r="E406" s="3155">
        <v>11.21</v>
      </c>
      <c r="F406" s="3150" t="s">
        <v>4273</v>
      </c>
    </row>
    <row r="407" spans="1:6">
      <c r="A407" s="3150">
        <v>405</v>
      </c>
      <c r="B407" s="3154" t="s">
        <v>3514</v>
      </c>
      <c r="C407" s="3154" t="s">
        <v>3918</v>
      </c>
      <c r="D407" s="3154">
        <v>38.130000000000003</v>
      </c>
      <c r="E407" s="3155">
        <v>11.69</v>
      </c>
      <c r="F407" s="3150" t="s">
        <v>4273</v>
      </c>
    </row>
    <row r="408" spans="1:6">
      <c r="A408" s="3150">
        <v>406</v>
      </c>
      <c r="B408" s="3154" t="s">
        <v>3514</v>
      </c>
      <c r="C408" s="3154" t="s">
        <v>3919</v>
      </c>
      <c r="D408" s="3154">
        <v>36.56</v>
      </c>
      <c r="E408" s="3155">
        <v>11.21</v>
      </c>
      <c r="F408" s="3150" t="s">
        <v>4273</v>
      </c>
    </row>
    <row r="409" spans="1:6">
      <c r="A409" s="3150">
        <v>407</v>
      </c>
      <c r="B409" s="3154" t="s">
        <v>3514</v>
      </c>
      <c r="C409" s="3154" t="s">
        <v>3920</v>
      </c>
      <c r="D409" s="3154">
        <v>36.56</v>
      </c>
      <c r="E409" s="3155">
        <v>11.21</v>
      </c>
      <c r="F409" s="3150" t="s">
        <v>4273</v>
      </c>
    </row>
    <row r="410" spans="1:6">
      <c r="A410" s="3150">
        <v>408</v>
      </c>
      <c r="B410" s="3154" t="s">
        <v>3514</v>
      </c>
      <c r="C410" s="3154" t="s">
        <v>3921</v>
      </c>
      <c r="D410" s="3154">
        <v>38.130000000000003</v>
      </c>
      <c r="E410" s="3155">
        <v>11.69</v>
      </c>
      <c r="F410" s="3150" t="s">
        <v>4273</v>
      </c>
    </row>
    <row r="411" spans="1:6">
      <c r="A411" s="3150">
        <v>409</v>
      </c>
      <c r="B411" s="3154" t="s">
        <v>3514</v>
      </c>
      <c r="C411" s="3154" t="s">
        <v>3922</v>
      </c>
      <c r="D411" s="3154">
        <v>36.56</v>
      </c>
      <c r="E411" s="3155">
        <v>11.21</v>
      </c>
      <c r="F411" s="3150" t="s">
        <v>4273</v>
      </c>
    </row>
    <row r="412" spans="1:6">
      <c r="A412" s="3150">
        <v>410</v>
      </c>
      <c r="B412" s="3154" t="s">
        <v>3514</v>
      </c>
      <c r="C412" s="3154" t="s">
        <v>3923</v>
      </c>
      <c r="D412" s="3154">
        <v>36.56</v>
      </c>
      <c r="E412" s="3155">
        <v>11.21</v>
      </c>
      <c r="F412" s="3150" t="s">
        <v>4273</v>
      </c>
    </row>
    <row r="413" spans="1:6">
      <c r="A413" s="3150">
        <v>411</v>
      </c>
      <c r="B413" s="3154" t="s">
        <v>3514</v>
      </c>
      <c r="C413" s="3154" t="s">
        <v>3924</v>
      </c>
      <c r="D413" s="3154">
        <v>38.130000000000003</v>
      </c>
      <c r="E413" s="3155">
        <v>11.69</v>
      </c>
      <c r="F413" s="3150" t="s">
        <v>4273</v>
      </c>
    </row>
    <row r="414" spans="1:6">
      <c r="A414" s="3150">
        <v>412</v>
      </c>
      <c r="B414" s="3154" t="s">
        <v>3514</v>
      </c>
      <c r="C414" s="3154" t="s">
        <v>3925</v>
      </c>
      <c r="D414" s="3154">
        <v>36.56</v>
      </c>
      <c r="E414" s="3155">
        <v>11.21</v>
      </c>
      <c r="F414" s="3150" t="s">
        <v>4273</v>
      </c>
    </row>
    <row r="415" spans="1:6">
      <c r="A415" s="3150">
        <v>413</v>
      </c>
      <c r="B415" s="3154" t="s">
        <v>3514</v>
      </c>
      <c r="C415" s="3154" t="s">
        <v>3926</v>
      </c>
      <c r="D415" s="3154">
        <v>36.56</v>
      </c>
      <c r="E415" s="3155">
        <v>11.21</v>
      </c>
      <c r="F415" s="3150" t="s">
        <v>4273</v>
      </c>
    </row>
    <row r="416" spans="1:6">
      <c r="A416" s="3150">
        <v>414</v>
      </c>
      <c r="B416" s="3154" t="s">
        <v>3514</v>
      </c>
      <c r="C416" s="3154" t="s">
        <v>3927</v>
      </c>
      <c r="D416" s="3154">
        <v>38.130000000000003</v>
      </c>
      <c r="E416" s="3155">
        <v>11.69</v>
      </c>
      <c r="F416" s="3150" t="s">
        <v>4273</v>
      </c>
    </row>
    <row r="417" spans="1:6">
      <c r="A417" s="3150">
        <v>415</v>
      </c>
      <c r="B417" s="3154" t="s">
        <v>3514</v>
      </c>
      <c r="C417" s="3154" t="s">
        <v>3928</v>
      </c>
      <c r="D417" s="3154">
        <v>36.56</v>
      </c>
      <c r="E417" s="3155">
        <v>11.21</v>
      </c>
      <c r="F417" s="3150" t="s">
        <v>4273</v>
      </c>
    </row>
    <row r="418" spans="1:6">
      <c r="A418" s="3150">
        <v>416</v>
      </c>
      <c r="B418" s="3154" t="s">
        <v>3514</v>
      </c>
      <c r="C418" s="3154" t="s">
        <v>3929</v>
      </c>
      <c r="D418" s="3154">
        <v>36.56</v>
      </c>
      <c r="E418" s="3155">
        <v>11.21</v>
      </c>
      <c r="F418" s="3150" t="s">
        <v>4273</v>
      </c>
    </row>
    <row r="419" spans="1:6">
      <c r="A419" s="3150">
        <v>417</v>
      </c>
      <c r="B419" s="3154" t="s">
        <v>3514</v>
      </c>
      <c r="C419" s="3154" t="s">
        <v>3930</v>
      </c>
      <c r="D419" s="3154">
        <v>38.130000000000003</v>
      </c>
      <c r="E419" s="3155">
        <v>11.69</v>
      </c>
      <c r="F419" s="3150" t="s">
        <v>4273</v>
      </c>
    </row>
    <row r="420" spans="1:6">
      <c r="A420" s="3150">
        <v>418</v>
      </c>
      <c r="B420" s="3154" t="s">
        <v>3514</v>
      </c>
      <c r="C420" s="3154" t="s">
        <v>3931</v>
      </c>
      <c r="D420" s="3154">
        <v>36.56</v>
      </c>
      <c r="E420" s="3155">
        <v>11.21</v>
      </c>
      <c r="F420" s="3150" t="s">
        <v>4273</v>
      </c>
    </row>
    <row r="421" spans="1:6">
      <c r="A421" s="3150">
        <v>419</v>
      </c>
      <c r="B421" s="3154" t="s">
        <v>3514</v>
      </c>
      <c r="C421" s="3154" t="s">
        <v>3932</v>
      </c>
      <c r="D421" s="3154">
        <v>36.56</v>
      </c>
      <c r="E421" s="3155">
        <v>11.21</v>
      </c>
      <c r="F421" s="3150" t="s">
        <v>4273</v>
      </c>
    </row>
    <row r="422" spans="1:6">
      <c r="A422" s="3150">
        <v>420</v>
      </c>
      <c r="B422" s="3154" t="s">
        <v>3514</v>
      </c>
      <c r="C422" s="3154" t="s">
        <v>3933</v>
      </c>
      <c r="D422" s="3154">
        <v>36.56</v>
      </c>
      <c r="E422" s="3155">
        <v>11.21</v>
      </c>
      <c r="F422" s="3150" t="s">
        <v>4273</v>
      </c>
    </row>
    <row r="423" spans="1:6">
      <c r="A423" s="3150">
        <v>421</v>
      </c>
      <c r="B423" s="3154" t="s">
        <v>3514</v>
      </c>
      <c r="C423" s="3154">
        <v>-101</v>
      </c>
      <c r="D423" s="3154">
        <v>7514.68</v>
      </c>
      <c r="E423" s="3155">
        <v>2304.17</v>
      </c>
      <c r="F423" s="3150" t="s">
        <v>4277</v>
      </c>
    </row>
    <row r="424" spans="1:6" ht="14.25" customHeight="1">
      <c r="A424" s="3150" t="s">
        <v>4275</v>
      </c>
      <c r="B424" s="3154"/>
      <c r="C424" s="3154"/>
      <c r="D424" s="3155">
        <f>SUM(D3:D423)</f>
        <v>66017.299999998999</v>
      </c>
      <c r="E424" s="3155">
        <f>ROUND(SUM(E3:E423),2)</f>
        <v>20242.14</v>
      </c>
      <c r="F424" s="3150"/>
    </row>
    <row r="425" spans="1:6" ht="14.25" customHeight="1">
      <c r="A425" s="3156" t="s">
        <v>4278</v>
      </c>
      <c r="B425" s="3152"/>
      <c r="C425" s="3152"/>
      <c r="D425" s="3153">
        <f>D3+D423</f>
        <v>50377.97</v>
      </c>
      <c r="E425" s="3153">
        <f>E3+E423</f>
        <v>15447</v>
      </c>
    </row>
    <row r="426" spans="1:6" ht="14.25" customHeight="1">
      <c r="A426" s="3156" t="s">
        <v>4279</v>
      </c>
      <c r="D426" s="3156">
        <f>SUM(D4:D422)</f>
        <v>15639.329999999913</v>
      </c>
      <c r="E426" s="3156">
        <f>SUM(E4:E422)</f>
        <v>4795.1400000000076</v>
      </c>
    </row>
    <row r="427" spans="1:6">
      <c r="A427" s="3156" t="s">
        <v>4280</v>
      </c>
      <c r="D427" s="3156">
        <f>D426+D423</f>
        <v>23154.009999999915</v>
      </c>
      <c r="E427" s="3156">
        <f>E426+E423</f>
        <v>7099.3100000000077</v>
      </c>
    </row>
    <row r="766" spans="7:7">
      <c r="G766" s="3156">
        <f>L342-L341-L3</f>
        <v>14328.12000000017</v>
      </c>
    </row>
    <row r="771" spans="5:5">
      <c r="E771" s="3156">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G11" sqref="G11:G12"/>
    </sheetView>
  </sheetViews>
  <sheetFormatPr defaultRowHeight="13.5"/>
  <cols>
    <col min="2" max="2" width="16.625" customWidth="1"/>
  </cols>
  <sheetData>
    <row r="3" spans="2:5">
      <c r="C3" s="1404" t="s">
        <v>4360</v>
      </c>
    </row>
    <row r="4" spans="2:5">
      <c r="B4" s="1404" t="s">
        <v>4359</v>
      </c>
      <c r="C4">
        <f>ROUND(57993139.41/10000,0)</f>
        <v>5799</v>
      </c>
    </row>
    <row r="5" spans="2:5">
      <c r="B5" s="1404" t="s">
        <v>4361</v>
      </c>
      <c r="C5">
        <f>ROUND(161652154.56/10000,0)</f>
        <v>16165</v>
      </c>
    </row>
    <row r="6" spans="2:5">
      <c r="B6" s="1404" t="s">
        <v>4362</v>
      </c>
      <c r="C6">
        <f>ROUND(176487889.98/10000,0)</f>
        <v>17649</v>
      </c>
    </row>
    <row r="7" spans="2:5">
      <c r="B7" s="1404" t="s">
        <v>4363</v>
      </c>
      <c r="C7">
        <f>ROUND(100695233.97/10000,0)</f>
        <v>10070</v>
      </c>
    </row>
    <row r="8" spans="2:5">
      <c r="E8" s="1404"/>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27" sqref="AL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11"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8.875" style="1560" customWidth="1"/>
    <col min="23" max="30" width="6.75" style="1560" customWidth="1"/>
    <col min="31" max="31" width="8" style="1560" customWidth="1"/>
    <col min="32" max="33" width="7.25" style="1560" customWidth="1"/>
    <col min="34" max="34" width="10.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4">
        <f>项目基本情况!D3</f>
        <v>45604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4308</v>
      </c>
      <c r="O5" s="1576" t="s">
        <v>1180</v>
      </c>
      <c r="P5" s="1579" t="s">
        <v>1181</v>
      </c>
      <c r="Q5" s="58" t="s">
        <v>1182</v>
      </c>
      <c r="R5" s="1580" t="s">
        <v>1183</v>
      </c>
      <c r="S5" s="1581" t="s">
        <v>1184</v>
      </c>
      <c r="T5" s="1582" t="s">
        <v>1185</v>
      </c>
      <c r="U5" s="985" t="s">
        <v>1186</v>
      </c>
      <c r="V5" s="504" t="s">
        <v>1187</v>
      </c>
      <c r="W5" s="504" t="s">
        <v>1188</v>
      </c>
      <c r="X5" s="60"/>
      <c r="Y5" s="59" t="s">
        <v>1189</v>
      </c>
      <c r="Z5" s="1100" t="s">
        <v>1186</v>
      </c>
      <c r="AA5" s="504" t="s">
        <v>1187</v>
      </c>
      <c r="AB5" s="504" t="s">
        <v>1188</v>
      </c>
      <c r="AC5" s="60"/>
      <c r="AD5" s="60" t="s">
        <v>1189</v>
      </c>
      <c r="AE5" s="985" t="s">
        <v>1190</v>
      </c>
      <c r="AF5" s="504" t="s">
        <v>1191</v>
      </c>
      <c r="AG5" s="59" t="s">
        <v>1192</v>
      </c>
      <c r="AH5" s="985" t="s">
        <v>1193</v>
      </c>
      <c r="AI5" s="1100" t="s">
        <v>1194</v>
      </c>
      <c r="AJ5" s="1100" t="s">
        <v>1195</v>
      </c>
      <c r="AK5" s="504" t="s">
        <v>1196</v>
      </c>
      <c r="AL5" s="504" t="s">
        <v>1197</v>
      </c>
      <c r="AM5" s="59" t="s">
        <v>1198</v>
      </c>
      <c r="AN5" s="1583" t="s">
        <v>1199</v>
      </c>
      <c r="AO5" s="1453" t="s">
        <v>1200</v>
      </c>
      <c r="AP5" s="968"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商业综合体</v>
      </c>
      <c r="B6" s="1586" t="str">
        <f>IF(A6=0,"","经营性")</f>
        <v>经营性</v>
      </c>
      <c r="C6" s="1587" t="s">
        <v>672</v>
      </c>
      <c r="D6" s="805">
        <f>SUMIF(项目基本情况!C$12:I$12,C6,项目基本情况!C$14:I$14)</f>
        <v>40</v>
      </c>
      <c r="E6" s="804">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91">
        <v>0.05</v>
      </c>
      <c r="I6" s="691">
        <v>0.06</v>
      </c>
      <c r="J6" s="63">
        <v>7.4999999999999997E-2</v>
      </c>
      <c r="K6" s="970">
        <f>SUMIF('数据-汇总表'!C$19:C$33,A6,'数据-汇总表'!E$19:E$33)</f>
        <v>68049.77999999997</v>
      </c>
      <c r="L6" s="692">
        <v>5200</v>
      </c>
      <c r="M6" s="64">
        <f t="shared" ref="M6:M14" si="0">ROUND(K6*L6/10000,0)</f>
        <v>35386</v>
      </c>
      <c r="N6" s="690">
        <f>ROUND(1-(1-0%)*(2024-N18)/60,2)</f>
        <v>0.95</v>
      </c>
      <c r="O6" s="64" t="str">
        <f>IF($N$5="成新度","——",ROUND(M6*N6,0))</f>
        <v>——</v>
      </c>
      <c r="P6" s="65" t="str">
        <f>IF($N$5="成新度","——",M6-O6)</f>
        <v>——</v>
      </c>
      <c r="Q6" s="3517">
        <v>0.25</v>
      </c>
      <c r="R6" s="66">
        <f ca="1">SUMIF('数据-汇总表'!C$19:C$33,A6,'数据-汇总表'!R$19:R$27)</f>
        <v>15742.02</v>
      </c>
      <c r="S6" s="49">
        <f>IF('数据-汇总表'!$I$17="按面积比例",SUMIF('数据-汇总表'!C$19:C$33,A6,'数据-汇总表'!K$19:K$33),SUMIF('数据-汇总表'!C$19:C$33,A6,'数据-汇总表'!N$19:N$33))</f>
        <v>0</v>
      </c>
      <c r="T6" s="1092">
        <f>ROUND($L$14*S6/10000,0)</f>
        <v>0</v>
      </c>
      <c r="U6" s="3518">
        <v>4</v>
      </c>
      <c r="V6" s="67">
        <v>0</v>
      </c>
      <c r="W6" s="67">
        <v>0.1</v>
      </c>
      <c r="X6" s="979"/>
      <c r="Y6" s="68">
        <f>N6</f>
        <v>0.95</v>
      </c>
      <c r="Z6" s="69"/>
      <c r="AA6" s="63"/>
      <c r="AB6" s="63"/>
      <c r="AC6" s="979"/>
      <c r="AD6" s="70"/>
      <c r="AE6" s="980">
        <f ca="1">IF(AN6="",0,SUMIF(INDIRECT("'"&amp;AN6&amp;"'"&amp;"!E:E"),$AE$5,INDIRECT("'"&amp;AN6&amp;"'"&amp;"!F:F")))</f>
        <v>32.15</v>
      </c>
      <c r="AF6" s="74"/>
      <c r="AG6" s="130">
        <f>IF(AF6="",0,AE6-AF6)</f>
        <v>0</v>
      </c>
      <c r="AH6" s="71"/>
      <c r="AI6" s="73">
        <v>365</v>
      </c>
      <c r="AJ6" s="74"/>
      <c r="AK6" s="75">
        <v>6.0000000000000001E-3</v>
      </c>
      <c r="AL6" s="76">
        <v>1E-3</v>
      </c>
      <c r="AM6" s="77">
        <v>1.4999999999999999E-2</v>
      </c>
      <c r="AN6" s="1588" t="s">
        <v>4322</v>
      </c>
      <c r="AO6" s="50">
        <f ca="1">SUMIF(INDIRECT("'"&amp;AN6&amp;"'"&amp;"!A:A"),"总价",INDIRECT("'"&amp;AN6&amp;"'"&amp;"!B:B"))</f>
        <v>99875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1204</v>
      </c>
      <c r="B14" s="1586" t="s">
        <v>1205</v>
      </c>
      <c r="C14" s="1591"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3"/>
      <c r="D16" s="1593"/>
      <c r="E16" s="82"/>
      <c r="F16" s="82"/>
      <c r="G16" s="83">
        <f>ROUND(SUMPRODUCT(G6:G13,K6:K13)/SUMPRODUCT((G6:G13&gt;0)*(K6:K13)),3)</f>
        <v>0.92300000000000004</v>
      </c>
      <c r="H16" s="84">
        <f>ROUND(SUMPRODUCT(H6:H13,K6:K13)/SUMPRODUCT((H6:H13&gt;0)*(K6:K13)),3)</f>
        <v>0.05</v>
      </c>
      <c r="I16" s="85"/>
      <c r="J16" s="85"/>
      <c r="K16" s="86">
        <f>SUM(K6:K15)</f>
        <v>68049.77999999997</v>
      </c>
      <c r="L16" s="87">
        <f>ROUND(M16*10000/SUM(K6:K14),0)</f>
        <v>5200</v>
      </c>
      <c r="M16" s="87">
        <f>SUM(M6:M14)</f>
        <v>35386</v>
      </c>
      <c r="N16" s="88">
        <f>ROUND(SUMPRODUCT(M6:M14,N6:N14)/M16,3)</f>
        <v>0.95</v>
      </c>
      <c r="O16" s="87">
        <f>SUM(O6:O14)</f>
        <v>0</v>
      </c>
      <c r="P16" s="87">
        <f>SUM(P6:P14)</f>
        <v>0</v>
      </c>
      <c r="Q16" s="89">
        <f>ROUND(SUMPRODUCT(Q6:Q13,K6:K13)/SUMPRODUCT((Q6:Q13&gt;0)*(K6:K13)),2)</f>
        <v>0.25</v>
      </c>
      <c r="R16" s="974">
        <f ca="1">SUM(R6:R13)</f>
        <v>15742.02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v>5</v>
      </c>
      <c r="I18" s="2438">
        <v>6</v>
      </c>
      <c r="J18" s="2438">
        <v>7.5</v>
      </c>
      <c r="K18" s="2449"/>
      <c r="L18" s="2449">
        <v>5200</v>
      </c>
      <c r="M18" s="2448"/>
      <c r="N18" s="2448">
        <v>2021</v>
      </c>
      <c r="O18" s="2448"/>
      <c r="P18" s="2448"/>
      <c r="Q18" s="2448">
        <v>30</v>
      </c>
      <c r="R18" s="2448"/>
      <c r="S18" s="2448"/>
      <c r="T18" s="2448"/>
      <c r="U18" s="2448">
        <v>5</v>
      </c>
      <c r="V18" s="2448"/>
      <c r="W18" s="2448"/>
      <c r="X18" s="2448"/>
      <c r="Y18" s="2448"/>
      <c r="Z18" s="2448"/>
      <c r="AA18" s="2448"/>
      <c r="AB18" s="2448"/>
      <c r="AC18" s="2448"/>
      <c r="AD18" s="2448"/>
      <c r="AE18" s="2448"/>
      <c r="AF18" s="2448"/>
      <c r="AG18" s="2448"/>
      <c r="AH18" s="2448">
        <v>53721.66</v>
      </c>
      <c r="AI18" s="2448"/>
      <c r="AJ18" s="2448"/>
      <c r="AK18" s="2448">
        <v>1</v>
      </c>
      <c r="AL18" s="2448">
        <v>0.1</v>
      </c>
      <c r="AM18" s="2448">
        <v>2</v>
      </c>
      <c r="AN18" s="2448"/>
      <c r="AO18" s="2448"/>
      <c r="AP18" s="2448"/>
      <c r="AQ18" s="2448"/>
      <c r="AR18" s="2448"/>
    </row>
    <row r="19" spans="1:44" ht="14.25">
      <c r="A19" s="1595" t="s">
        <v>1210</v>
      </c>
      <c r="B19" s="97">
        <v>0</v>
      </c>
      <c r="C19" s="2560" t="s">
        <v>2298</v>
      </c>
      <c r="D19" s="2451"/>
      <c r="E19" s="2438"/>
      <c r="F19" s="2438"/>
      <c r="G19" s="2438"/>
      <c r="H19" s="2438"/>
      <c r="I19" s="2438"/>
      <c r="J19" s="2438"/>
      <c r="K19" s="2449"/>
      <c r="L19" s="2449"/>
      <c r="M19" s="2448"/>
      <c r="N19" s="2448"/>
      <c r="O19" s="2448"/>
      <c r="P19" s="2448"/>
      <c r="Q19" s="2448">
        <f>Q16/B20</f>
        <v>8.3333333333333329E-2</v>
      </c>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3</v>
      </c>
      <c r="C20" s="2561" t="s">
        <v>2296</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f>B20</f>
        <v>3</v>
      </c>
      <c r="C21" s="2438"/>
      <c r="D21" s="2451"/>
      <c r="E21" s="2438">
        <v>3</v>
      </c>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3</v>
      </c>
      <c r="C22" s="2438"/>
      <c r="D22" s="2451"/>
      <c r="E22" s="2438"/>
      <c r="F22" s="2438"/>
      <c r="G22" s="2438"/>
      <c r="H22" s="2438"/>
      <c r="I22" s="2438"/>
      <c r="J22" s="2438"/>
      <c r="K22" s="2449"/>
      <c r="L22" s="2449"/>
      <c r="M22" s="2448"/>
      <c r="N22" s="2448"/>
      <c r="O22" s="2448"/>
      <c r="P22" s="2448"/>
      <c r="Q22" s="2448"/>
      <c r="R22" s="3158" t="s">
        <v>4309</v>
      </c>
      <c r="S22" s="3158" t="s">
        <v>4370</v>
      </c>
      <c r="T22" s="3158" t="s">
        <v>4310</v>
      </c>
      <c r="U22" s="3158" t="s">
        <v>4311</v>
      </c>
      <c r="V22" s="2449"/>
      <c r="W22" s="2449"/>
      <c r="X22" s="2449"/>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3</v>
      </c>
      <c r="C23" s="2438"/>
      <c r="D23" s="2451"/>
      <c r="E23" s="2438"/>
      <c r="F23" s="2438"/>
      <c r="G23" s="2438"/>
      <c r="H23" s="2438"/>
      <c r="I23" s="2438"/>
      <c r="J23" s="2438"/>
      <c r="K23" s="2449"/>
      <c r="L23" s="2449"/>
      <c r="M23" s="2448"/>
      <c r="N23" s="2448"/>
      <c r="O23" s="2448"/>
      <c r="P23" s="2448"/>
      <c r="Q23" s="2448"/>
      <c r="R23" s="2449">
        <v>1</v>
      </c>
      <c r="S23" s="2449">
        <f>面积指标!I20</f>
        <v>8714.39</v>
      </c>
      <c r="T23" s="2449">
        <v>1</v>
      </c>
      <c r="U23" s="2449">
        <v>7</v>
      </c>
      <c r="V23" s="2449">
        <f>S23*U23</f>
        <v>61000.729999999996</v>
      </c>
      <c r="W23" s="2449"/>
      <c r="X23" s="2449">
        <v>8</v>
      </c>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49" t="s">
        <v>4365</v>
      </c>
      <c r="K24" s="3158" t="s">
        <v>4298</v>
      </c>
      <c r="L24" s="3165" t="s">
        <v>4299</v>
      </c>
      <c r="M24" s="3165" t="s">
        <v>4300</v>
      </c>
      <c r="N24" s="2448"/>
      <c r="O24" s="2448"/>
      <c r="P24" s="2448"/>
      <c r="Q24" s="2448"/>
      <c r="R24" s="2449">
        <v>2</v>
      </c>
      <c r="S24" s="2449">
        <f>面积指标!I21</f>
        <v>8586.61</v>
      </c>
      <c r="T24" s="2449">
        <v>0.75</v>
      </c>
      <c r="U24" s="2449">
        <f>$U$23*T24</f>
        <v>5.25</v>
      </c>
      <c r="V24" s="2449">
        <f t="shared" ref="V24:V29" si="12">S24*U24</f>
        <v>45079.702499999999</v>
      </c>
      <c r="W24" s="2449"/>
      <c r="X24" s="2449"/>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3161" t="s">
        <v>4301</v>
      </c>
      <c r="K25" s="3162"/>
      <c r="L25" s="3162">
        <f>ROUND(M31/K26,0)</f>
        <v>4925</v>
      </c>
      <c r="M25" s="3162"/>
      <c r="N25" s="2448"/>
      <c r="O25" s="2448"/>
      <c r="P25" s="2448"/>
      <c r="Q25" s="2448"/>
      <c r="R25" s="2449">
        <v>3</v>
      </c>
      <c r="S25" s="2449">
        <f>面积指标!I22</f>
        <v>8708.4500000000007</v>
      </c>
      <c r="T25" s="2449">
        <v>0.65</v>
      </c>
      <c r="U25" s="2449">
        <f t="shared" ref="U25:U29" si="13">$U$23*T25</f>
        <v>4.55</v>
      </c>
      <c r="V25" s="2449">
        <f t="shared" si="12"/>
        <v>39623.447500000002</v>
      </c>
      <c r="W25" s="2449"/>
      <c r="X25" s="2449"/>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3163" t="s">
        <v>4302</v>
      </c>
      <c r="K26" s="3164">
        <f>K27+K28</f>
        <v>79648.209999999992</v>
      </c>
      <c r="L26" s="3164">
        <f>ROUND(M26/K26,0)</f>
        <v>3225</v>
      </c>
      <c r="M26" s="3164">
        <f>M27+M28</f>
        <v>256894117</v>
      </c>
      <c r="N26" s="3160"/>
      <c r="O26" s="2448"/>
      <c r="P26" s="2448"/>
      <c r="Q26" s="2448"/>
      <c r="R26" s="2449">
        <v>4</v>
      </c>
      <c r="S26" s="2449">
        <f>面积指标!I23</f>
        <v>8552.11</v>
      </c>
      <c r="T26" s="2449">
        <v>0.6</v>
      </c>
      <c r="U26" s="2449">
        <f t="shared" si="13"/>
        <v>4.2</v>
      </c>
      <c r="V26" s="2449">
        <f t="shared" si="12"/>
        <v>35918.862000000001</v>
      </c>
      <c r="W26" s="2449"/>
      <c r="X26" s="2449"/>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150</v>
      </c>
      <c r="C27" s="2562" t="s">
        <v>2300</v>
      </c>
      <c r="D27" s="2454"/>
      <c r="E27" s="2439"/>
      <c r="F27" s="2439"/>
      <c r="G27" s="2438"/>
      <c r="H27" s="2438"/>
      <c r="I27" s="2438"/>
      <c r="J27" s="3163" t="s">
        <v>4303</v>
      </c>
      <c r="K27" s="3164">
        <f>面积指标!I28</f>
        <v>44140.36</v>
      </c>
      <c r="L27" s="3164">
        <v>2200</v>
      </c>
      <c r="M27" s="3164">
        <f>L27*K27</f>
        <v>97108792</v>
      </c>
      <c r="N27" s="2448"/>
      <c r="O27" s="2448"/>
      <c r="P27" s="2448"/>
      <c r="Q27" s="2448"/>
      <c r="R27" s="2449">
        <v>5</v>
      </c>
      <c r="S27" s="2449">
        <f>面积指标!I24</f>
        <v>7982.25</v>
      </c>
      <c r="T27" s="2449">
        <f>T26</f>
        <v>0.6</v>
      </c>
      <c r="U27" s="2449">
        <f t="shared" si="13"/>
        <v>4.2</v>
      </c>
      <c r="V27" s="2449">
        <f t="shared" si="12"/>
        <v>33525.450000000004</v>
      </c>
      <c r="W27" s="2449"/>
      <c r="X27" s="2449"/>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190</v>
      </c>
      <c r="C28" s="2455"/>
      <c r="D28" s="2454"/>
      <c r="E28" s="2439"/>
      <c r="F28" s="2439"/>
      <c r="G28" s="2438"/>
      <c r="H28" s="2438"/>
      <c r="I28" s="2438"/>
      <c r="J28" s="3163" t="s">
        <v>4304</v>
      </c>
      <c r="K28" s="3166">
        <f>面积指标!D25+面积指标!D28</f>
        <v>35507.85</v>
      </c>
      <c r="L28" s="3164">
        <v>4500</v>
      </c>
      <c r="M28" s="3164">
        <f t="shared" ref="M28:M30" si="14">L28*K28</f>
        <v>159785325</v>
      </c>
      <c r="N28" s="2448"/>
      <c r="O28" s="2448"/>
      <c r="P28" s="2448"/>
      <c r="Q28" s="2448"/>
      <c r="R28" s="2449">
        <v>6</v>
      </c>
      <c r="S28" s="2449">
        <f>面积指标!I25+面积指标!I26+面积指标!I27</f>
        <v>1596.5500000000002</v>
      </c>
      <c r="T28" s="2449">
        <f>T26</f>
        <v>0.6</v>
      </c>
      <c r="U28" s="2449">
        <f t="shared" si="13"/>
        <v>4.2</v>
      </c>
      <c r="V28" s="2449">
        <f t="shared" si="12"/>
        <v>6705.5100000000011</v>
      </c>
      <c r="W28" s="2449"/>
      <c r="X28" s="2449"/>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成本法!C10</f>
        <v>1293</v>
      </c>
      <c r="C29" s="2563" t="s">
        <v>2289</v>
      </c>
      <c r="D29" s="2454"/>
      <c r="E29" s="2439"/>
      <c r="F29" s="2439"/>
      <c r="G29" s="2438"/>
      <c r="H29" s="2438"/>
      <c r="I29" s="2438"/>
      <c r="J29" s="3163" t="s">
        <v>4305</v>
      </c>
      <c r="K29" s="3164">
        <f>K26</f>
        <v>79648.209999999992</v>
      </c>
      <c r="L29" s="3164">
        <v>400</v>
      </c>
      <c r="M29" s="3164">
        <f t="shared" si="14"/>
        <v>31859283.999999996</v>
      </c>
      <c r="N29" s="2448"/>
      <c r="O29" s="2448"/>
      <c r="P29" s="2448"/>
      <c r="Q29" s="2448"/>
      <c r="R29" s="3169" t="s">
        <v>4313</v>
      </c>
      <c r="S29" s="2449">
        <f>面积指标!D21</f>
        <v>9581.2999999999993</v>
      </c>
      <c r="T29" s="2449">
        <v>0.7</v>
      </c>
      <c r="U29" s="2449">
        <f t="shared" si="13"/>
        <v>4.8999999999999995</v>
      </c>
      <c r="V29" s="2449">
        <f t="shared" si="12"/>
        <v>46948.369999999988</v>
      </c>
      <c r="W29" s="2449"/>
      <c r="X29" s="2449"/>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8">
        <v>200</v>
      </c>
      <c r="C30" s="2455"/>
      <c r="D30" s="2454"/>
      <c r="E30" s="2439"/>
      <c r="F30" s="2439"/>
      <c r="G30" s="2438"/>
      <c r="H30" s="2438"/>
      <c r="I30" s="2438"/>
      <c r="J30" s="3163" t="s">
        <v>4306</v>
      </c>
      <c r="K30" s="3164">
        <f>K26</f>
        <v>79648.209999999992</v>
      </c>
      <c r="L30" s="3164">
        <v>1300</v>
      </c>
      <c r="M30" s="3164">
        <f t="shared" si="14"/>
        <v>103542672.99999999</v>
      </c>
      <c r="N30" s="2448"/>
      <c r="O30" s="2448"/>
      <c r="P30" s="2448"/>
      <c r="Q30" s="2448"/>
      <c r="R30" s="3158" t="s">
        <v>4300</v>
      </c>
      <c r="S30" s="2449">
        <f>S23+S24+S25+S26+S27+S28+S29</f>
        <v>53721.66</v>
      </c>
      <c r="T30" s="2449"/>
      <c r="U30" s="2449">
        <f>ROUND(V30/S30,1)</f>
        <v>5</v>
      </c>
      <c r="V30" s="2449">
        <f t="shared" ref="V30" si="15">V23+V24+V25+V26+V27+V28+V29</f>
        <v>268802.07199999999</v>
      </c>
      <c r="W30" s="2449"/>
      <c r="X30" s="2449"/>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3161" t="s">
        <v>4307</v>
      </c>
      <c r="K31" s="3159">
        <f>K16</f>
        <v>68049.77999999997</v>
      </c>
      <c r="L31" s="3162">
        <f>ROUND(M31/K31,0)</f>
        <v>5765</v>
      </c>
      <c r="M31" s="3162">
        <f>M26+M29+M30</f>
        <v>392296074</v>
      </c>
      <c r="N31" s="2448"/>
      <c r="O31" s="2448"/>
      <c r="P31" s="2448"/>
      <c r="Q31" s="2448"/>
      <c r="R31" s="2449"/>
      <c r="S31" s="2449"/>
      <c r="T31" s="2449"/>
      <c r="U31" s="2449"/>
      <c r="V31" s="2449"/>
      <c r="W31" s="2449"/>
      <c r="X31" s="2449"/>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9"/>
      <c r="C32" s="2455"/>
      <c r="D32" s="2451"/>
      <c r="E32" s="2438"/>
      <c r="F32" s="2438"/>
      <c r="G32" s="2438"/>
      <c r="H32" s="2438"/>
      <c r="I32" s="2438"/>
      <c r="J32" s="3167"/>
      <c r="K32" s="3168"/>
      <c r="L32" s="3168"/>
      <c r="M32" s="3168"/>
      <c r="N32" s="2448"/>
      <c r="O32" s="2448"/>
      <c r="P32" s="2448"/>
      <c r="Q32" s="2448"/>
      <c r="R32" s="3158"/>
      <c r="S32" s="3158" t="s">
        <v>4312</v>
      </c>
      <c r="T32" s="3158" t="s">
        <v>4315</v>
      </c>
      <c r="U32" s="3158" t="s">
        <v>4311</v>
      </c>
      <c r="V32" s="2449"/>
      <c r="W32" s="3158" t="s">
        <v>4317</v>
      </c>
      <c r="X32" s="2449"/>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40">
        <v>0.05</v>
      </c>
      <c r="C33" s="2564" t="s">
        <v>3373</v>
      </c>
      <c r="D33" s="2451"/>
      <c r="E33" s="2438">
        <v>5</v>
      </c>
      <c r="F33" s="2438"/>
      <c r="G33" s="2438"/>
      <c r="H33" s="2438"/>
      <c r="I33" s="2438"/>
      <c r="J33" s="2438"/>
      <c r="K33" s="2449"/>
      <c r="L33" s="2449"/>
      <c r="M33" s="2448"/>
      <c r="N33" s="2448"/>
      <c r="O33" s="2448"/>
      <c r="P33" s="2448"/>
      <c r="Q33" s="2448"/>
      <c r="R33" s="3158" t="s">
        <v>4314</v>
      </c>
      <c r="S33" s="2449">
        <f>面积指标!D20</f>
        <v>14328.11999999997</v>
      </c>
      <c r="T33" s="2449">
        <f>面积指标!E20</f>
        <v>337</v>
      </c>
      <c r="U33" s="2449">
        <f>ROUND(600/W33/30,1)</f>
        <v>0.5</v>
      </c>
      <c r="V33" s="2449">
        <f>U33*S33</f>
        <v>7164.0599999999849</v>
      </c>
      <c r="W33" s="2449">
        <f>ROUND(S33/T33,0)</f>
        <v>43</v>
      </c>
      <c r="X33" s="2449"/>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2297</v>
      </c>
      <c r="E34" s="2457"/>
      <c r="F34" s="2438"/>
      <c r="G34" s="2438"/>
      <c r="H34" s="2438"/>
      <c r="I34" s="2438"/>
      <c r="J34" s="2438"/>
      <c r="K34" s="2449"/>
      <c r="L34" s="2449"/>
      <c r="M34" s="2448"/>
      <c r="N34" s="2448"/>
      <c r="O34" s="2448"/>
      <c r="P34" s="2448"/>
      <c r="Q34" s="2448"/>
      <c r="R34" s="3169" t="s">
        <v>4316</v>
      </c>
      <c r="S34" s="2449">
        <f>S30+S33</f>
        <v>68049.77999999997</v>
      </c>
      <c r="T34" s="2449"/>
      <c r="U34" s="2449">
        <f>ROUND(V34/S34,1)</f>
        <v>4.0999999999999996</v>
      </c>
      <c r="V34" s="2449">
        <f>V30+V33</f>
        <v>275966.13199999998</v>
      </c>
      <c r="W34" s="2449"/>
      <c r="X34" s="2449"/>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9"/>
      <c r="S35" s="2449"/>
      <c r="T35" s="2449"/>
      <c r="U35" s="2449"/>
      <c r="V35" s="2449"/>
      <c r="W35" s="2449"/>
      <c r="X35" s="2449"/>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0.03</v>
      </c>
      <c r="C36" s="2564" t="s">
        <v>3374</v>
      </c>
      <c r="D36" s="2451"/>
      <c r="E36" s="2438">
        <v>1.5</v>
      </c>
      <c r="F36" s="2438"/>
      <c r="G36" s="2438"/>
      <c r="H36" s="2438"/>
      <c r="I36" s="2438"/>
      <c r="J36" s="2438"/>
      <c r="K36" s="2449"/>
      <c r="L36" s="2449"/>
      <c r="M36" s="2448"/>
      <c r="N36" s="2448"/>
      <c r="O36" s="2448"/>
      <c r="P36" s="2448"/>
      <c r="Q36" s="2448"/>
      <c r="R36" s="2449"/>
      <c r="S36" s="2449"/>
      <c r="T36" s="2449"/>
      <c r="U36" s="2449"/>
      <c r="V36" s="2449"/>
      <c r="W36" s="2449"/>
      <c r="X36" s="2449"/>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0.03</v>
      </c>
      <c r="C37" s="2564" t="s">
        <v>2292</v>
      </c>
      <c r="D37" s="2451"/>
      <c r="E37" s="2438">
        <v>3</v>
      </c>
      <c r="F37" s="2438"/>
      <c r="G37" s="2438"/>
      <c r="H37" s="2438"/>
      <c r="I37" s="2438"/>
      <c r="J37" s="2438"/>
      <c r="K37" s="2449"/>
      <c r="L37" s="2449"/>
      <c r="M37" s="2448"/>
      <c r="N37" s="2448"/>
      <c r="O37" s="2448"/>
      <c r="P37" s="2448"/>
      <c r="Q37" s="2448"/>
      <c r="R37" s="2449"/>
      <c r="S37" s="2449"/>
      <c r="T37" s="2449"/>
      <c r="U37" s="2449"/>
      <c r="V37" s="2449"/>
      <c r="W37" s="2449"/>
      <c r="X37" s="2449"/>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0.03</v>
      </c>
      <c r="C38" s="2564" t="s">
        <v>2292</v>
      </c>
      <c r="D38" s="2451"/>
      <c r="E38" s="2438">
        <v>3</v>
      </c>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2307</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2301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2293</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2294</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2302</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2293</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2295</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29</v>
      </c>
      <c r="C53" s="2439" t="s">
        <v>1245</v>
      </c>
      <c r="D53" s="2565" t="s">
        <v>2299</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8" t="s">
        <v>2281</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2276</v>
      </c>
      <c r="D2" s="1594"/>
      <c r="E2" s="2259"/>
      <c r="F2" s="2262"/>
      <c r="G2" s="2261" t="s">
        <v>2277</v>
      </c>
      <c r="H2" s="751"/>
      <c r="I2" s="751"/>
      <c r="J2" s="751"/>
      <c r="K2" s="751"/>
      <c r="L2" s="751"/>
      <c r="M2" s="751"/>
      <c r="N2" s="751"/>
      <c r="O2" s="751"/>
      <c r="P2" s="751"/>
      <c r="Q2" s="751"/>
    </row>
    <row r="3" spans="1:29" ht="48">
      <c r="A3" s="2246" t="s">
        <v>2278</v>
      </c>
      <c r="B3" s="2263" t="s">
        <v>2247</v>
      </c>
      <c r="C3" s="2264" t="s">
        <v>2279</v>
      </c>
      <c r="D3" s="2265"/>
      <c r="E3" s="2247" t="s">
        <v>2278</v>
      </c>
      <c r="F3" s="2266" t="s">
        <v>2248</v>
      </c>
      <c r="G3" s="2267" t="s">
        <v>2280</v>
      </c>
      <c r="H3" s="751"/>
      <c r="I3" s="751"/>
      <c r="J3" s="751"/>
      <c r="K3" s="751"/>
      <c r="L3" s="751"/>
      <c r="M3" s="751"/>
      <c r="N3" s="751"/>
      <c r="O3" s="751"/>
      <c r="P3" s="751"/>
      <c r="Q3" s="751"/>
    </row>
    <row r="4" spans="1:29" ht="36.75">
      <c r="A4" s="2247"/>
      <c r="B4" s="315" t="s">
        <v>2249</v>
      </c>
      <c r="C4" s="2268" t="s">
        <v>2250</v>
      </c>
      <c r="D4" s="2265"/>
      <c r="E4" s="2269"/>
      <c r="F4" s="1280" t="s">
        <v>2251</v>
      </c>
      <c r="G4" s="2270" t="s">
        <v>2252</v>
      </c>
      <c r="H4" s="751"/>
      <c r="I4" s="751"/>
      <c r="J4" s="751"/>
      <c r="K4" s="751"/>
      <c r="L4" s="751"/>
      <c r="M4" s="751"/>
      <c r="N4" s="751"/>
      <c r="O4" s="751"/>
      <c r="P4" s="751"/>
      <c r="Q4" s="751"/>
    </row>
    <row r="5" spans="1:29" ht="36.75">
      <c r="A5" s="2247"/>
      <c r="B5" s="315" t="s">
        <v>2253</v>
      </c>
      <c r="C5" s="2268" t="s">
        <v>2254</v>
      </c>
      <c r="D5" s="2265"/>
      <c r="E5" s="2269"/>
      <c r="F5" s="315" t="s">
        <v>2255</v>
      </c>
      <c r="G5" s="2270" t="s">
        <v>2256</v>
      </c>
      <c r="H5" s="751"/>
      <c r="I5" s="751"/>
      <c r="J5" s="751"/>
      <c r="K5" s="751"/>
      <c r="L5" s="751"/>
      <c r="M5" s="751"/>
      <c r="N5" s="751"/>
      <c r="O5" s="751"/>
      <c r="P5" s="751"/>
      <c r="Q5" s="751"/>
    </row>
    <row r="6" spans="1:29" ht="36">
      <c r="A6" s="2247"/>
      <c r="B6" s="315" t="s">
        <v>2257</v>
      </c>
      <c r="C6" s="2270" t="s">
        <v>2252</v>
      </c>
      <c r="D6" s="2265"/>
      <c r="E6" s="2269"/>
      <c r="F6" s="315" t="s">
        <v>2258</v>
      </c>
      <c r="G6" s="2270" t="s">
        <v>2259</v>
      </c>
      <c r="H6" s="751"/>
      <c r="I6" s="751"/>
      <c r="J6" s="751"/>
      <c r="K6" s="751"/>
      <c r="L6" s="751"/>
      <c r="M6" s="751"/>
      <c r="N6" s="751"/>
      <c r="O6" s="751"/>
      <c r="P6" s="751"/>
      <c r="Q6" s="751"/>
    </row>
    <row r="7" spans="1:29" ht="24.75" thickBot="1">
      <c r="A7" s="2247"/>
      <c r="B7" s="315" t="s">
        <v>2255</v>
      </c>
      <c r="C7" s="2270" t="s">
        <v>2256</v>
      </c>
      <c r="D7" s="2244"/>
      <c r="E7" s="2271"/>
      <c r="F7" s="2272" t="s">
        <v>2260</v>
      </c>
      <c r="G7" s="2273" t="s">
        <v>2261</v>
      </c>
      <c r="H7" s="751"/>
      <c r="I7" s="751"/>
      <c r="J7" s="751"/>
      <c r="K7" s="751"/>
      <c r="L7" s="751"/>
      <c r="M7" s="751"/>
      <c r="N7" s="751"/>
      <c r="O7" s="751"/>
      <c r="P7" s="751"/>
      <c r="Q7" s="751"/>
    </row>
    <row r="8" spans="1:29">
      <c r="A8" s="2247"/>
      <c r="B8" s="315" t="s">
        <v>2258</v>
      </c>
      <c r="C8" s="2270" t="s">
        <v>2259</v>
      </c>
      <c r="D8" s="2244"/>
      <c r="E8" s="2244"/>
      <c r="F8" s="121"/>
      <c r="G8" s="121"/>
      <c r="H8" s="751"/>
      <c r="I8" s="751"/>
      <c r="J8" s="751"/>
      <c r="K8" s="751"/>
      <c r="L8" s="751"/>
      <c r="M8" s="751"/>
      <c r="N8" s="751"/>
      <c r="O8" s="751"/>
      <c r="P8" s="751"/>
      <c r="Q8" s="751"/>
    </row>
    <row r="9" spans="1:29" ht="24">
      <c r="A9" s="2247"/>
      <c r="B9" s="315" t="s">
        <v>2262</v>
      </c>
      <c r="C9" s="2268" t="s">
        <v>2263</v>
      </c>
      <c r="D9" s="2265"/>
      <c r="E9" s="2244"/>
      <c r="F9" s="121"/>
      <c r="G9" s="121"/>
      <c r="H9" s="751"/>
      <c r="I9" s="751"/>
      <c r="J9" s="751"/>
      <c r="K9" s="751"/>
      <c r="L9" s="751"/>
      <c r="M9" s="751"/>
      <c r="N9" s="751"/>
      <c r="O9" s="751"/>
      <c r="P9" s="751"/>
      <c r="Q9" s="751"/>
    </row>
    <row r="10" spans="1:29" ht="15" thickBot="1">
      <c r="A10" s="2248"/>
      <c r="B10" s="2274" t="s">
        <v>2264</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2265</v>
      </c>
      <c r="D14" s="2265"/>
      <c r="E14" s="2286"/>
      <c r="F14" s="2286"/>
      <c r="G14" s="2261" t="s">
        <v>2266</v>
      </c>
    </row>
    <row r="15" spans="1:29" ht="51">
      <c r="A15" s="2249" t="s">
        <v>2267</v>
      </c>
      <c r="B15" s="2287" t="s">
        <v>2247</v>
      </c>
      <c r="C15" s="2288" t="str">
        <f>C3</f>
        <v>估价对象周边居住用地比例、居住小区规模和社区发展完善程度，综合评价居住社区成熟度一般</v>
      </c>
      <c r="D15" s="2265"/>
      <c r="E15" s="2250" t="s">
        <v>2268</v>
      </c>
      <c r="F15" s="2287" t="s">
        <v>2269</v>
      </c>
      <c r="G15" s="2289" t="str">
        <f>G3</f>
        <v>估价对象位于XX开发区，园区建设成熟度XX，产业集聚程度XX</v>
      </c>
    </row>
    <row r="16" spans="1:29" ht="38.25">
      <c r="A16" s="2251"/>
      <c r="B16" s="2290" t="s">
        <v>2249</v>
      </c>
      <c r="C16" s="2291" t="str">
        <f>C4</f>
        <v>估价对象位于XX商圈，周边商业氛围成熟，人流量大，商业繁华度好</v>
      </c>
      <c r="D16" s="2265"/>
      <c r="E16" s="2252"/>
      <c r="F16" s="2292" t="s">
        <v>2251</v>
      </c>
      <c r="G16" s="2293" t="str">
        <f>G4</f>
        <v>估价对象周边道路状况、公共交通通达情况、停车便捷程度，综合评价交通便捷度较好</v>
      </c>
    </row>
    <row r="17" spans="1:17" ht="38.25">
      <c r="A17" s="2251"/>
      <c r="B17" s="2290" t="s">
        <v>2253</v>
      </c>
      <c r="C17" s="2291" t="str">
        <f>C5</f>
        <v>估价对象位于XX商圈，周边办公楼项目较多，入驻率高，办公集聚程度较好</v>
      </c>
      <c r="D17" s="2244"/>
      <c r="E17" s="2252"/>
      <c r="F17" s="2292" t="s">
        <v>2270</v>
      </c>
      <c r="G17" s="2294"/>
    </row>
    <row r="18" spans="1:17" ht="38.25">
      <c r="A18" s="2251"/>
      <c r="B18" s="2292" t="s">
        <v>2257</v>
      </c>
      <c r="C18" s="2293" t="str">
        <f>C6</f>
        <v>估价对象周边道路状况、公共交通通达情况、停车便捷程度，综合评价交通便捷度较好</v>
      </c>
      <c r="D18" s="2244"/>
      <c r="E18" s="2252"/>
      <c r="F18" s="2292" t="s">
        <v>2260</v>
      </c>
      <c r="G18" s="2293" t="str">
        <f>G7</f>
        <v>该园区内是否有污染型企业，绿化情况，卫生条件，整体环境状况判断</v>
      </c>
    </row>
    <row r="19" spans="1:17" ht="25.5">
      <c r="A19" s="2251"/>
      <c r="B19" s="2292" t="s">
        <v>2271</v>
      </c>
      <c r="C19" s="2294"/>
      <c r="D19" s="2265"/>
      <c r="E19" s="2252"/>
      <c r="F19" s="315" t="s">
        <v>2255</v>
      </c>
      <c r="G19" s="2293" t="str">
        <f>G5</f>
        <v>估价对象所在区域公共配套设施齐备情况</v>
      </c>
    </row>
    <row r="20" spans="1:17" ht="25.5">
      <c r="A20" s="2251"/>
      <c r="B20" s="2292" t="s">
        <v>2272</v>
      </c>
      <c r="C20" s="2291" t="str">
        <f>C9</f>
        <v>区域自然环境：；人文环境；综合评价环境状况一般</v>
      </c>
      <c r="D20" s="2244"/>
      <c r="E20" s="2252"/>
      <c r="F20" s="315" t="s">
        <v>2258</v>
      </c>
      <c r="G20" s="2293" t="str">
        <f>G6</f>
        <v>估价对象所在区域基础设施水平</v>
      </c>
    </row>
    <row r="21" spans="1:17" ht="25.5">
      <c r="A21" s="2251"/>
      <c r="B21" s="315" t="s">
        <v>2255</v>
      </c>
      <c r="C21" s="2293" t="str">
        <f>C7</f>
        <v>估价对象所在区域公共配套设施齐备情况</v>
      </c>
      <c r="D21" s="2265"/>
      <c r="E21" s="2252"/>
      <c r="F21" s="2292" t="s">
        <v>2273</v>
      </c>
      <c r="G21" s="2295"/>
    </row>
    <row r="22" spans="1:17" ht="13.5" customHeight="1">
      <c r="A22" s="2251"/>
      <c r="B22" s="315" t="s">
        <v>2258</v>
      </c>
      <c r="C22" s="2293" t="str">
        <f>C8</f>
        <v>估价对象所在区域基础设施水平</v>
      </c>
      <c r="D22" s="2265"/>
      <c r="E22" s="2252"/>
      <c r="F22" s="2292" t="s">
        <v>2264</v>
      </c>
      <c r="G22" s="2294"/>
    </row>
    <row r="23" spans="1:17" s="751" customFormat="1" ht="15" thickBot="1">
      <c r="A23" s="2251"/>
      <c r="B23" s="2292" t="s">
        <v>2273</v>
      </c>
      <c r="C23" s="2295"/>
      <c r="D23" s="1613"/>
      <c r="E23" s="2253"/>
      <c r="F23" s="2296" t="s">
        <v>2274</v>
      </c>
      <c r="G23" s="2297"/>
      <c r="H23" s="2276"/>
      <c r="I23" s="2276"/>
      <c r="J23" s="2276"/>
      <c r="K23" s="2276"/>
      <c r="L23" s="2276"/>
      <c r="M23" s="2276"/>
      <c r="N23" s="2276"/>
      <c r="O23" s="2276"/>
      <c r="P23" s="2276"/>
      <c r="Q23" s="2276"/>
    </row>
    <row r="24" spans="1:17" s="751" customFormat="1" ht="15" thickBot="1">
      <c r="A24" s="2254"/>
      <c r="B24" s="2296" t="s">
        <v>2275</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北京市房地产抵押价值预评估</v>
      </c>
      <c r="C37" s="3179"/>
      <c r="D37" s="3179"/>
      <c r="E37" s="3179"/>
      <c r="F37" s="3179"/>
      <c r="G37" s="3179"/>
      <c r="H37" s="3179"/>
      <c r="I37" s="317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30" sqref="G30"/>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68049.77999999997</v>
      </c>
      <c r="C1" s="2461"/>
      <c r="D1" s="2461"/>
      <c r="E1" s="2461"/>
      <c r="F1" s="2461"/>
      <c r="G1" s="2462"/>
      <c r="H1" s="2462"/>
      <c r="I1" s="2462"/>
      <c r="J1" s="2462"/>
      <c r="K1" s="2462"/>
    </row>
    <row r="2" spans="1:11" ht="16.5">
      <c r="A2" s="2299" t="s">
        <v>652</v>
      </c>
      <c r="B2" s="2299">
        <f>SUM(C14:C23)</f>
        <v>15742.02</v>
      </c>
      <c r="C2" s="2461"/>
      <c r="D2" s="2461"/>
      <c r="E2" s="2461"/>
      <c r="F2" s="2461"/>
      <c r="G2" s="2462"/>
      <c r="H2" s="2462"/>
      <c r="I2" s="2462"/>
      <c r="J2" s="2462"/>
      <c r="K2" s="2462"/>
    </row>
    <row r="3" spans="1:11" ht="16.5">
      <c r="A3" s="2299" t="s">
        <v>661</v>
      </c>
      <c r="B3" s="2301">
        <f>项目基本情况!D3</f>
        <v>45604</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127561</v>
      </c>
      <c r="C5" s="2299">
        <f ca="1">IF(B5=D14,结果表!H102,ROUND(B5*10000/$B$1,0))</f>
        <v>18745</v>
      </c>
      <c r="D5" s="2299">
        <f ca="1">ROUND(B5*10000/$B$2,0)</f>
        <v>81032</v>
      </c>
      <c r="E5" s="2461"/>
      <c r="F5" s="2462"/>
      <c r="G5" s="2462"/>
      <c r="H5" s="2462"/>
      <c r="I5" s="2462"/>
      <c r="J5" s="2462"/>
      <c r="K5" s="2462"/>
    </row>
    <row r="6" spans="1:11" ht="16.5">
      <c r="A6" s="2299" t="s">
        <v>655</v>
      </c>
      <c r="B6" s="2299">
        <f ca="1">SUM(G14:G23)</f>
        <v>127561</v>
      </c>
      <c r="C6" s="2299">
        <f ca="1">IF(B6=G14,结果表!H108,ROUND(B6*10000/$B$1,0))</f>
        <v>18745</v>
      </c>
      <c r="D6" s="2299">
        <f ca="1">ROUND(B6*10000/$B$2,0)</f>
        <v>81032</v>
      </c>
      <c r="E6" s="2461">
        <v>257326</v>
      </c>
      <c r="F6" s="2462"/>
      <c r="G6" s="2462"/>
      <c r="H6" s="2462"/>
      <c r="I6" s="2462"/>
      <c r="J6" s="2462"/>
      <c r="K6" s="2462"/>
    </row>
    <row r="7" spans="1:11" ht="16.5">
      <c r="A7" s="2299" t="s">
        <v>663</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3353</v>
      </c>
      <c r="D10" s="2299" t="s">
        <v>3354</v>
      </c>
      <c r="E10" s="3136"/>
      <c r="F10" s="3140" t="s">
        <v>3355</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f>J14+J15</f>
        <v>257326</v>
      </c>
      <c r="K13" s="2462"/>
    </row>
    <row r="14" spans="1:11" ht="16.5">
      <c r="A14" s="2304" t="s">
        <v>4282</v>
      </c>
      <c r="B14" s="2305">
        <f>结果表!B118</f>
        <v>68049.77999999997</v>
      </c>
      <c r="C14" s="2305">
        <f>结果表!C118</f>
        <v>15742.02</v>
      </c>
      <c r="D14" s="2305">
        <f ca="1">结果表!H101</f>
        <v>127561</v>
      </c>
      <c r="E14" s="2305">
        <f ca="1">ROUND(D14*10000/B14,0)</f>
        <v>18745</v>
      </c>
      <c r="F14" s="2305">
        <f ca="1">ROUND(D14*10000/C14,0)</f>
        <v>81032</v>
      </c>
      <c r="G14" s="2305">
        <f ca="1">结果表!H107</f>
        <v>127561</v>
      </c>
      <c r="H14" s="2305"/>
      <c r="I14" s="2305"/>
      <c r="J14" s="2462">
        <v>125772</v>
      </c>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v>131554</v>
      </c>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30" sqref="G13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1261</v>
      </c>
      <c r="B1" s="646"/>
      <c r="C1" s="1619"/>
      <c r="D1" s="646"/>
      <c r="E1" s="646"/>
      <c r="F1" s="1620" t="s">
        <v>1262</v>
      </c>
      <c r="G1" s="1452"/>
      <c r="H1" s="1620" t="str">
        <f>IF(G1="现房","——","估价对象范围")</f>
        <v>估价对象范围</v>
      </c>
      <c r="I1" s="1621"/>
    </row>
    <row r="2" spans="1:12" ht="21.75" customHeight="1" thickBot="1">
      <c r="A2" s="3337" t="str">
        <f>项目基本情况!S2</f>
        <v>北京市房地产</v>
      </c>
      <c r="B2" s="3338"/>
      <c r="C2" s="3338"/>
      <c r="D2" s="3338"/>
      <c r="E2" s="3338"/>
      <c r="F2" s="3338"/>
      <c r="G2" s="3338"/>
      <c r="H2" s="3338"/>
      <c r="I2" s="3339"/>
    </row>
    <row r="3" spans="1:12" ht="12.75">
      <c r="A3" s="3341" t="s">
        <v>1263</v>
      </c>
      <c r="B3" s="3342"/>
      <c r="C3" s="3342"/>
      <c r="D3" s="3342"/>
      <c r="E3" s="3342"/>
      <c r="F3" s="3342"/>
      <c r="G3" s="3342"/>
      <c r="H3" s="3342"/>
      <c r="I3" s="3342"/>
    </row>
    <row r="4" spans="1:12" ht="14.25">
      <c r="A4" s="1623" t="s">
        <v>1264</v>
      </c>
      <c r="B4" s="1624" t="s">
        <v>1265</v>
      </c>
      <c r="C4" s="1625" t="s">
        <v>4358</v>
      </c>
      <c r="D4" s="1625" t="s">
        <v>4322</v>
      </c>
      <c r="E4" s="3346" t="s">
        <v>1266</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1267</v>
      </c>
      <c r="B5" s="3340">
        <v>25</v>
      </c>
      <c r="C5" s="3343"/>
      <c r="D5" s="3331"/>
      <c r="E5" s="123" t="s">
        <v>1268</v>
      </c>
      <c r="F5" s="1626"/>
      <c r="G5" s="1626"/>
      <c r="H5" s="1626"/>
      <c r="I5" s="1280"/>
    </row>
    <row r="6" spans="1:12" ht="12.75">
      <c r="A6" s="3285"/>
      <c r="B6" s="3340"/>
      <c r="C6" s="3345"/>
      <c r="D6" s="3331"/>
      <c r="E6" s="123" t="s">
        <v>1269</v>
      </c>
      <c r="F6" s="1626"/>
      <c r="G6" s="1626"/>
      <c r="H6" s="1626"/>
      <c r="I6" s="1280"/>
    </row>
    <row r="7" spans="1:12" ht="12.75">
      <c r="A7" s="3285"/>
      <c r="B7" s="3340"/>
      <c r="C7" s="3344"/>
      <c r="D7" s="3331"/>
      <c r="E7" s="123" t="s">
        <v>1270</v>
      </c>
      <c r="F7" s="1626"/>
      <c r="G7" s="1626"/>
      <c r="H7" s="1626"/>
      <c r="I7" s="1280"/>
    </row>
    <row r="8" spans="1:12" ht="12.75">
      <c r="A8" s="3285" t="s">
        <v>1271</v>
      </c>
      <c r="B8" s="3340">
        <v>15</v>
      </c>
      <c r="C8" s="3343"/>
      <c r="D8" s="3331"/>
      <c r="E8" s="123" t="s">
        <v>1272</v>
      </c>
      <c r="F8" s="1626"/>
      <c r="G8" s="1626"/>
      <c r="H8" s="1626"/>
      <c r="I8" s="1280"/>
    </row>
    <row r="9" spans="1:12" ht="12.75">
      <c r="A9" s="3285"/>
      <c r="B9" s="3340"/>
      <c r="C9" s="3344"/>
      <c r="D9" s="3331"/>
      <c r="E9" s="123" t="s">
        <v>1273</v>
      </c>
      <c r="F9" s="1626"/>
      <c r="G9" s="1626"/>
      <c r="H9" s="1626"/>
      <c r="I9" s="1280"/>
    </row>
    <row r="10" spans="1:12" ht="12.75">
      <c r="A10" s="3285" t="s">
        <v>1274</v>
      </c>
      <c r="B10" s="3340">
        <v>15</v>
      </c>
      <c r="C10" s="3343"/>
      <c r="D10" s="3331"/>
      <c r="E10" s="123" t="s">
        <v>1275</v>
      </c>
      <c r="F10" s="1626"/>
      <c r="G10" s="1626"/>
      <c r="H10" s="1626"/>
      <c r="I10" s="1280"/>
    </row>
    <row r="11" spans="1:12" ht="12.75">
      <c r="A11" s="3285"/>
      <c r="B11" s="3340"/>
      <c r="C11" s="3344"/>
      <c r="D11" s="3331"/>
      <c r="E11" s="123" t="s">
        <v>1276</v>
      </c>
      <c r="F11" s="1626"/>
      <c r="G11" s="1626"/>
      <c r="H11" s="1626"/>
      <c r="I11" s="1280"/>
    </row>
    <row r="12" spans="1:12" ht="12.75">
      <c r="A12" s="3285" t="s">
        <v>1277</v>
      </c>
      <c r="B12" s="3340">
        <v>15</v>
      </c>
      <c r="C12" s="3343"/>
      <c r="D12" s="3331"/>
      <c r="E12" s="123" t="s">
        <v>1278</v>
      </c>
      <c r="F12" s="1626"/>
      <c r="G12" s="1626"/>
      <c r="H12" s="1626"/>
      <c r="I12" s="1280"/>
    </row>
    <row r="13" spans="1:12" ht="12.75">
      <c r="A13" s="3285"/>
      <c r="B13" s="3340"/>
      <c r="C13" s="3344"/>
      <c r="D13" s="3331"/>
      <c r="E13" s="123" t="s">
        <v>1279</v>
      </c>
      <c r="F13" s="1626"/>
      <c r="G13" s="1626"/>
      <c r="H13" s="1626"/>
      <c r="I13" s="1280"/>
    </row>
    <row r="14" spans="1:12" ht="12.75">
      <c r="A14" s="3285" t="s">
        <v>1280</v>
      </c>
      <c r="B14" s="3340">
        <v>30</v>
      </c>
      <c r="C14" s="3343">
        <v>5</v>
      </c>
      <c r="D14" s="3331">
        <v>5</v>
      </c>
      <c r="E14" s="123" t="s">
        <v>1281</v>
      </c>
      <c r="F14" s="1626"/>
      <c r="G14" s="1626"/>
      <c r="H14" s="1626"/>
      <c r="I14" s="1280"/>
    </row>
    <row r="15" spans="1:12" ht="12.75">
      <c r="A15" s="3285"/>
      <c r="B15" s="3340"/>
      <c r="C15" s="3345"/>
      <c r="D15" s="3331"/>
      <c r="E15" s="123" t="s">
        <v>1282</v>
      </c>
      <c r="F15" s="1626"/>
      <c r="G15" s="1626"/>
      <c r="H15" s="1626"/>
      <c r="I15" s="1280"/>
    </row>
    <row r="16" spans="1:12" ht="12.75">
      <c r="A16" s="3285"/>
      <c r="B16" s="3340"/>
      <c r="C16" s="3344"/>
      <c r="D16" s="3331"/>
      <c r="E16" s="123" t="s">
        <v>1283</v>
      </c>
      <c r="F16" s="1626"/>
      <c r="G16" s="1626"/>
      <c r="H16" s="1626"/>
      <c r="I16" s="1280"/>
    </row>
    <row r="17" spans="1:36" ht="15">
      <c r="A17" s="1627" t="s">
        <v>1284</v>
      </c>
      <c r="B17" s="54"/>
      <c r="C17" s="124">
        <f>SUM(C5:C16)</f>
        <v>5</v>
      </c>
      <c r="D17" s="124">
        <f>SUM(D5:D16)</f>
        <v>5</v>
      </c>
      <c r="E17" s="121"/>
      <c r="F17" s="121"/>
      <c r="G17" s="121"/>
      <c r="H17" s="121"/>
      <c r="I17" s="121"/>
      <c r="K17" s="294"/>
      <c r="L17" s="294" t="s">
        <v>1285</v>
      </c>
      <c r="M17" s="294" t="s">
        <v>1286</v>
      </c>
    </row>
    <row r="18" spans="1:36" ht="31.9" customHeight="1" thickBot="1">
      <c r="A18" s="1628" t="s">
        <v>1287</v>
      </c>
      <c r="B18" s="1541"/>
      <c r="C18" s="125">
        <f>ROUND(C17/SUM(C17:D17),2)</f>
        <v>0.5</v>
      </c>
      <c r="D18" s="125">
        <f>1-C18</f>
        <v>0.5</v>
      </c>
      <c r="E18" s="3362" t="s">
        <v>2126</v>
      </c>
      <c r="F18" s="3363"/>
      <c r="G18" s="3363"/>
      <c r="H18" s="3363"/>
      <c r="I18" s="3363"/>
      <c r="K18" s="294" t="s">
        <v>1288</v>
      </c>
      <c r="L18" s="294">
        <f>IF(C1="",'数据-汇总表'!E3,SUMIF(项目类型,C1,'数据-汇总表'!E17:E26)+SUMIF(项目类型,C1,'数据-汇总表'!I17:I26))</f>
        <v>68049.77999999997</v>
      </c>
      <c r="M18" s="294">
        <f>IF(C1="",'数据-汇总表'!E3,SUMIF(项目类型,C1,'数据-汇总表'!E17:E26))</f>
        <v>68049.77999999997</v>
      </c>
    </row>
    <row r="19" spans="1:36" ht="15">
      <c r="A19" s="1629" t="s">
        <v>1289</v>
      </c>
      <c r="B19" s="1630" t="s">
        <v>1290</v>
      </c>
      <c r="C19" s="126">
        <f ca="1">SUMIF(INDIRECT("'"&amp;C4&amp;"'"&amp;"!A:A"),结果表!B19,INDIRECT("'"&amp;C4&amp;"'"&amp;"!B:B"))</f>
        <v>155247</v>
      </c>
      <c r="D19" s="127">
        <f ca="1">SUMIF(INDIRECT("'"&amp;D4&amp;"'"&amp;"!A:A"),结果表!B19,INDIRECT("'"&amp;D4&amp;"'"&amp;"!B:B"))</f>
        <v>99875</v>
      </c>
      <c r="E19" s="1629" t="s">
        <v>1291</v>
      </c>
      <c r="F19" s="1630" t="s">
        <v>1290</v>
      </c>
      <c r="G19" s="128">
        <f ca="1">ROUND(C19*$C$18+D19*$D$18,0)</f>
        <v>127561</v>
      </c>
      <c r="H19" s="1631" t="s">
        <v>1292</v>
      </c>
      <c r="I19" s="121"/>
      <c r="J19" s="684">
        <v>131554</v>
      </c>
      <c r="K19" s="294" t="s">
        <v>1293</v>
      </c>
      <c r="L19" s="294">
        <f>IF(C1="",'数据-汇总表'!D3,SUMIF(项目类型,C1,'数据-汇总表'!D17:D26)+SUMIF(项目类型,C1,'数据-汇总表'!H17:H27))</f>
        <v>15742.02</v>
      </c>
      <c r="M19" s="294">
        <f>IF(C1="",'数据-汇总表'!D3,SUMIF(项目类型,C1,'数据-汇总表'!D17:D26))</f>
        <v>15742.02</v>
      </c>
    </row>
    <row r="20" spans="1:36" ht="15">
      <c r="A20" s="1632"/>
      <c r="B20" s="43" t="s">
        <v>1294</v>
      </c>
      <c r="C20" s="129">
        <f ca="1">SUMIF(INDIRECT("'"&amp;C4&amp;"'"&amp;"!A:A"),结果表!B20,INDIRECT("'"&amp;C4&amp;"'"&amp;"!B:B"))</f>
        <v>22814</v>
      </c>
      <c r="D20" s="130">
        <f ca="1">SUMIF(INDIRECT("'"&amp;D4&amp;"'"&amp;"!A:A"),结果表!B20,INDIRECT("'"&amp;D4&amp;"'"&amp;"!B:B"))</f>
        <v>14677</v>
      </c>
      <c r="E20" s="1632"/>
      <c r="F20" s="43" t="s">
        <v>1294</v>
      </c>
      <c r="G20" s="131">
        <f ca="1">ROUND(C20*$C$18+D20*$D$18,0)</f>
        <v>18746</v>
      </c>
      <c r="H20" s="760" t="s">
        <v>1295</v>
      </c>
      <c r="I20" s="121"/>
      <c r="J20" s="684">
        <v>19332</v>
      </c>
    </row>
    <row r="21" spans="1:36" ht="15" customHeight="1" thickBot="1">
      <c r="A21" s="449"/>
      <c r="B21" s="93" t="s">
        <v>1296</v>
      </c>
      <c r="C21" s="678">
        <f ca="1">ROUND(C19*10000/L19,0)</f>
        <v>98619</v>
      </c>
      <c r="D21" s="679">
        <f ca="1">ROUND(D19*10000/L19,0)</f>
        <v>63445</v>
      </c>
      <c r="E21" s="449"/>
      <c r="F21" s="93" t="s">
        <v>1296</v>
      </c>
      <c r="G21" s="132">
        <f ca="1">ROUND(G19*10000/L19,0)</f>
        <v>81032</v>
      </c>
      <c r="H21" s="1633" t="s">
        <v>1295</v>
      </c>
      <c r="I21" s="121"/>
      <c r="J21" s="684">
        <v>83569</v>
      </c>
    </row>
    <row r="22" spans="1:36" ht="15" thickBot="1">
      <c r="A22" s="1563" t="s">
        <v>1297</v>
      </c>
      <c r="B22" s="1634"/>
      <c r="C22" s="1635"/>
      <c r="D22" s="680">
        <f ca="1">IF(C19&lt;D19,D19/C19-1,C19/D19-1)</f>
        <v>0.55441301627033801</v>
      </c>
      <c r="E22" s="121"/>
      <c r="F22" s="121"/>
      <c r="G22" s="121"/>
      <c r="H22" s="121"/>
      <c r="I22" s="121"/>
    </row>
    <row r="23" spans="1:36" ht="13.5" thickBot="1">
      <c r="A23" s="646"/>
      <c r="B23" s="646"/>
      <c r="C23" s="646"/>
      <c r="D23" s="646"/>
      <c r="E23" s="121"/>
      <c r="F23" s="121"/>
      <c r="G23" s="121"/>
      <c r="H23" s="121"/>
      <c r="I23" s="121"/>
    </row>
    <row r="24" spans="1:36" ht="14.25">
      <c r="A24" s="3355" t="s">
        <v>1298</v>
      </c>
      <c r="B24" s="1630" t="s">
        <v>1290</v>
      </c>
      <c r="C24" s="128">
        <f>IF(B30=0,0,D30)</f>
        <v>0</v>
      </c>
      <c r="D24" s="1636"/>
      <c r="E24" s="121"/>
      <c r="F24" s="121"/>
      <c r="G24" s="121"/>
      <c r="H24" s="121"/>
      <c r="I24" s="121"/>
    </row>
    <row r="25" spans="1:36" ht="14.25">
      <c r="A25" s="3356"/>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2127</v>
      </c>
      <c r="F30" s="121"/>
      <c r="G30" s="121"/>
      <c r="H30" s="121"/>
      <c r="I30" s="121"/>
    </row>
    <row r="31" spans="1:36" s="2132" customFormat="1" ht="26.45" customHeight="1" thickTop="1" thickBot="1">
      <c r="A31" s="2127"/>
      <c r="B31" s="2128"/>
      <c r="C31" s="2128"/>
      <c r="D31" s="2128"/>
      <c r="E31" s="2128"/>
      <c r="F31" s="2128"/>
      <c r="G31" s="2128"/>
      <c r="H31" s="2128"/>
      <c r="I31" s="2129" t="s">
        <v>2128</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127561</v>
      </c>
      <c r="D32" s="1640" t="s">
        <v>4356</v>
      </c>
      <c r="E32" s="121"/>
      <c r="F32" s="121"/>
      <c r="G32" s="121"/>
      <c r="H32" s="121"/>
      <c r="I32" s="121"/>
    </row>
    <row r="33" spans="1:15" ht="15">
      <c r="A33" s="740" t="s">
        <v>1305</v>
      </c>
      <c r="B33" s="123"/>
      <c r="C33" s="1641" t="s">
        <v>4357</v>
      </c>
      <c r="D33" s="1642" t="s">
        <v>4358</v>
      </c>
      <c r="E33" s="1643" t="s">
        <v>1306</v>
      </c>
      <c r="F33" s="1644" t="str">
        <f>IF(D32="楼面单价","取值（单价）","取值（总价）")</f>
        <v>取值（总价）</v>
      </c>
      <c r="G33" s="121"/>
      <c r="H33" s="121"/>
      <c r="I33" s="121"/>
    </row>
    <row r="34" spans="1:15" ht="15">
      <c r="A34" s="1645"/>
      <c r="B34" s="1646" t="s">
        <v>1307</v>
      </c>
      <c r="C34" s="140">
        <f ca="1">IF(C33="自定义",F34,C32-C35)</f>
        <v>82149</v>
      </c>
      <c r="D34" s="808">
        <f ca="1">IF(C33="自定义",ROUND(C34/C32,3),IF(C33="收益比率",SUMIF(INDIRECT("'"&amp;D33&amp;"'"&amp;"!b:b"),"土地收益比率",INDIRECT("'"&amp;D33&amp;"'"&amp;"!c:c")),SUMIF(INDIRECT("'"&amp;D33&amp;"'"&amp;"!b:b"),"土地成本比率",INDIRECT("'"&amp;D33&amp;"'"&amp;"!c:c"))))</f>
        <v>0.64400000000000002</v>
      </c>
      <c r="E34" s="1647" t="s">
        <v>1308</v>
      </c>
      <c r="F34" s="1242"/>
      <c r="G34" s="121"/>
      <c r="H34" s="121"/>
      <c r="I34" s="121"/>
    </row>
    <row r="35" spans="1:15" ht="15.75" thickBot="1">
      <c r="A35" s="1648"/>
      <c r="B35" s="1649" t="s">
        <v>1309</v>
      </c>
      <c r="C35" s="1090">
        <f ca="1">IF(C33="自定义",F35,ROUND(C32*D35,0))</f>
        <v>45412</v>
      </c>
      <c r="D35" s="1091">
        <f ca="1">IF(C33="自定义",ROUND(C35/C32,3),IF(C33="收益比率",SUMIF(INDIRECT("'"&amp;D33&amp;"'"&amp;"!b:b"),"建筑物收益比率",INDIRECT("'"&amp;D33&amp;"'"&amp;"!c:c")),SUMIF(INDIRECT("'"&amp;D33&amp;"'"&amp;"!b:b"),"建筑物成本比率",INDIRECT("'"&amp;D33&amp;"'"&amp;"!c:c"))))</f>
        <v>0.35599999999999998</v>
      </c>
      <c r="E35" s="1650" t="s">
        <v>1310</v>
      </c>
      <c r="F35" s="146"/>
      <c r="G35" s="121"/>
      <c r="H35" s="121"/>
      <c r="I35" s="121"/>
    </row>
    <row r="36" spans="1:15" ht="15.75" thickBot="1">
      <c r="A36" s="3332" t="s">
        <v>1311</v>
      </c>
      <c r="B36" s="1651" t="s">
        <v>1312</v>
      </c>
      <c r="C36" s="137"/>
      <c r="D36" s="1652"/>
      <c r="E36" s="1566"/>
      <c r="F36" s="1653"/>
      <c r="G36" s="121"/>
      <c r="H36" s="121"/>
      <c r="I36" s="121"/>
    </row>
    <row r="37" spans="1:15" ht="15.75" thickBot="1">
      <c r="A37" s="3333"/>
      <c r="B37" s="1554" t="s">
        <v>1313</v>
      </c>
      <c r="C37" s="139"/>
      <c r="D37" s="1071"/>
      <c r="E37" s="1071"/>
      <c r="F37" s="1653"/>
      <c r="G37" s="121"/>
      <c r="H37" s="121"/>
      <c r="I37" s="121"/>
    </row>
    <row r="38" spans="1:15" ht="15.75" thickBot="1">
      <c r="A38" s="3334"/>
      <c r="B38" s="1654" t="s">
        <v>1314</v>
      </c>
      <c r="C38" s="641"/>
      <c r="D38" s="1655" t="s">
        <v>1315</v>
      </c>
      <c r="E38" s="1071"/>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352" t="s">
        <v>1325</v>
      </c>
      <c r="B45" s="3353"/>
      <c r="C45" s="3354"/>
      <c r="D45" s="147">
        <f ca="1">ROUND(H101*F45,0)</f>
        <v>127561</v>
      </c>
      <c r="E45" s="148" t="s">
        <v>1326</v>
      </c>
      <c r="F45" s="149">
        <v>1</v>
      </c>
      <c r="G45" s="150" t="s">
        <v>1327</v>
      </c>
      <c r="H45" s="121"/>
      <c r="I45" s="121"/>
      <c r="J45" s="3272" t="s">
        <v>1328</v>
      </c>
      <c r="K45" s="3272"/>
      <c r="L45" s="3272"/>
      <c r="M45" s="3272"/>
      <c r="N45" s="3272"/>
      <c r="O45" s="3272"/>
    </row>
    <row r="46" spans="1:15" ht="14.25" customHeight="1">
      <c r="A46" s="3349" t="s">
        <v>1329</v>
      </c>
      <c r="B46" s="3350"/>
      <c r="C46" s="3350"/>
      <c r="D46" s="3350"/>
      <c r="E46" s="3350"/>
      <c r="F46" s="3350"/>
      <c r="G46" s="3351"/>
      <c r="H46" s="1667"/>
      <c r="I46" s="151"/>
      <c r="J46" s="2309">
        <v>1</v>
      </c>
      <c r="K46" s="3273" t="s">
        <v>1330</v>
      </c>
      <c r="L46" s="3273"/>
      <c r="M46" s="3274"/>
      <c r="N46" s="3274"/>
      <c r="O46" s="3274"/>
    </row>
    <row r="47" spans="1:15" ht="12" customHeight="1">
      <c r="A47" s="152" t="s">
        <v>1331</v>
      </c>
      <c r="B47" s="153"/>
      <c r="C47" s="154"/>
      <c r="D47" s="1024" t="s">
        <v>1332</v>
      </c>
      <c r="E47" s="294" t="s">
        <v>1333</v>
      </c>
      <c r="F47" s="155" t="s">
        <v>1334</v>
      </c>
      <c r="G47" s="2332" t="s">
        <v>1335</v>
      </c>
      <c r="H47" s="2333"/>
      <c r="I47" s="151"/>
      <c r="J47" s="2309">
        <v>2</v>
      </c>
      <c r="K47" s="3273" t="s">
        <v>1336</v>
      </c>
      <c r="L47" s="3273"/>
      <c r="M47" s="3275">
        <f>'数据-取费表'!B2</f>
        <v>45604</v>
      </c>
      <c r="N47" s="3275"/>
      <c r="O47" s="3275"/>
    </row>
    <row r="48" spans="1:15" ht="25.5">
      <c r="A48" s="3335" t="s">
        <v>1337</v>
      </c>
      <c r="B48" s="3336"/>
      <c r="C48" s="333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3" t="s">
        <v>1339</v>
      </c>
      <c r="L48" s="3273"/>
      <c r="M48" s="3276">
        <f ca="1">H101</f>
        <v>127561</v>
      </c>
      <c r="N48" s="3276"/>
      <c r="O48" s="3276"/>
    </row>
    <row r="49" spans="1:35" ht="25.5" customHeight="1">
      <c r="A49" s="2151" t="s">
        <v>1340</v>
      </c>
      <c r="B49" s="3321" t="s">
        <v>1341</v>
      </c>
      <c r="C49" s="3321"/>
      <c r="D49" s="1477">
        <v>0</v>
      </c>
      <c r="E49" s="316" t="s">
        <v>1342</v>
      </c>
      <c r="F49" s="2232" t="s">
        <v>28</v>
      </c>
      <c r="G49" s="3304"/>
      <c r="H49" s="2133" t="s">
        <v>2129</v>
      </c>
      <c r="I49" s="2134"/>
      <c r="J49" s="2309">
        <v>4</v>
      </c>
      <c r="K49" s="3273" t="str">
        <f>IF(项目基本情况!E8="房地产抵押价值","房地产抵押价值","抵押担保权已注销时的房地产抵押价值")</f>
        <v>房地产抵押价值</v>
      </c>
      <c r="L49" s="3273"/>
      <c r="M49" s="3276">
        <f ca="1">IF(项目基本情况!E8="房地产抵押价值",H107,H109)</f>
        <v>127561</v>
      </c>
      <c r="N49" s="3276"/>
      <c r="O49" s="3276"/>
    </row>
    <row r="50" spans="1:35" ht="25.5" customHeight="1">
      <c r="A50" s="2337"/>
      <c r="B50" s="3321" t="s">
        <v>1343</v>
      </c>
      <c r="C50" s="3321"/>
      <c r="D50" s="2188"/>
      <c r="E50" s="323"/>
      <c r="F50" s="2232"/>
      <c r="G50" s="3305"/>
      <c r="H50" s="2135" t="s">
        <v>2130</v>
      </c>
      <c r="I50" s="2134"/>
      <c r="J50" s="3272" t="s">
        <v>1344</v>
      </c>
      <c r="K50" s="3272"/>
      <c r="L50" s="3272"/>
      <c r="M50" s="3272"/>
      <c r="N50" s="3272"/>
      <c r="O50" s="3272"/>
    </row>
    <row r="51" spans="1:35" ht="20.45" customHeight="1">
      <c r="A51" s="2338"/>
      <c r="B51" s="3321" t="s">
        <v>1345</v>
      </c>
      <c r="C51" s="3321"/>
      <c r="D51" s="1024"/>
      <c r="E51" s="319"/>
      <c r="F51" s="2232"/>
      <c r="G51" s="3306"/>
      <c r="H51" s="2135" t="s">
        <v>2131</v>
      </c>
      <c r="I51" s="2134"/>
      <c r="J51" s="2310" t="s">
        <v>1346</v>
      </c>
      <c r="K51" s="3273" t="s">
        <v>1347</v>
      </c>
      <c r="L51" s="3273"/>
      <c r="M51" s="2310" t="s">
        <v>1348</v>
      </c>
      <c r="N51" s="2310" t="s">
        <v>1349</v>
      </c>
      <c r="O51" s="2310" t="s">
        <v>1350</v>
      </c>
    </row>
    <row r="52" spans="1:35" ht="24" customHeight="1">
      <c r="A52" s="2152" t="s">
        <v>1351</v>
      </c>
      <c r="B52" s="3321" t="s">
        <v>1352</v>
      </c>
      <c r="C52" s="3321"/>
      <c r="D52" s="1024">
        <f ca="1">ROUND(D45*'数据-取费表'!B41/(1+'数据-取费表'!C42),0)</f>
        <v>6803</v>
      </c>
      <c r="E52" s="1255" t="s">
        <v>1353</v>
      </c>
      <c r="F52" s="2339">
        <f>'数据-取费表'!B41</f>
        <v>5.6000000000000001E-2</v>
      </c>
      <c r="G52" s="2340"/>
      <c r="H52" s="2330"/>
      <c r="I52" s="1668"/>
      <c r="J52" s="2309">
        <v>1</v>
      </c>
      <c r="K52" s="3298" t="s">
        <v>1354</v>
      </c>
      <c r="L52" s="3298"/>
      <c r="M52" s="2311" t="b">
        <f>D48</f>
        <v>0</v>
      </c>
      <c r="N52" s="2309" t="str">
        <f>E48</f>
        <v>销售额×税（费）率</v>
      </c>
      <c r="O52" s="2312">
        <f>F48</f>
        <v>5.6000000000000001E-2</v>
      </c>
    </row>
    <row r="53" spans="1:35" ht="12" customHeight="1">
      <c r="A53" s="2152" t="s">
        <v>1355</v>
      </c>
      <c r="B53" s="3322" t="s">
        <v>2286</v>
      </c>
      <c r="C53" s="3323"/>
      <c r="D53" s="1024">
        <f ca="1">ROUND(D45*'数据-取费表'!B41/(1+'数据-取费表'!C42),0)</f>
        <v>6803</v>
      </c>
      <c r="E53" s="1255" t="s">
        <v>1353</v>
      </c>
      <c r="F53" s="2339">
        <f>'数据-取费表'!B41</f>
        <v>5.6000000000000001E-2</v>
      </c>
      <c r="G53" s="2340"/>
      <c r="H53" s="2330"/>
      <c r="I53" s="1668"/>
      <c r="J53" s="2309">
        <v>2</v>
      </c>
      <c r="K53" s="3298" t="s">
        <v>1356</v>
      </c>
      <c r="L53" s="3298"/>
      <c r="M53" s="2311">
        <f t="shared" ref="M53:O54" ca="1" si="0">D55</f>
        <v>64</v>
      </c>
      <c r="N53" s="2309" t="str">
        <f t="shared" si="0"/>
        <v>销售额×税（费）率</v>
      </c>
      <c r="O53" s="2312" t="str">
        <f t="shared" si="0"/>
        <v>免征</v>
      </c>
    </row>
    <row r="54" spans="1:35" ht="12" customHeight="1">
      <c r="A54" s="2152" t="s">
        <v>1357</v>
      </c>
      <c r="B54" s="3322" t="s">
        <v>2287</v>
      </c>
      <c r="C54" s="3323"/>
      <c r="D54" s="1024">
        <f ca="1">C68</f>
        <v>6803</v>
      </c>
      <c r="E54" s="319" t="s">
        <v>1358</v>
      </c>
      <c r="F54" s="2339">
        <f>'数据-取费表'!B41</f>
        <v>5.6000000000000001E-2</v>
      </c>
      <c r="G54" s="2340"/>
      <c r="H54" s="2341"/>
      <c r="I54" s="1668"/>
      <c r="J54" s="2309">
        <v>3</v>
      </c>
      <c r="K54" s="3298" t="s">
        <v>1359</v>
      </c>
      <c r="L54" s="3298"/>
      <c r="M54" s="2311">
        <f t="shared" ca="1" si="0"/>
        <v>72200</v>
      </c>
      <c r="N54" s="2309" t="str">
        <f t="shared" si="0"/>
        <v>增值额×税（费）率</v>
      </c>
      <c r="O54" s="2313" t="str">
        <f t="shared" si="0"/>
        <v>免征</v>
      </c>
    </row>
    <row r="55" spans="1:35" ht="24" customHeight="1">
      <c r="A55" s="3358" t="s">
        <v>1360</v>
      </c>
      <c r="B55" s="3336"/>
      <c r="C55" s="3336"/>
      <c r="D55" s="12">
        <f ca="1">IF(H55="个人住宅",0,ROUND(D45*I55,0))</f>
        <v>64</v>
      </c>
      <c r="E55" s="1255" t="s">
        <v>1361</v>
      </c>
      <c r="F55" s="2339" t="str">
        <f>IF(H55="正常",I55,"免征")</f>
        <v>免征</v>
      </c>
      <c r="G55" s="2340"/>
      <c r="H55" s="2336"/>
      <c r="I55" s="157">
        <f>'数据-取费表'!B49</f>
        <v>5.0000000000000001E-4</v>
      </c>
      <c r="J55" s="2309">
        <f>IF(H59="非个人房产","",4)</f>
        <v>4</v>
      </c>
      <c r="K55" s="3298" t="str">
        <f>IF(H59="非个人房产","——","个人所得税")</f>
        <v>个人所得税</v>
      </c>
      <c r="L55" s="3298"/>
      <c r="M55" s="2314">
        <f ca="1">D59</f>
        <v>1215</v>
      </c>
      <c r="N55" s="1882" t="str">
        <f>E59</f>
        <v>差额计税</v>
      </c>
      <c r="O55" s="2315">
        <f>F59</f>
        <v>0.01</v>
      </c>
    </row>
    <row r="56" spans="1:35" ht="24.75">
      <c r="A56" s="3358" t="s">
        <v>1362</v>
      </c>
      <c r="B56" s="3336"/>
      <c r="C56" s="3336"/>
      <c r="D56" s="12">
        <f ca="1">IF(H56="个人住宅",D57,D58)</f>
        <v>72200</v>
      </c>
      <c r="E56" s="1255" t="s">
        <v>1363</v>
      </c>
      <c r="F56" s="2339" t="str">
        <f>IF(H56="正常",F58,"免征")</f>
        <v>免征</v>
      </c>
      <c r="G56" s="2342" t="s">
        <v>1364</v>
      </c>
      <c r="H56" s="2343"/>
      <c r="I56" s="1669"/>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2.75">
      <c r="A57" s="2152" t="s">
        <v>1340</v>
      </c>
      <c r="B57" s="3322" t="s">
        <v>1365</v>
      </c>
      <c r="C57" s="3323"/>
      <c r="D57" s="1477">
        <v>0</v>
      </c>
      <c r="E57" s="316" t="s">
        <v>1342</v>
      </c>
      <c r="F57" s="294"/>
      <c r="G57" s="2340"/>
      <c r="H57" s="2344"/>
      <c r="I57" s="1669"/>
      <c r="J57" s="3298">
        <f>IF(AND(J55="",J56=""),4,IF(项目基本情况!K6="上海银行",结果表!J56+1,结果表!J55+1))</f>
        <v>5</v>
      </c>
      <c r="K57" s="3298" t="s">
        <v>1366</v>
      </c>
      <c r="L57" s="2316" t="s">
        <v>1367</v>
      </c>
      <c r="M57" s="2317"/>
      <c r="N57" s="2318">
        <f ca="1">SUMIF(M52:M56,"&lt;9e307")</f>
        <v>73479</v>
      </c>
      <c r="O57" s="2319"/>
      <c r="P57" s="2464">
        <f ca="1">N57/M49</f>
        <v>0.57603029139000161</v>
      </c>
    </row>
    <row r="58" spans="1:35" ht="24.75">
      <c r="A58" s="2152" t="s">
        <v>1351</v>
      </c>
      <c r="B58" s="3322" t="s">
        <v>1368</v>
      </c>
      <c r="C58" s="3321"/>
      <c r="D58" s="12">
        <f ca="1">IF(H58="转让取得",C81,C97)</f>
        <v>72200</v>
      </c>
      <c r="E58" s="1255" t="s">
        <v>1363</v>
      </c>
      <c r="F58" s="294" t="s">
        <v>28</v>
      </c>
      <c r="G58" s="2340"/>
      <c r="H58" s="2343"/>
      <c r="I58" s="1669"/>
      <c r="J58" s="3298"/>
      <c r="K58" s="3298"/>
      <c r="L58" s="2316" t="s">
        <v>1369</v>
      </c>
      <c r="M58" s="2320"/>
      <c r="N58" s="2321" t="str">
        <f ca="1">NUMBERSTRING(INT(N57*10000),2)&amp;"元整"</f>
        <v>柒亿叁仟肆佰柒拾玖万元整</v>
      </c>
      <c r="O58" s="2322"/>
    </row>
    <row r="59" spans="1:35" ht="24.75" thickBot="1">
      <c r="A59" s="3302" t="s">
        <v>1370</v>
      </c>
      <c r="B59" s="3303"/>
      <c r="C59" s="3303"/>
      <c r="D59" s="2345">
        <f ca="1">IF(H59="非个人房产","——",IF(H59="个人住宅（满五唯一有凭证）",0,IF(H59="个人其他（无凭证）",ROUND(D45*F59,0),ROUND(C67*F59,0))))</f>
        <v>1215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2132</v>
      </c>
      <c r="J59" s="3300">
        <f>J57+1</f>
        <v>6</v>
      </c>
      <c r="K59" s="3298" t="s">
        <v>1371</v>
      </c>
      <c r="L59" s="2309" t="s">
        <v>1367</v>
      </c>
      <c r="M59" s="2323"/>
      <c r="N59" s="2324">
        <f ca="1">M49-N57</f>
        <v>54082</v>
      </c>
      <c r="O59" s="2325"/>
    </row>
    <row r="60" spans="1:35" ht="12" customHeight="1">
      <c r="A60" s="1670"/>
      <c r="B60" s="646"/>
      <c r="C60" s="646"/>
      <c r="D60" s="646"/>
      <c r="E60" s="1465"/>
      <c r="F60" s="1669"/>
      <c r="G60" s="1669"/>
      <c r="H60" s="151"/>
      <c r="I60" s="121"/>
      <c r="J60" s="3301"/>
      <c r="K60" s="3298"/>
      <c r="L60" s="2316" t="s">
        <v>1369</v>
      </c>
      <c r="M60" s="2320"/>
      <c r="N60" s="2321" t="str">
        <f ca="1">NUMBERSTRING(INT(N59*10000),2)&amp;"元整"</f>
        <v>伍亿肆仟零捌拾贰万元整</v>
      </c>
      <c r="O60" s="2322"/>
    </row>
    <row r="61" spans="1:35" ht="13.5" thickBot="1">
      <c r="A61" s="3357" t="s">
        <v>1372</v>
      </c>
      <c r="B61" s="3357"/>
      <c r="C61" s="3357"/>
      <c r="D61" s="3357"/>
      <c r="E61" s="3357"/>
      <c r="F61" s="1669"/>
      <c r="G61" s="1669"/>
      <c r="H61" s="151"/>
      <c r="I61" s="121"/>
      <c r="J61" s="2309">
        <f>J59+1</f>
        <v>7</v>
      </c>
      <c r="K61" s="3298" t="s">
        <v>1373</v>
      </c>
      <c r="L61" s="3298"/>
      <c r="M61" s="2326"/>
      <c r="N61" s="2327">
        <f ca="1">ROUND(N59*10000/'数据-汇总表'!E3,0)</f>
        <v>7947</v>
      </c>
      <c r="O61" s="2328"/>
    </row>
    <row r="62" spans="1:35" ht="12.75">
      <c r="A62" s="3317" t="s">
        <v>1374</v>
      </c>
      <c r="B62" s="3318"/>
      <c r="C62" s="1864"/>
      <c r="D62" s="1864" t="s">
        <v>1375</v>
      </c>
      <c r="E62" s="158" t="s">
        <v>1376</v>
      </c>
      <c r="F62" s="1669"/>
      <c r="G62" s="1669"/>
      <c r="H62" s="151"/>
      <c r="I62" s="121"/>
    </row>
    <row r="63" spans="1:35" ht="12.75">
      <c r="A63" s="165" t="s">
        <v>330</v>
      </c>
      <c r="B63" s="159" t="s">
        <v>1377</v>
      </c>
      <c r="C63" s="2349">
        <f ca="1">ROUND((C64+C65)/(1+'数据-取费表'!C42),0)</f>
        <v>121487</v>
      </c>
      <c r="D63" s="159"/>
      <c r="E63" s="160"/>
      <c r="F63" s="1669"/>
      <c r="G63" s="1669"/>
      <c r="H63" s="151"/>
      <c r="I63" s="121"/>
      <c r="J63" s="3281" t="s">
        <v>1378</v>
      </c>
      <c r="K63" s="1244" t="s">
        <v>1379</v>
      </c>
      <c r="L63" s="1244">
        <f ca="1">IF(M49&gt;10000,M49*0.5%,IF(AND(M49&gt;1000,M49&lt;=10000),M49*1%,IF(AND(M49&gt;100,M49&lt;=1000),M49*3%,IF(AND(M49&gt;10,M49&lt;=100),M49*5%,M49*8%))))</f>
        <v>637.80500000000006</v>
      </c>
      <c r="M63" s="294">
        <f ca="1">ROUND(L63,1)</f>
        <v>637.79999999999995</v>
      </c>
      <c r="N63" s="2329"/>
      <c r="Z63" s="1622"/>
      <c r="AI63" s="1560"/>
    </row>
    <row r="64" spans="1:35" ht="14.25" customHeight="1">
      <c r="A64" s="161" t="s">
        <v>325</v>
      </c>
      <c r="B64" s="162" t="s">
        <v>1380</v>
      </c>
      <c r="C64" s="2350">
        <f ca="1">D45</f>
        <v>127561</v>
      </c>
      <c r="D64" s="162" t="s">
        <v>26</v>
      </c>
      <c r="E64" s="164"/>
      <c r="F64" s="1669"/>
      <c r="G64" s="1669"/>
      <c r="H64" s="151"/>
      <c r="I64" s="121"/>
      <c r="J64" s="3281"/>
      <c r="K64" s="1244" t="s">
        <v>1381</v>
      </c>
      <c r="L64" s="1244">
        <f ca="1">IF(M49&gt;2000,M49*0.5%,IF(AND(M49&gt;1000,M49&lt;=2000),M49*0.6%,IF(AND(M49&gt;500,M49&lt;=1000),M49*0.7%,IF(AND(M49&gt;200,M49&lt;=500),M49*0.8%,IF(AND(M49&gt;100,M49&lt;=200),M49*0.9%,IF(AND(M49&gt;50,M49&lt;=100),M49*1%,IF(AND(M49&gt;20,M49&lt;=50),M49*1.5%,IF(AND(M49&gt;10,M49&lt;=20),M49*2%,IF(AND(M49&gt;1,M49&lt;=10),M49*2.5%)))))))))</f>
        <v>637.80500000000006</v>
      </c>
      <c r="M64" s="294">
        <f t="shared" ref="M64:M65" ca="1" si="1">ROUND(L64,1)</f>
        <v>637.79999999999995</v>
      </c>
      <c r="N64" s="2330" t="s">
        <v>1382</v>
      </c>
      <c r="Z64" s="1622"/>
      <c r="AI64" s="1560"/>
    </row>
    <row r="65" spans="1:35" ht="14.25" customHeight="1">
      <c r="A65" s="161" t="s">
        <v>326</v>
      </c>
      <c r="B65" s="162" t="s">
        <v>1383</v>
      </c>
      <c r="C65" s="2351"/>
      <c r="D65" s="162"/>
      <c r="E65" s="164"/>
      <c r="F65" s="1669"/>
      <c r="G65" s="1669"/>
      <c r="H65" s="151"/>
      <c r="I65" s="121"/>
      <c r="J65" s="3281"/>
      <c r="K65" s="1244" t="s">
        <v>1384</v>
      </c>
      <c r="L65" s="1244">
        <f ca="1">IF(M49&gt;1000,M49*0.1%,IF(AND(M49&gt;500,M49&lt;=1000),M49*0.5%,IF(AND(M49&gt;50,M49&lt;=500),M49*1%,IF(AND(M49&gt;1,M49&lt;=50),M49*1.5%))))</f>
        <v>127.56100000000001</v>
      </c>
      <c r="M65" s="294">
        <f t="shared" ca="1" si="1"/>
        <v>127.6</v>
      </c>
      <c r="N65" s="2330" t="s">
        <v>1382</v>
      </c>
      <c r="Z65" s="1622"/>
      <c r="AI65" s="1560"/>
    </row>
    <row r="66" spans="1:35" ht="14.25" customHeight="1">
      <c r="A66" s="165" t="s">
        <v>327</v>
      </c>
      <c r="B66" s="166" t="s">
        <v>1385</v>
      </c>
      <c r="C66" s="2352"/>
      <c r="D66" s="166" t="s">
        <v>26</v>
      </c>
      <c r="E66" s="1250" t="s">
        <v>670</v>
      </c>
      <c r="F66" s="1669"/>
      <c r="G66" s="1669"/>
      <c r="H66" s="151"/>
      <c r="I66" s="121"/>
      <c r="J66" s="3281"/>
      <c r="K66" s="1244" t="s">
        <v>1386</v>
      </c>
      <c r="L66" s="1244">
        <f ca="1">M49*0.5%</f>
        <v>637.80500000000006</v>
      </c>
      <c r="M66" s="294">
        <f ca="1">IF(L66&gt;0.5,0.5,ROUND(L66,0))</f>
        <v>0.5</v>
      </c>
      <c r="N66" s="2330" t="s">
        <v>1387</v>
      </c>
      <c r="Z66" s="1622"/>
      <c r="AI66" s="1560"/>
    </row>
    <row r="67" spans="1:35" ht="14.25" customHeight="1">
      <c r="A67" s="165" t="s">
        <v>328</v>
      </c>
      <c r="B67" s="166" t="s">
        <v>1388</v>
      </c>
      <c r="C67" s="2353">
        <f ca="1">C63-C66</f>
        <v>121487</v>
      </c>
      <c r="D67" s="162" t="s">
        <v>26</v>
      </c>
      <c r="E67" s="164"/>
      <c r="F67" s="1669"/>
      <c r="G67" s="1669"/>
      <c r="H67" s="151"/>
      <c r="I67" s="121"/>
      <c r="J67" s="3281"/>
      <c r="K67" s="1244" t="s">
        <v>1389</v>
      </c>
      <c r="L67" s="1244">
        <f ca="1">IF(M49&gt;=10000,(8.25+(M49-10000)*0.01%),IF(AND(M49&gt;=8000,M49&lt;10000),(7.85+(M49-8000)*0.02%),IF(AND(M49&gt;=5000,M49&lt;8000),(6.65+(M49-5000)*0.04%),IF(AND(M49&gt;=2000,M49&lt;5000),(4.25+(PM49-2000)*0.08%),IF(AND(M49&gt;=1000,M49&lt;2000),(2.75+(M49-1000)*0.15%),IF(AND(M49&gt;=100,M49&lt;1000),(0.5+(M49-100)*0.25%),IF(AND(M49&gt;0,M49&lt;100),M49*0.5%)))))))</f>
        <v>20.0061</v>
      </c>
      <c r="M67" s="294">
        <f ca="1">ROUND(L67*0.9,1)</f>
        <v>18</v>
      </c>
      <c r="N67" s="2329"/>
      <c r="Z67" s="1622"/>
      <c r="AI67" s="1560"/>
    </row>
    <row r="68" spans="1:35" ht="14.25" customHeight="1" thickBot="1">
      <c r="A68" s="168" t="s">
        <v>329</v>
      </c>
      <c r="B68" s="169" t="s">
        <v>1390</v>
      </c>
      <c r="C68" s="2354">
        <f ca="1">IF(C67&lt;=0,0,ROUND(C67*D68,0))</f>
        <v>6803</v>
      </c>
      <c r="D68" s="2355">
        <f>'数据-取费表'!B41</f>
        <v>5.6000000000000001E-2</v>
      </c>
      <c r="E68" s="170"/>
      <c r="F68" s="1669"/>
      <c r="G68" s="1669"/>
      <c r="H68" s="151"/>
      <c r="I68" s="121"/>
      <c r="J68" s="3281"/>
      <c r="K68" s="1244" t="s">
        <v>1391</v>
      </c>
      <c r="L68" s="1244">
        <f ca="1">IF(M49&gt;10000,M49*0.5%,IF(AND(M49&gt;5000,M49&lt;=10000),M49*1%,IF(AND(M49&gt;1000,M49&lt;=5000),M49*2%,IF(AND(M49&gt;200,M49&lt;=1000),M49*3%,M49*5%))))</f>
        <v>637.80500000000006</v>
      </c>
      <c r="M68" s="294">
        <f ca="1">ROUND(L68,1)</f>
        <v>637.79999999999995</v>
      </c>
      <c r="N68" s="2329"/>
      <c r="Z68" s="1622"/>
      <c r="AI68" s="1560"/>
    </row>
    <row r="69" spans="1:35" ht="16.5" customHeight="1">
      <c r="A69" s="1671"/>
      <c r="B69" s="1672"/>
      <c r="C69" s="1673"/>
      <c r="D69" s="1674"/>
      <c r="E69" s="1675"/>
      <c r="F69" s="1465"/>
      <c r="G69" s="1465"/>
      <c r="H69" s="1466"/>
      <c r="I69" s="646"/>
      <c r="J69" s="3281"/>
      <c r="K69" s="1244" t="s">
        <v>1392</v>
      </c>
      <c r="L69" s="1244"/>
      <c r="M69" s="294">
        <f ca="1">ROUND(SUM(M63:M68),0)</f>
        <v>2060</v>
      </c>
      <c r="N69" s="2331">
        <f ca="1">M69/M49</f>
        <v>1.6149136491560901E-2</v>
      </c>
      <c r="Z69" s="1622"/>
      <c r="AI69" s="1560"/>
    </row>
    <row r="70" spans="1:35" s="642" customFormat="1" ht="15" thickBot="1">
      <c r="A70" s="3325" t="s">
        <v>1393</v>
      </c>
      <c r="B70" s="3326"/>
      <c r="C70" s="3326"/>
      <c r="D70" s="3326"/>
      <c r="E70" s="3326"/>
      <c r="F70" s="3326"/>
      <c r="G70" s="3326"/>
      <c r="H70" s="332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7" t="s">
        <v>1374</v>
      </c>
      <c r="B71" s="3318"/>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1394</v>
      </c>
      <c r="C72" s="2353">
        <f ca="1">ROUND(D45/(1+'数据-取费表'!C42),0)</f>
        <v>121487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1395</v>
      </c>
      <c r="C73" s="2353">
        <f ca="1">C74+C78</f>
        <v>729</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1400</v>
      </c>
      <c r="C76" s="162">
        <f>IF(F75="购房发票",ROUND(C75*H75*D76,0),0)</f>
        <v>0</v>
      </c>
      <c r="D76" s="2359">
        <v>0.05</v>
      </c>
      <c r="E76" s="3322" t="s">
        <v>1401</v>
      </c>
      <c r="F76" s="3321"/>
      <c r="G76" s="3321"/>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1404</v>
      </c>
      <c r="C78" s="2361">
        <f ca="1">ROUND(D45*D78/(1+'数据-取费表'!C42),0)</f>
        <v>729</v>
      </c>
      <c r="D78" s="2362">
        <f>'数据-取费表'!B43</f>
        <v>6.000000000000001E-3</v>
      </c>
      <c r="E78" s="3314" t="s">
        <v>1405</v>
      </c>
      <c r="F78" s="3315"/>
      <c r="G78" s="3315"/>
      <c r="H78" s="331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1406</v>
      </c>
      <c r="C79" s="2353">
        <f ca="1">C72-C73</f>
        <v>120758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1407</v>
      </c>
      <c r="C80" s="2363">
        <f ca="1">IF(C79&lt;=0,0,C79/C73)</f>
        <v>165.6488340192044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1408</v>
      </c>
      <c r="C81" s="2364">
        <f ca="1">ROUND(IF(C79&lt;=0,0,IF(C80&gt;=200%,C79*60%-C73*35%,IF(C80&gt;=100%,C79*50%-C73*15%,IF(C80&gt;=50%,C79*40%-C73*5%,IF(C80&lt;50%,C79*30%,0))))),0)</f>
        <v>72200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5" t="s">
        <v>1409</v>
      </c>
      <c r="B83" s="3326"/>
      <c r="C83" s="3326"/>
      <c r="D83" s="3326"/>
      <c r="E83" s="3326"/>
      <c r="F83" s="3326"/>
      <c r="G83" s="3326"/>
      <c r="H83" s="332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7" t="s">
        <v>1374</v>
      </c>
      <c r="B84" s="3318"/>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1394</v>
      </c>
      <c r="C85" s="2353">
        <f ca="1">ROUND(D45/(1+'数据-取费表'!C42),0)</f>
        <v>121487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1395</v>
      </c>
      <c r="C86" s="2353">
        <f ca="1">IF(H88="仅含出让金",C87+C90+C91+C92+C93+C94,C87+C91+C92+C93+C94)</f>
        <v>729</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1415</v>
      </c>
      <c r="C90" s="2367"/>
      <c r="D90" s="2362"/>
      <c r="E90" s="185" t="str">
        <f>IF(H88="-","土地取得成本中已包含该笔费用"," ")</f>
        <v xml:space="preserve"> </v>
      </c>
      <c r="F90" s="2147"/>
      <c r="G90" s="3283" t="s">
        <v>2124</v>
      </c>
      <c r="H90" s="3284"/>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1416</v>
      </c>
      <c r="B91" s="162" t="s">
        <v>1417</v>
      </c>
      <c r="C91" s="2361">
        <f>IF(H91="——",成本法!C33,I91)</f>
        <v>0</v>
      </c>
      <c r="D91" s="2362"/>
      <c r="E91" s="3314" t="s">
        <v>1418</v>
      </c>
      <c r="F91" s="3315"/>
      <c r="G91" s="331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1419</v>
      </c>
      <c r="B92" s="162" t="s">
        <v>1420</v>
      </c>
      <c r="C92" s="2361">
        <f>ROUND((C87+C90+C91)*D92,0)</f>
        <v>0</v>
      </c>
      <c r="D92" s="2368"/>
      <c r="E92" s="3314" t="s">
        <v>1421</v>
      </c>
      <c r="F92" s="3315"/>
      <c r="G92" s="3315"/>
      <c r="H92" s="3316"/>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1422</v>
      </c>
      <c r="B93" s="162" t="s">
        <v>1404</v>
      </c>
      <c r="C93" s="2361">
        <f ca="1">ROUND(D45*D93/(1+'数据-取费表'!C42),0)</f>
        <v>729</v>
      </c>
      <c r="D93" s="2362">
        <f>'数据-取费表'!B43</f>
        <v>6.000000000000001E-3</v>
      </c>
      <c r="E93" s="3314" t="s">
        <v>1405</v>
      </c>
      <c r="F93" s="3315"/>
      <c r="G93" s="3315"/>
      <c r="H93" s="331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1423</v>
      </c>
      <c r="B94" s="162" t="s">
        <v>1424</v>
      </c>
      <c r="C94" s="2367">
        <f>ROUND((C87+C90+C91)*D94,0)</f>
        <v>0</v>
      </c>
      <c r="D94" s="2362">
        <v>0.2</v>
      </c>
      <c r="E94" s="3359" t="s">
        <v>1425</v>
      </c>
      <c r="F94" s="3360"/>
      <c r="G94" s="3360"/>
      <c r="H94" s="336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1406</v>
      </c>
      <c r="C95" s="2353">
        <f ca="1">ROUND(C85-C86,0)</f>
        <v>120758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1407</v>
      </c>
      <c r="C96" s="2363">
        <f ca="1">IF(C95&lt;=0,0,C95/C86)</f>
        <v>165.6488340192044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1408</v>
      </c>
      <c r="C97" s="2364">
        <f ca="1">ROUND(IF(C95&lt;=0,0,IF(C96&gt;=200%,C95*60%-C86*35%,IF(C96&gt;=100%,C95*50%-C86*15%,IF(C96&gt;=50%,C95*40%-C86*5%,IF(C96&lt;50%,C95*30%,0))))),0)</f>
        <v>72200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1426</v>
      </c>
      <c r="B99" s="646"/>
      <c r="C99" s="646"/>
      <c r="D99" s="646"/>
      <c r="E99" s="1465"/>
      <c r="F99" s="1465"/>
      <c r="G99" s="1465"/>
      <c r="H99" s="1466"/>
      <c r="I99" s="121"/>
    </row>
    <row r="100" spans="1:35" ht="18.75" customHeight="1">
      <c r="A100" s="3261" t="s">
        <v>1427</v>
      </c>
      <c r="B100" s="3262"/>
      <c r="C100" s="3262"/>
      <c r="D100" s="3299"/>
      <c r="E100" s="3262" t="s">
        <v>1428</v>
      </c>
      <c r="F100" s="3262"/>
      <c r="G100" s="3262"/>
      <c r="H100" s="3299"/>
      <c r="I100" s="121"/>
    </row>
    <row r="101" spans="1:35" ht="18.75" customHeight="1">
      <c r="A101" s="3307" t="s">
        <v>1429</v>
      </c>
      <c r="B101" s="3308"/>
      <c r="C101" s="2370" t="str">
        <f>C4</f>
        <v>成本法</v>
      </c>
      <c r="D101" s="2371" t="str">
        <f>D4</f>
        <v>收益法</v>
      </c>
      <c r="E101" s="3277" t="s">
        <v>1430</v>
      </c>
      <c r="F101" s="3278"/>
      <c r="G101" s="1686" t="s">
        <v>1431</v>
      </c>
      <c r="H101" s="2380">
        <f ca="1">H118</f>
        <v>127561</v>
      </c>
      <c r="I101" s="121"/>
    </row>
    <row r="102" spans="1:35" ht="18.75" customHeight="1">
      <c r="A102" s="3309" t="s">
        <v>1432</v>
      </c>
      <c r="B102" s="2369" t="s">
        <v>1431</v>
      </c>
      <c r="C102" s="2370">
        <f ca="1">IF(D32="楼面单价",ROUND(C19,0),C19)</f>
        <v>155247</v>
      </c>
      <c r="D102" s="2371">
        <f ca="1">IF(D32="楼面单价",ROUND(D19,0),D19)</f>
        <v>99875</v>
      </c>
      <c r="E102" s="3277"/>
      <c r="F102" s="3278"/>
      <c r="G102" s="1686" t="s">
        <v>1433</v>
      </c>
      <c r="H102" s="2340">
        <f ca="1">I118</f>
        <v>18745</v>
      </c>
      <c r="I102" s="121"/>
    </row>
    <row r="103" spans="1:35" ht="42.75" customHeight="1">
      <c r="A103" s="3309"/>
      <c r="B103" s="2369" t="s">
        <v>1433</v>
      </c>
      <c r="C103" s="2372">
        <f ca="1">C20</f>
        <v>22814</v>
      </c>
      <c r="D103" s="2373">
        <f ca="1">D20</f>
        <v>14677</v>
      </c>
      <c r="E103" s="3270" t="s">
        <v>1434</v>
      </c>
      <c r="F103" s="3271"/>
      <c r="G103" s="1687" t="s">
        <v>1435</v>
      </c>
      <c r="H103" s="2380">
        <f>IF(D36="正常操作",H104+H105+H106,H105+H106)</f>
        <v>0</v>
      </c>
      <c r="I103" s="121"/>
    </row>
    <row r="104" spans="1:35" ht="18.75" customHeight="1">
      <c r="A104" s="3309" t="s">
        <v>1436</v>
      </c>
      <c r="B104" s="2374" t="s">
        <v>1431</v>
      </c>
      <c r="C104" s="2375">
        <f ca="1">H118</f>
        <v>127561</v>
      </c>
      <c r="D104" s="2376"/>
      <c r="E104" s="1554" t="s">
        <v>1437</v>
      </c>
      <c r="F104" s="1547"/>
      <c r="G104" s="1687" t="s">
        <v>1435</v>
      </c>
      <c r="H104" s="2381">
        <f>IF(D36="同一抵押权人同一抵押物续贷",C36&amp;"（续贷，未扣减，详见特别提示）",C36)</f>
        <v>0</v>
      </c>
      <c r="I104" s="121"/>
    </row>
    <row r="105" spans="1:35" ht="18.75" customHeight="1" thickBot="1">
      <c r="A105" s="3319"/>
      <c r="B105" s="2377" t="s">
        <v>1433</v>
      </c>
      <c r="C105" s="2378">
        <f ca="1">I118</f>
        <v>18745</v>
      </c>
      <c r="D105" s="2379"/>
      <c r="E105" s="1554" t="s">
        <v>1438</v>
      </c>
      <c r="F105" s="1547"/>
      <c r="G105" s="1687" t="s">
        <v>1435</v>
      </c>
      <c r="H105" s="2382">
        <f>C37</f>
        <v>0</v>
      </c>
      <c r="I105" s="121"/>
    </row>
    <row r="106" spans="1:35" ht="18.75" customHeight="1">
      <c r="A106" s="646" t="s">
        <v>1439</v>
      </c>
      <c r="B106" s="646"/>
      <c r="C106" s="646"/>
      <c r="D106" s="646"/>
      <c r="E106" s="1688" t="s">
        <v>1440</v>
      </c>
      <c r="F106" s="1547"/>
      <c r="G106" s="1687" t="s">
        <v>1435</v>
      </c>
      <c r="H106" s="2382">
        <f>C38</f>
        <v>0</v>
      </c>
      <c r="I106" s="121"/>
    </row>
    <row r="107" spans="1:35" ht="18.75" customHeight="1">
      <c r="A107" s="121"/>
      <c r="B107" s="121"/>
      <c r="C107" s="121"/>
      <c r="D107" s="121"/>
      <c r="E107" s="3310" t="str">
        <f>IF(项目基本情况!E8="已注销","——","3.房地产抵押价值")</f>
        <v>3.房地产抵押价值</v>
      </c>
      <c r="F107" s="3278"/>
      <c r="G107" s="1686" t="s">
        <v>1431</v>
      </c>
      <c r="H107" s="2380">
        <f ca="1">IF(E107="——","——",H101-H103)</f>
        <v>127561</v>
      </c>
      <c r="I107" s="121"/>
    </row>
    <row r="108" spans="1:35" ht="18.75" customHeight="1">
      <c r="A108" s="121"/>
      <c r="B108" s="121"/>
      <c r="C108" s="121"/>
      <c r="D108" s="121"/>
      <c r="E108" s="3310"/>
      <c r="F108" s="3278"/>
      <c r="G108" s="1686" t="s">
        <v>1433</v>
      </c>
      <c r="H108" s="2340">
        <f ca="1">IF(H107=H101,H102,ROUND(H107*10000/'数据-汇总表'!E3,0))</f>
        <v>18745</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6" t="s">
        <v>1431</v>
      </c>
      <c r="H109" s="2383" t="str">
        <f>IF(E109="——","——",H101-H105-H106)</f>
        <v>——</v>
      </c>
      <c r="I109" s="121"/>
    </row>
    <row r="110" spans="1:35" ht="18.75" customHeight="1">
      <c r="A110" s="121"/>
      <c r="B110" s="121"/>
      <c r="C110" s="121"/>
      <c r="D110" s="121"/>
      <c r="E110" s="3310"/>
      <c r="F110" s="3278"/>
      <c r="G110" s="1686" t="s">
        <v>1433</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6" t="s">
        <v>1431</v>
      </c>
      <c r="H111" s="2380" t="str">
        <f>IF(E111="——","——",N59)</f>
        <v>——</v>
      </c>
      <c r="I111" s="121"/>
    </row>
    <row r="112" spans="1:35" ht="18.75" customHeight="1" thickBot="1">
      <c r="A112" s="121"/>
      <c r="B112" s="121"/>
      <c r="C112" s="121"/>
      <c r="D112" s="121"/>
      <c r="E112" s="3312"/>
      <c r="F112" s="3313"/>
      <c r="G112" s="1689" t="s">
        <v>1433</v>
      </c>
      <c r="H112" s="2384" t="str">
        <f>IF(E111="——","——",N61)</f>
        <v>——</v>
      </c>
      <c r="I112" s="121"/>
    </row>
    <row r="113" spans="1:27" ht="18.75" customHeight="1">
      <c r="A113" s="121"/>
      <c r="B113" s="121"/>
      <c r="C113" s="121"/>
      <c r="D113" s="121"/>
      <c r="E113" s="3320" t="s">
        <v>1439</v>
      </c>
      <c r="F113" s="3320"/>
      <c r="G113" s="3320"/>
      <c r="H113" s="3320"/>
      <c r="I113" s="121"/>
    </row>
    <row r="114" spans="1:27" ht="3.75" customHeight="1">
      <c r="A114" s="646"/>
      <c r="B114" s="646"/>
      <c r="C114" s="646"/>
      <c r="D114" s="646"/>
      <c r="E114" s="1670"/>
      <c r="F114" s="1670"/>
      <c r="G114" s="1670"/>
      <c r="H114" s="1670"/>
      <c r="I114" s="646"/>
    </row>
    <row r="115" spans="1:27" ht="18.75" customHeight="1">
      <c r="A115" s="3328" t="s">
        <v>1441</v>
      </c>
      <c r="B115" s="3329"/>
      <c r="C115" s="3329"/>
      <c r="D115" s="3329"/>
      <c r="E115" s="3329"/>
      <c r="F115" s="3329"/>
      <c r="G115" s="3329"/>
      <c r="H115" s="3329"/>
      <c r="I115" s="3330"/>
    </row>
    <row r="116" spans="1:27" ht="27" customHeight="1">
      <c r="A116" s="3285" t="s">
        <v>1442</v>
      </c>
      <c r="B116" s="3289" t="s">
        <v>3509</v>
      </c>
      <c r="C116" s="3289" t="s">
        <v>3510</v>
      </c>
      <c r="D116" s="3295" t="s">
        <v>1443</v>
      </c>
      <c r="E116" s="3296"/>
      <c r="F116" s="3327" t="s">
        <v>4364</v>
      </c>
      <c r="G116" s="3327"/>
      <c r="H116" s="3285" t="s">
        <v>1444</v>
      </c>
      <c r="I116" s="3285"/>
    </row>
    <row r="117" spans="1:27" ht="18.75" customHeight="1">
      <c r="A117" s="3285"/>
      <c r="B117" s="3290"/>
      <c r="C117" s="3290"/>
      <c r="D117" s="2149" t="s">
        <v>1445</v>
      </c>
      <c r="E117" s="2149" t="s">
        <v>1446</v>
      </c>
      <c r="F117" s="2149" t="s">
        <v>1445</v>
      </c>
      <c r="G117" s="2149" t="s">
        <v>1447</v>
      </c>
      <c r="H117" s="2149" t="s">
        <v>1445</v>
      </c>
      <c r="I117" s="2149" t="s">
        <v>1447</v>
      </c>
    </row>
    <row r="118" spans="1:27" ht="24.75" customHeight="1">
      <c r="A118" s="2385" t="str">
        <f>项目基本情况!S2</f>
        <v>北京市房地产</v>
      </c>
      <c r="B118" s="2149">
        <f>M18</f>
        <v>68049.77999999997</v>
      </c>
      <c r="C118" s="2149">
        <f>M19</f>
        <v>15742.02</v>
      </c>
      <c r="D118" s="2149">
        <f ca="1">ROUND(IF(D32="总价",C34,E118*B118/10000),0)</f>
        <v>82149</v>
      </c>
      <c r="E118" s="2149">
        <f ca="1">ROUND(IF(C33="自定义",IF(D32="楼面单价",C34,D118*10000/B118),I118-G118),0)</f>
        <v>12072</v>
      </c>
      <c r="F118" s="2149">
        <f ca="1">ROUND(IF(D32="总价",C35,G118*B118/10000),0)</f>
        <v>45412</v>
      </c>
      <c r="G118" s="2149">
        <f ca="1">ROUND(IF(D32="楼面单价",C35,F118*10000/B118),0)</f>
        <v>6673</v>
      </c>
      <c r="H118" s="2149">
        <f ca="1">ROUND(IF(D32="总价",C32,I118*B118/10000),0)</f>
        <v>127561</v>
      </c>
      <c r="I118" s="2149">
        <f ca="1">ROUND(IF(D32="楼面单价",C32,H118*10000/B118),0)</f>
        <v>18745</v>
      </c>
    </row>
    <row r="119" spans="1:27" ht="18.75" customHeight="1">
      <c r="A119" s="3285" t="s">
        <v>1448</v>
      </c>
      <c r="B119" s="3285"/>
      <c r="C119" s="3285"/>
      <c r="D119" s="3291" t="str">
        <f ca="1">NUMBERSTRING(INT(D118*10000),2)&amp;"元整"</f>
        <v>捌亿贰仟壹佰肆拾玖万元整</v>
      </c>
      <c r="E119" s="3292"/>
      <c r="F119" s="3291" t="str">
        <f ca="1">NUMBERSTRING(INT(F118*10000),2)&amp;"元整"</f>
        <v>肆亿伍仟肆佰壹拾贰万元整</v>
      </c>
      <c r="G119" s="3292"/>
      <c r="H119" s="3291" t="str">
        <f ca="1">NUMBERSTRING(INT(H118*10000),2)&amp;"元整"</f>
        <v>壹拾贰亿柒仟伍佰陆拾壹万元整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1" t="s">
        <v>1448</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f ca="1">H107</f>
        <v>127561</v>
      </c>
      <c r="E122" s="3287"/>
      <c r="F122" s="3287"/>
      <c r="G122" s="3287"/>
      <c r="H122" s="3287"/>
      <c r="I122" s="3288"/>
      <c r="AA122" s="684"/>
    </row>
    <row r="123" spans="1:27" ht="18.75" customHeight="1">
      <c r="A123" s="3285" t="s">
        <v>1448</v>
      </c>
      <c r="B123" s="3285"/>
      <c r="C123" s="3285"/>
      <c r="D123" s="3291" t="str">
        <f ca="1">NUMBERSTRING(INT(D122*10000),2)&amp;"元整"</f>
        <v>壹拾贰亿柒仟伍佰陆拾壹万元整</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1448</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1448</v>
      </c>
      <c r="B127" s="3285"/>
      <c r="C127" s="3285"/>
      <c r="D127" s="3291" t="e">
        <f>NUMBERSTRING(INT(D126*10000),2)&amp;"元整"</f>
        <v>#VALUE!</v>
      </c>
      <c r="E127" s="3293"/>
      <c r="F127" s="3293"/>
      <c r="G127" s="3293"/>
      <c r="H127" s="3293"/>
      <c r="I127" s="3292"/>
      <c r="AA127" s="684"/>
    </row>
    <row r="128" spans="1:27" ht="21.75" customHeight="1">
      <c r="A128" s="3294" t="s">
        <v>1449</v>
      </c>
      <c r="B128" s="3294"/>
      <c r="C128" s="3294"/>
      <c r="D128" s="3294"/>
      <c r="E128" s="3294"/>
      <c r="F128" s="3294"/>
      <c r="G128" s="3294"/>
      <c r="H128" s="3294"/>
      <c r="I128" s="3294"/>
      <c r="AA128" s="684"/>
    </row>
    <row r="129" spans="1:35" ht="21.75" customHeight="1">
      <c r="A129" s="1690" t="s">
        <v>1450</v>
      </c>
      <c r="B129" s="1691"/>
      <c r="C129" s="1692" t="s">
        <v>1451</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1452</v>
      </c>
      <c r="G135" s="1705"/>
      <c r="H135" s="1705"/>
      <c r="I135" s="1706" t="s">
        <v>1453</v>
      </c>
    </row>
    <row r="136" spans="1:35" ht="21.75" customHeight="1">
      <c r="A136" s="684"/>
      <c r="B136" s="1707"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1455</v>
      </c>
    </row>
    <row r="139" spans="1:35" ht="21.75" customHeight="1">
      <c r="A139" s="684"/>
      <c r="B139" s="1707" t="s">
        <v>1456</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1455</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Normal="70" zoomScaleSheetLayoutView="100" workbookViewId="0">
      <selection activeCell="K23" sqref="K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3"/>
      <c r="C1" s="190"/>
      <c r="D1" s="190"/>
      <c r="E1" s="190"/>
      <c r="F1" s="190"/>
      <c r="G1" s="1062">
        <f>MATCH(B1,'数据-取费表'!A6:A16,0)+5</f>
        <v>7</v>
      </c>
    </row>
    <row r="2" spans="1:9" s="192" customFormat="1" ht="18" customHeight="1">
      <c r="A2" s="193" t="s">
        <v>1458</v>
      </c>
      <c r="B2" s="194">
        <f ca="1">IF(D2="——",C52,C52-E2)</f>
        <v>155247</v>
      </c>
      <c r="C2" s="191" t="s">
        <v>1459</v>
      </c>
      <c r="D2" s="1710" t="s">
        <v>43</v>
      </c>
      <c r="E2" s="1089" t="e">
        <f ca="1">SUMIF(INDIRECT("'"&amp;G2&amp;"'"&amp;"!A:A"),"承租人权益价值",INDIRECT("'"&amp;G2&amp;"'"&amp;"!c:c"))</f>
        <v>#REF!</v>
      </c>
      <c r="F2" s="1711" t="s">
        <v>1459</v>
      </c>
      <c r="G2" s="1712"/>
    </row>
    <row r="3" spans="1:9" s="192" customFormat="1" ht="18" customHeight="1" thickBot="1">
      <c r="A3" s="195" t="s">
        <v>1460</v>
      </c>
      <c r="B3" s="196">
        <f ca="1">ROUND(B2*10000/(IF(B1="",'数据-汇总表'!E3,INDIRECT("'数据-取费表'!k"&amp;$G$1))),0)</f>
        <v>22814</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 ca="1">C6+C7+C8</f>
        <v>65503</v>
      </c>
      <c r="D5" s="203" t="s">
        <v>1465</v>
      </c>
      <c r="E5" s="204" t="s">
        <v>1466</v>
      </c>
      <c r="F5" s="204" t="s">
        <v>1467</v>
      </c>
      <c r="G5" s="205"/>
    </row>
    <row r="6" spans="1:9" s="206" customFormat="1" ht="13.5" customHeight="1">
      <c r="A6" s="732" t="s">
        <v>1468</v>
      </c>
      <c r="B6" s="207" t="s">
        <v>1469</v>
      </c>
      <c r="C6" s="208">
        <f>K23</f>
        <v>62310</v>
      </c>
      <c r="D6" s="209"/>
      <c r="E6" s="210"/>
      <c r="F6" s="210"/>
      <c r="G6" s="211"/>
    </row>
    <row r="7" spans="1:9" s="206" customFormat="1" ht="13.5" customHeight="1">
      <c r="A7" s="732" t="s">
        <v>1470</v>
      </c>
      <c r="B7" s="207" t="s">
        <v>1471</v>
      </c>
      <c r="C7" s="212">
        <f>ROUND(C6*F7,0)</f>
        <v>1900</v>
      </c>
      <c r="D7" s="212"/>
      <c r="E7" s="210"/>
      <c r="F7" s="213">
        <f>IF(项目基本情况!B8="出让",0,'数据-取费表'!B48+'数据-取费表'!B49)</f>
        <v>3.0499999999999999E-2</v>
      </c>
      <c r="G7" s="211"/>
    </row>
    <row r="8" spans="1:9" s="215" customFormat="1">
      <c r="A8" s="732" t="s">
        <v>1472</v>
      </c>
      <c r="B8" s="207" t="s">
        <v>1473</v>
      </c>
      <c r="C8" s="212">
        <f ca="1">IF(G8="已包含在土地购买价格中","0",IF(B1="",'数据-取费表'!B29,IF(G9="全部缴纳",C9+C10,H9)))</f>
        <v>1293</v>
      </c>
      <c r="D8" s="214"/>
      <c r="E8" s="212"/>
      <c r="F8" s="213"/>
      <c r="G8" s="1713" t="s">
        <v>4353</v>
      </c>
    </row>
    <row r="9" spans="1:9" s="206" customFormat="1" ht="13.5" customHeight="1">
      <c r="A9" s="733" t="s">
        <v>355</v>
      </c>
      <c r="B9" s="216" t="s">
        <v>1474</v>
      </c>
      <c r="C9" s="217">
        <f ca="1">ROUND(D9*E9/10000,0)</f>
        <v>0</v>
      </c>
      <c r="D9" s="795">
        <f ca="1">IF(B1="",'数据-汇总表'!E5,IF(INDIRECT("'数据-取费表'!c"&amp;$G$1)="住宅",INDIRECT("'数据-取费表'!k"&amp;$G$1),0))</f>
        <v>0</v>
      </c>
      <c r="E9" s="217">
        <f>'数据-取费表'!B27</f>
        <v>150</v>
      </c>
      <c r="F9" s="213"/>
      <c r="G9" s="1714" t="s">
        <v>4354</v>
      </c>
      <c r="H9" s="1070"/>
      <c r="I9" s="1715" t="s">
        <v>1475</v>
      </c>
    </row>
    <row r="10" spans="1:9" s="206" customFormat="1" ht="13.5" customHeight="1">
      <c r="A10" s="733" t="s">
        <v>356</v>
      </c>
      <c r="B10" s="216" t="s">
        <v>1476</v>
      </c>
      <c r="C10" s="217">
        <f ca="1">ROUND(D10*E10/10000,0)</f>
        <v>1293</v>
      </c>
      <c r="D10" s="795">
        <f ca="1">IF(B1="",'数据-汇总表'!E6,IF(INDIRECT("'数据-取费表'!c"&amp;$G$1)="住宅",INDIRECT("'数据-取费表'!s"&amp;$G$1),INDIRECT("'数据-取费表'!k"&amp;$G$1)+INDIRECT("'数据-取费表'!s"&amp;$G$1)))</f>
        <v>68049.77999999997</v>
      </c>
      <c r="E10" s="217">
        <f>'数据-取费表'!B28</f>
        <v>190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12" s="206" customFormat="1" ht="13.5" hidden="1" customHeight="1">
      <c r="A17" s="219" t="s">
        <v>10</v>
      </c>
      <c r="B17" s="207" t="s">
        <v>1484</v>
      </c>
      <c r="C17" s="221"/>
      <c r="D17" s="221"/>
      <c r="E17" s="221"/>
      <c r="F17" s="221"/>
      <c r="G17" s="211" t="s">
        <v>1483</v>
      </c>
    </row>
    <row r="18" spans="1:12" s="206" customFormat="1" ht="13.5" hidden="1" customHeight="1">
      <c r="A18" s="219" t="s">
        <v>11</v>
      </c>
      <c r="B18" s="207" t="s">
        <v>1485</v>
      </c>
      <c r="C18" s="212">
        <v>0</v>
      </c>
      <c r="D18" s="210"/>
      <c r="E18" s="210"/>
      <c r="F18" s="213">
        <v>3.0499999999999999E-2</v>
      </c>
      <c r="G18" s="211" t="s">
        <v>1486</v>
      </c>
    </row>
    <row r="19" spans="1:12" s="215" customFormat="1" ht="13.5" customHeight="1">
      <c r="A19" s="247" t="s">
        <v>1487</v>
      </c>
      <c r="B19" s="202" t="s">
        <v>1488</v>
      </c>
      <c r="C19" s="203" t="str">
        <f>IF(G19="已包含在土地取得成本中","0",ROUND(D19*E19/10000,0))</f>
        <v>0</v>
      </c>
      <c r="D19" s="204">
        <f ca="1">D9+D10</f>
        <v>68049.77999999997</v>
      </c>
      <c r="E19" s="203">
        <f>'数据-取费表'!B31</f>
        <v>200</v>
      </c>
      <c r="F19" s="223"/>
      <c r="G19" s="1713" t="s">
        <v>4355</v>
      </c>
      <c r="H19" s="3175"/>
      <c r="I19" s="3176" t="s">
        <v>4367</v>
      </c>
      <c r="J19" s="3176" t="s">
        <v>4368</v>
      </c>
      <c r="K19" s="3176" t="s">
        <v>4369</v>
      </c>
      <c r="L19" s="3175"/>
    </row>
    <row r="20" spans="1:12" s="206" customFormat="1" ht="13.5" customHeight="1">
      <c r="A20" s="247" t="s">
        <v>1489</v>
      </c>
      <c r="B20" s="202" t="s">
        <v>1490</v>
      </c>
      <c r="C20" s="224">
        <f ca="1">ROUND((C5+C19)*F20,0)</f>
        <v>1965</v>
      </c>
      <c r="D20" s="224"/>
      <c r="E20" s="224"/>
      <c r="F20" s="225">
        <f>'数据-取费表'!B37</f>
        <v>0.03</v>
      </c>
      <c r="G20" s="226" t="s">
        <v>1491</v>
      </c>
      <c r="H20" s="3177" t="s">
        <v>4366</v>
      </c>
      <c r="I20" s="3178">
        <f>'[4]土地比较法-住宅、综合'!$B$56</f>
        <v>13512</v>
      </c>
      <c r="J20" s="3178">
        <f>'数据-基础表'!I13</f>
        <v>44140.36</v>
      </c>
      <c r="K20" s="3178">
        <f>ROUND(I20*J20/10000,0)</f>
        <v>59642</v>
      </c>
      <c r="L20" s="3178"/>
    </row>
    <row r="21" spans="1:12" s="206" customFormat="1" ht="13.5" customHeight="1">
      <c r="A21" s="247" t="s">
        <v>1492</v>
      </c>
      <c r="B21" s="202" t="s">
        <v>1493</v>
      </c>
      <c r="C21" s="227">
        <f>F21</f>
        <v>0.03</v>
      </c>
      <c r="D21" s="228" t="s">
        <v>1494</v>
      </c>
      <c r="E21" s="224"/>
      <c r="F21" s="225">
        <f>'数据-取费表'!B38</f>
        <v>0.03</v>
      </c>
      <c r="G21" s="226" t="s">
        <v>1495</v>
      </c>
      <c r="H21" s="3177" t="s">
        <v>3450</v>
      </c>
      <c r="I21" s="3178">
        <f>'[4]土地比较法-住宅、综合'!$B$57</f>
        <v>2027</v>
      </c>
      <c r="J21" s="3178">
        <f>'数据-基础表'!K13</f>
        <v>9581.2999999999993</v>
      </c>
      <c r="K21" s="3178">
        <f t="shared" ref="K21:K22" si="0">ROUND(I21*J21/10000,0)</f>
        <v>1942</v>
      </c>
      <c r="L21" s="3178"/>
    </row>
    <row r="22" spans="1:12" s="206" customFormat="1" ht="13.5" customHeight="1">
      <c r="A22" s="247" t="s">
        <v>1496</v>
      </c>
      <c r="B22" s="202" t="s">
        <v>1497</v>
      </c>
      <c r="C22" s="1041">
        <f ca="1">ROUND(SUM(C23:C25),0)</f>
        <v>6375</v>
      </c>
      <c r="D22" s="227">
        <f ca="1">C26</f>
        <v>1.4E-3</v>
      </c>
      <c r="E22" s="228" t="s">
        <v>1494</v>
      </c>
      <c r="F22" s="229">
        <f ca="1">'数据-取费表'!B40</f>
        <v>3.1E-2</v>
      </c>
      <c r="G22" s="226" t="str">
        <f>IF('数据-取费表'!B22&lt;=1,"单利计息","复利计息")</f>
        <v>复利计息</v>
      </c>
      <c r="H22" s="3177" t="s">
        <v>3480</v>
      </c>
      <c r="I22" s="3178">
        <f>'[4]土地比较法-住宅、综合'!$B$63</f>
        <v>507</v>
      </c>
      <c r="J22" s="3178">
        <f>'数据-基础表'!M13</f>
        <v>14328.11999999997</v>
      </c>
      <c r="K22" s="3178">
        <f t="shared" si="0"/>
        <v>726</v>
      </c>
      <c r="L22" s="3178"/>
    </row>
    <row r="23" spans="1:12" s="206" customFormat="1" ht="13.5" customHeight="1">
      <c r="A23" s="734" t="s">
        <v>1498</v>
      </c>
      <c r="B23" s="207" t="s">
        <v>1499</v>
      </c>
      <c r="C23" s="1042">
        <f ca="1">ROUND(IF('数据-取费表'!B22&lt;=1,C5*F22*'数据-取费表'!B23,C5*(POWER((1+F22),'数据-取费表'!B23)-1)),0)</f>
        <v>6283</v>
      </c>
      <c r="D23" s="230"/>
      <c r="E23" s="230"/>
      <c r="F23" s="231"/>
      <c r="G23" s="232" t="s">
        <v>1500</v>
      </c>
      <c r="H23" s="3178"/>
      <c r="I23" s="3178"/>
      <c r="J23" s="3178">
        <f>J20+J21+J22</f>
        <v>68049.77999999997</v>
      </c>
      <c r="K23" s="3178">
        <f>K20+K21+K22</f>
        <v>62310</v>
      </c>
      <c r="L23" s="3178"/>
    </row>
    <row r="24" spans="1:12" s="206" customFormat="1" ht="13.5" customHeight="1">
      <c r="A24" s="734" t="s">
        <v>1501</v>
      </c>
      <c r="B24" s="207" t="s">
        <v>1502</v>
      </c>
      <c r="C24" s="1042">
        <f ca="1">ROUND(IF('数据-取费表'!B22&lt;=1,C19*F22*('数据-取费表'!B19/2+'数据-取费表'!B21),C19*(POWER((1+F22),('数据-取费表'!B19/2+'数据-取费表'!B21))-1)),0)</f>
        <v>0</v>
      </c>
      <c r="D24" s="230"/>
      <c r="E24" s="230"/>
      <c r="F24" s="231"/>
      <c r="G24" s="232" t="s">
        <v>1503</v>
      </c>
      <c r="H24" s="3178"/>
      <c r="I24" s="3178"/>
      <c r="J24" s="3178"/>
      <c r="K24" s="3178"/>
      <c r="L24" s="3178"/>
    </row>
    <row r="25" spans="1:12" s="206" customFormat="1" ht="24">
      <c r="A25" s="734" t="s">
        <v>1504</v>
      </c>
      <c r="B25" s="207" t="s">
        <v>1505</v>
      </c>
      <c r="C25" s="1042">
        <f ca="1">ROUND(IF('数据-取费表'!B22&lt;=1,C20*F22*'数据-取费表'!B23/2,C20*(POWER((1+F22),'数据-取费表'!B23/2)-1)),0)</f>
        <v>92</v>
      </c>
      <c r="D25" s="230"/>
      <c r="E25" s="233"/>
      <c r="F25" s="231"/>
      <c r="G25" s="234" t="s">
        <v>1506</v>
      </c>
    </row>
    <row r="26" spans="1:12" s="206" customFormat="1">
      <c r="A26" s="734" t="s">
        <v>350</v>
      </c>
      <c r="B26" s="207" t="s">
        <v>1507</v>
      </c>
      <c r="C26" s="230">
        <f ca="1">ROUND(IF('数据-取费表'!B22&lt;=1,F21*F22*'数据-取费表'!B23/2,F21*(POWER((1+F22),'数据-取费表'!B23/2)-1)),4)</f>
        <v>1.4E-3</v>
      </c>
      <c r="D26" s="230"/>
      <c r="E26" s="233"/>
      <c r="F26" s="231"/>
      <c r="G26" s="235"/>
    </row>
    <row r="27" spans="1:12" s="206" customFormat="1" ht="24.75">
      <c r="A27" s="247" t="s">
        <v>1508</v>
      </c>
      <c r="B27" s="236" t="s">
        <v>1509</v>
      </c>
      <c r="C27" s="237">
        <f ca="1">C28</f>
        <v>16867</v>
      </c>
      <c r="D27" s="227">
        <f ca="1">C29</f>
        <v>7.4999999999999997E-3</v>
      </c>
      <c r="E27" s="228" t="s">
        <v>1510</v>
      </c>
      <c r="F27" s="238">
        <f ca="1">IF(B1="",'数据-取费表'!Q16,INDIRECT("'数据-取费表'!q"&amp;$G$1))</f>
        <v>0.25</v>
      </c>
      <c r="G27" s="239" t="s">
        <v>1511</v>
      </c>
    </row>
    <row r="28" spans="1:12" s="206" customFormat="1" ht="13.5" customHeight="1">
      <c r="A28" s="734" t="s">
        <v>346</v>
      </c>
      <c r="B28" s="240" t="s">
        <v>1512</v>
      </c>
      <c r="C28" s="241">
        <f ca="1">ROUND((C5+C19+C20)*F27*'数据-取费表'!B21/'数据-取费表'!B20,0)</f>
        <v>16867</v>
      </c>
      <c r="D28" s="227"/>
      <c r="E28" s="228"/>
      <c r="F28" s="238"/>
      <c r="G28" s="239"/>
    </row>
    <row r="29" spans="1:12" s="206" customFormat="1" ht="13.5" customHeight="1">
      <c r="A29" s="734" t="s">
        <v>347</v>
      </c>
      <c r="B29" s="240" t="s">
        <v>1513</v>
      </c>
      <c r="C29" s="230">
        <f ca="1">ROUND(C21*F27*'数据-取费表'!B21/'数据-取费表'!B20,4)</f>
        <v>7.4999999999999997E-3</v>
      </c>
      <c r="D29" s="227"/>
      <c r="E29" s="228"/>
      <c r="F29" s="238"/>
      <c r="G29" s="239"/>
    </row>
    <row r="30" spans="1:12" s="206" customFormat="1" ht="13.5" customHeight="1">
      <c r="A30" s="247" t="s">
        <v>1514</v>
      </c>
      <c r="B30" s="202" t="s">
        <v>1515</v>
      </c>
      <c r="C30" s="227">
        <f>ROUND(F30/(1+'数据-取费表'!C42),4)</f>
        <v>5.33E-2</v>
      </c>
      <c r="D30" s="228" t="s">
        <v>1510</v>
      </c>
      <c r="E30" s="233"/>
      <c r="F30" s="229">
        <f>'数据-取费表'!B41</f>
        <v>5.6000000000000001E-2</v>
      </c>
      <c r="G30" s="226" t="s">
        <v>1516</v>
      </c>
    </row>
    <row r="31" spans="1:12" ht="16.5" customHeight="1">
      <c r="A31" s="201">
        <v>1</v>
      </c>
      <c r="B31" s="202" t="s">
        <v>1517</v>
      </c>
      <c r="C31" s="203">
        <f ca="1">ROUND((C5+C19+C20+C22+C27)/(1-C21-D22-D27-C30),0)</f>
        <v>99923</v>
      </c>
      <c r="D31" s="222"/>
      <c r="E31" s="203"/>
      <c r="F31" s="242"/>
      <c r="G31" s="226" t="s">
        <v>1518</v>
      </c>
    </row>
    <row r="32" spans="1:12" s="200" customFormat="1" ht="15.75">
      <c r="A32" s="244" t="s">
        <v>1519</v>
      </c>
      <c r="B32" s="245"/>
      <c r="C32" s="245"/>
      <c r="D32" s="245"/>
      <c r="E32" s="245"/>
      <c r="F32" s="245"/>
      <c r="G32" s="246"/>
    </row>
    <row r="33" spans="1:7" s="206" customFormat="1" ht="13.5" customHeight="1">
      <c r="A33" s="247" t="s">
        <v>337</v>
      </c>
      <c r="B33" s="202" t="s">
        <v>1520</v>
      </c>
      <c r="C33" s="248">
        <f ca="1">SUM(C34:C38)</f>
        <v>39578</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35386</v>
      </c>
      <c r="D34" s="209"/>
      <c r="E34" s="212"/>
      <c r="F34" s="249">
        <f ca="1">IF('数据-取费表'!B24=0,1,IF(B1="",'数据-取费表'!N16,INDIRECT("'数据-取费表'!n"&amp;$G$1)))</f>
        <v>1</v>
      </c>
      <c r="G34" s="211" t="s">
        <v>1522</v>
      </c>
    </row>
    <row r="35" spans="1:7" ht="13.5" customHeight="1">
      <c r="A35" s="734" t="s">
        <v>351</v>
      </c>
      <c r="B35" s="207" t="s">
        <v>1523</v>
      </c>
      <c r="C35" s="212">
        <f ca="1">ROUND(C34*F35,0)</f>
        <v>1769</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1526</v>
      </c>
    </row>
    <row r="37" spans="1:7" s="250" customFormat="1" ht="13.5" customHeight="1">
      <c r="A37" s="734" t="s">
        <v>353</v>
      </c>
      <c r="B37" s="207" t="s">
        <v>1527</v>
      </c>
      <c r="C37" s="241">
        <f ca="1">ROUND(E37*D37*F34/10000,0)</f>
        <v>1361</v>
      </c>
      <c r="D37" s="209">
        <f ca="1">D19</f>
        <v>68049.77999999997</v>
      </c>
      <c r="E37" s="241">
        <f>'数据-取费表'!B35</f>
        <v>200</v>
      </c>
      <c r="F37" s="251"/>
      <c r="G37" s="253" t="s">
        <v>1528</v>
      </c>
    </row>
    <row r="38" spans="1:7" ht="13.5" customHeight="1">
      <c r="A38" s="734" t="s">
        <v>354</v>
      </c>
      <c r="B38" s="207" t="s">
        <v>1529</v>
      </c>
      <c r="C38" s="212">
        <f ca="1">ROUND(C34*F38,0)</f>
        <v>1062</v>
      </c>
      <c r="D38" s="212"/>
      <c r="E38" s="212"/>
      <c r="F38" s="251">
        <f>'数据-取费表'!B36</f>
        <v>0.03</v>
      </c>
      <c r="G38" s="211" t="s">
        <v>1524</v>
      </c>
    </row>
    <row r="39" spans="1:7" s="206" customFormat="1" ht="13.5" customHeight="1">
      <c r="A39" s="247" t="s">
        <v>1530</v>
      </c>
      <c r="B39" s="202" t="s">
        <v>1531</v>
      </c>
      <c r="C39" s="224">
        <f ca="1">ROUND(C33*F20,0)</f>
        <v>1187</v>
      </c>
      <c r="D39" s="224"/>
      <c r="E39" s="224"/>
      <c r="F39" s="225">
        <f>F20</f>
        <v>0.03</v>
      </c>
      <c r="G39" s="226" t="s">
        <v>1532</v>
      </c>
    </row>
    <row r="40" spans="1:7" s="206" customFormat="1" ht="13.5" customHeight="1">
      <c r="A40" s="247" t="s">
        <v>1533</v>
      </c>
      <c r="B40" s="202" t="s">
        <v>1534</v>
      </c>
      <c r="C40" s="227">
        <f>F21</f>
        <v>0.03</v>
      </c>
      <c r="D40" s="228" t="s">
        <v>1535</v>
      </c>
      <c r="E40" s="224"/>
      <c r="F40" s="225">
        <f>F21</f>
        <v>0.03</v>
      </c>
      <c r="G40" s="226" t="s">
        <v>1536</v>
      </c>
    </row>
    <row r="41" spans="1:7" s="206" customFormat="1" ht="13.5" customHeight="1">
      <c r="A41" s="247" t="s">
        <v>1537</v>
      </c>
      <c r="B41" s="202" t="s">
        <v>1538</v>
      </c>
      <c r="C41" s="224">
        <f ca="1">ROUND(SUM(C42:C43),0)</f>
        <v>1911</v>
      </c>
      <c r="D41" s="227">
        <f ca="1">C44</f>
        <v>1.4E-3</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1855</v>
      </c>
      <c r="D42" s="230"/>
      <c r="E42" s="230"/>
      <c r="F42" s="231"/>
      <c r="G42" s="3364" t="s">
        <v>1540</v>
      </c>
    </row>
    <row r="43" spans="1:7" ht="13.5" customHeight="1">
      <c r="A43" s="734" t="s">
        <v>347</v>
      </c>
      <c r="B43" s="207" t="s">
        <v>1541</v>
      </c>
      <c r="C43" s="230">
        <f ca="1">ROUND(IF('数据-取费表'!B22&lt;=1,C39*F22*'数据-取费表'!B21/2,C39*(POWER((1+F22),'数据-取费表'!B21/2)-1)),0)</f>
        <v>56</v>
      </c>
      <c r="D43" s="230"/>
      <c r="E43" s="230"/>
      <c r="F43" s="231"/>
      <c r="G43" s="3365"/>
    </row>
    <row r="44" spans="1:7" ht="13.5" customHeight="1">
      <c r="A44" s="734" t="s">
        <v>348</v>
      </c>
      <c r="B44" s="207" t="s">
        <v>1542</v>
      </c>
      <c r="C44" s="230">
        <f ca="1">ROUND(IF('数据-取费表'!B22&lt;=1,C40*F22*'数据-取费表'!B21/2,C40*(POWER((1+F22),'数据-取费表'!B21/2)-1)),4)</f>
        <v>1.4E-3</v>
      </c>
      <c r="D44" s="230"/>
      <c r="E44" s="230"/>
      <c r="F44" s="231"/>
      <c r="G44" s="3366"/>
    </row>
    <row r="45" spans="1:7" s="206" customFormat="1" ht="13.5" customHeight="1">
      <c r="A45" s="247" t="s">
        <v>1543</v>
      </c>
      <c r="B45" s="236" t="s">
        <v>1509</v>
      </c>
      <c r="C45" s="237">
        <f ca="1">C46</f>
        <v>10191</v>
      </c>
      <c r="D45" s="227">
        <f ca="1">C47</f>
        <v>7.4999999999999997E-3</v>
      </c>
      <c r="E45" s="228" t="s">
        <v>1535</v>
      </c>
      <c r="F45" s="238">
        <f ca="1">F27</f>
        <v>0.25</v>
      </c>
      <c r="G45" s="239" t="s">
        <v>1544</v>
      </c>
    </row>
    <row r="46" spans="1:7" s="206" customFormat="1" ht="13.5" customHeight="1">
      <c r="A46" s="734" t="s">
        <v>346</v>
      </c>
      <c r="B46" s="240" t="s">
        <v>1545</v>
      </c>
      <c r="C46" s="241">
        <f ca="1">ROUND((C33+C39)*F27,0)</f>
        <v>10191</v>
      </c>
      <c r="D46" s="255"/>
      <c r="E46" s="228"/>
      <c r="F46" s="238"/>
      <c r="G46" s="239"/>
    </row>
    <row r="47" spans="1:7" s="206" customFormat="1" ht="13.5" customHeight="1">
      <c r="A47" s="734" t="s">
        <v>347</v>
      </c>
      <c r="B47" s="240" t="s">
        <v>1546</v>
      </c>
      <c r="C47" s="230">
        <f ca="1">ROUND(C40*F27,4)</f>
        <v>7.4999999999999997E-3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58236</v>
      </c>
      <c r="D49" s="224"/>
      <c r="E49" s="224"/>
      <c r="F49" s="256"/>
      <c r="G49" s="226" t="s">
        <v>1550</v>
      </c>
    </row>
    <row r="50" spans="1:7" s="250" customFormat="1" ht="24">
      <c r="A50" s="247" t="s">
        <v>1551</v>
      </c>
      <c r="B50" s="202" t="s">
        <v>1552</v>
      </c>
      <c r="C50" s="224"/>
      <c r="D50" s="224"/>
      <c r="E50" s="224"/>
      <c r="F50" s="256">
        <f>IF('数据-取费表'!B24=0,'数据-取费表'!N16,1)</f>
        <v>0.95</v>
      </c>
      <c r="G50" s="239" t="s">
        <v>1553</v>
      </c>
    </row>
    <row r="51" spans="1:7" ht="16.5" customHeight="1">
      <c r="A51" s="247" t="s">
        <v>1554</v>
      </c>
      <c r="B51" s="202" t="s">
        <v>1555</v>
      </c>
      <c r="C51" s="224">
        <f ca="1">ROUND(C49*F50,0)</f>
        <v>55324</v>
      </c>
      <c r="D51" s="224"/>
      <c r="E51" s="224"/>
      <c r="F51" s="256"/>
      <c r="G51" s="226" t="s">
        <v>1556</v>
      </c>
    </row>
    <row r="52" spans="1:7" s="200" customFormat="1" ht="16.5" thickBot="1">
      <c r="A52" s="257" t="s">
        <v>1557</v>
      </c>
      <c r="B52" s="258"/>
      <c r="C52" s="259">
        <f ca="1">C31+C51</f>
        <v>155247</v>
      </c>
      <c r="D52" s="258"/>
      <c r="E52" s="258"/>
      <c r="F52" s="258"/>
      <c r="G52" s="260"/>
    </row>
    <row r="55" spans="1:7" ht="15">
      <c r="B55" s="262" t="s">
        <v>1558</v>
      </c>
      <c r="C55" s="263"/>
    </row>
    <row r="56" spans="1:7">
      <c r="B56" s="265" t="s">
        <v>801</v>
      </c>
      <c r="C56" s="267">
        <f ca="1">1-C57</f>
        <v>0.64400000000000002</v>
      </c>
    </row>
    <row r="57" spans="1:7">
      <c r="B57" s="265" t="s">
        <v>802</v>
      </c>
      <c r="C57" s="266">
        <f ca="1">ROUND(C51/C52,3)</f>
        <v>0.35599999999999998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3"/>
      <c r="C1" s="1716" t="s">
        <v>1559</v>
      </c>
      <c r="D1" s="190"/>
      <c r="E1" s="190"/>
      <c r="F1" s="190"/>
      <c r="G1" s="1062">
        <f>MATCH(B1,'数据-取费表'!A6:A16,0)+5</f>
        <v>7</v>
      </c>
      <c r="H1" s="998" t="str">
        <f>IF(ISERROR(FIND("住宅",B1)),"非住宅","住宅")</f>
        <v>非住宅</v>
      </c>
    </row>
    <row r="2" spans="1:8" s="192" customFormat="1" ht="18" customHeight="1">
      <c r="A2" s="193" t="s">
        <v>1458</v>
      </c>
      <c r="B2" s="3122">
        <f ca="1">ROUND(IF(D2="——",C52/10000,C52/10000-E2),4)</f>
        <v>59372.601799999997</v>
      </c>
      <c r="C2" s="191" t="s">
        <v>1459</v>
      </c>
      <c r="D2" s="1710" t="s">
        <v>43</v>
      </c>
      <c r="E2" s="1089" t="e">
        <f ca="1">SUMIF(INDIRECT("'"&amp;G2&amp;"'"&amp;"!A:A"),"承租人权益价值",INDIRECT("'"&amp;G2&amp;"'"&amp;"!c:c"))</f>
        <v>#REF!</v>
      </c>
      <c r="F2" s="1711" t="s">
        <v>1459</v>
      </c>
      <c r="G2" s="1712"/>
    </row>
    <row r="3" spans="1:8" s="192" customFormat="1" ht="18" customHeight="1" thickBot="1">
      <c r="A3" s="195" t="s">
        <v>1460</v>
      </c>
      <c r="B3" s="196">
        <f ca="1">ROUND(B2*10000/(IF(B1="",'数据-汇总表'!E3,INDIRECT("'数据-取费表'!k"&amp;$G$1))),0)</f>
        <v>8725</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12929458</v>
      </c>
      <c r="D5" s="203" t="s">
        <v>1465</v>
      </c>
      <c r="E5" s="204" t="s">
        <v>1466</v>
      </c>
      <c r="F5" s="204" t="s">
        <v>1467</v>
      </c>
      <c r="G5" s="205"/>
    </row>
    <row r="6" spans="1:8" s="206" customFormat="1" ht="13.5" customHeight="1">
      <c r="A6" s="732" t="s">
        <v>1468</v>
      </c>
      <c r="B6" s="207" t="s">
        <v>1469</v>
      </c>
      <c r="C6" s="208"/>
      <c r="D6" s="209"/>
      <c r="E6" s="210"/>
      <c r="F6" s="210"/>
      <c r="G6" s="211"/>
    </row>
    <row r="7" spans="1:8" s="206" customFormat="1" ht="13.5" customHeight="1">
      <c r="A7" s="732" t="s">
        <v>1470</v>
      </c>
      <c r="B7" s="207" t="s">
        <v>1471</v>
      </c>
      <c r="C7" s="212">
        <f>ROUND(C6*F7,0)</f>
        <v>0</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12929458</v>
      </c>
      <c r="D8" s="214"/>
      <c r="E8" s="212"/>
      <c r="F8" s="213"/>
      <c r="G8" s="1713"/>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1476</v>
      </c>
      <c r="C10" s="217">
        <f ca="1">ROUND(D10*E10,0)</f>
        <v>12929458</v>
      </c>
      <c r="D10" s="795">
        <f ca="1">IF(B1="",'数据-汇总表'!E6,IF(INDIRECT("'数据-取费表'!c"&amp;$G$1)="住宅",INDIRECT("'数据-取费表'!s"&amp;$G$1),INDIRECT("'数据-取费表'!k"&amp;$G$1)+INDIRECT("'数据-取费表'!s"&amp;$G$1)))</f>
        <v>68049.77999999997</v>
      </c>
      <c r="E10" s="217">
        <f>'数据-取费表'!B28</f>
        <v>190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f ca="1">IF(G19="已包含在土地取得成本中","0",ROUND(D19*E19,0))</f>
        <v>13609956</v>
      </c>
      <c r="D19" s="204">
        <f ca="1">D9+D10</f>
        <v>68049.77999999997</v>
      </c>
      <c r="E19" s="203">
        <f>'数据-取费表'!B31</f>
        <v>200</v>
      </c>
      <c r="F19" s="223"/>
      <c r="G19" s="1713"/>
    </row>
    <row r="20" spans="1:7" s="206" customFormat="1" ht="13.5" customHeight="1">
      <c r="A20" s="247" t="s">
        <v>1570</v>
      </c>
      <c r="B20" s="202" t="s">
        <v>1571</v>
      </c>
      <c r="C20" s="224">
        <f ca="1">ROUND((C5+C19)*F20,0)</f>
        <v>796182</v>
      </c>
      <c r="D20" s="224"/>
      <c r="E20" s="224"/>
      <c r="F20" s="225">
        <f>'数据-取费表'!B37</f>
        <v>0.03</v>
      </c>
      <c r="G20" s="226" t="s">
        <v>1572</v>
      </c>
    </row>
    <row r="21" spans="1:7" s="206" customFormat="1" ht="13.5" customHeight="1">
      <c r="A21" s="247" t="s">
        <v>1573</v>
      </c>
      <c r="B21" s="202" t="s">
        <v>1574</v>
      </c>
      <c r="C21" s="227">
        <f>F21</f>
        <v>0.03</v>
      </c>
      <c r="D21" s="228" t="s">
        <v>1575</v>
      </c>
      <c r="E21" s="224"/>
      <c r="F21" s="225">
        <f>'数据-取费表'!B38</f>
        <v>0.03</v>
      </c>
      <c r="G21" s="226" t="s">
        <v>1576</v>
      </c>
    </row>
    <row r="22" spans="1:7" s="206" customFormat="1" ht="13.5" customHeight="1">
      <c r="A22" s="247" t="s">
        <v>1577</v>
      </c>
      <c r="B22" s="202" t="s">
        <v>1578</v>
      </c>
      <c r="C22" s="224">
        <f ca="1">ROUND(SUM(C23:C25),0)</f>
        <v>2582777</v>
      </c>
      <c r="D22" s="227">
        <f ca="1">C26</f>
        <v>1.4E-3</v>
      </c>
      <c r="E22" s="228" t="s">
        <v>1575</v>
      </c>
      <c r="F22" s="229">
        <f ca="1">'数据-取费表'!B40</f>
        <v>3.1E-2</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1240100</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1305369</v>
      </c>
      <c r="D24" s="230"/>
      <c r="E24" s="230"/>
      <c r="F24" s="231"/>
      <c r="G24" s="232" t="s">
        <v>1582</v>
      </c>
    </row>
    <row r="25" spans="1:7" s="206" customFormat="1" ht="24">
      <c r="A25" s="734" t="s">
        <v>1472</v>
      </c>
      <c r="B25" s="207" t="s">
        <v>1583</v>
      </c>
      <c r="C25" s="230">
        <f ca="1">ROUND(IF('数据-取费表'!B22&lt;=1,C20*F22*'数据-取费表'!B22/2,C20*(POWER((1+F22),'数据-取费表'!B22/2)-1)),0)</f>
        <v>37308</v>
      </c>
      <c r="D25" s="230"/>
      <c r="E25" s="233"/>
      <c r="F25" s="231"/>
      <c r="G25" s="234" t="s">
        <v>1584</v>
      </c>
    </row>
    <row r="26" spans="1:7" s="206" customFormat="1">
      <c r="A26" s="734" t="s">
        <v>350</v>
      </c>
      <c r="B26" s="207" t="s">
        <v>1507</v>
      </c>
      <c r="C26" s="230">
        <f ca="1">ROUND(IF('数据-取费表'!B22&lt;=1,F21*F22*'数据-取费表'!B22/2,F21*(POWER((1+F22),'数据-取费表'!B22/2)-1)),4)</f>
        <v>1.4E-3</v>
      </c>
      <c r="D26" s="230"/>
      <c r="E26" s="233"/>
      <c r="F26" s="231"/>
      <c r="G26" s="235"/>
    </row>
    <row r="27" spans="1:7" s="206" customFormat="1" ht="24.75">
      <c r="A27" s="247" t="s">
        <v>1508</v>
      </c>
      <c r="B27" s="236" t="s">
        <v>1509</v>
      </c>
      <c r="C27" s="237">
        <f ca="1">C28</f>
        <v>6833899</v>
      </c>
      <c r="D27" s="227">
        <f ca="1">C29</f>
        <v>7.4999999999999997E-3</v>
      </c>
      <c r="E27" s="228" t="s">
        <v>1510</v>
      </c>
      <c r="F27" s="238">
        <f ca="1">IF(B1="",'数据-取费表'!Q16,INDIRECT("'数据-取费表'!q"&amp;$G$1))</f>
        <v>0.25</v>
      </c>
      <c r="G27" s="239" t="s">
        <v>1511</v>
      </c>
    </row>
    <row r="28" spans="1:7" s="206" customFormat="1" ht="13.5" customHeight="1">
      <c r="A28" s="734" t="s">
        <v>346</v>
      </c>
      <c r="B28" s="240" t="s">
        <v>1512</v>
      </c>
      <c r="C28" s="241">
        <f ca="1">ROUND((C5+C19+C20)*F27,0)</f>
        <v>6833899</v>
      </c>
      <c r="D28" s="227"/>
      <c r="E28" s="228"/>
      <c r="F28" s="238"/>
      <c r="G28" s="239"/>
    </row>
    <row r="29" spans="1:7" s="206" customFormat="1" ht="13.5" customHeight="1">
      <c r="A29" s="734" t="s">
        <v>347</v>
      </c>
      <c r="B29" s="240" t="s">
        <v>1513</v>
      </c>
      <c r="C29" s="230">
        <f ca="1">ROUND(C21*F27,4)</f>
        <v>7.4999999999999997E-3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40484988</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395777521</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353858856</v>
      </c>
      <c r="D34" s="209"/>
      <c r="E34" s="212"/>
      <c r="F34" s="249"/>
      <c r="G34" s="211"/>
    </row>
    <row r="35" spans="1:7" ht="13.5" customHeight="1">
      <c r="A35" s="734" t="s">
        <v>351</v>
      </c>
      <c r="B35" s="207" t="s">
        <v>1523</v>
      </c>
      <c r="C35" s="212">
        <f ca="1">ROUND(C34*F35,0)</f>
        <v>17692943</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34" t="s">
        <v>353</v>
      </c>
      <c r="B37" s="207" t="s">
        <v>1527</v>
      </c>
      <c r="C37" s="241">
        <f ca="1">ROUND(E37*D37,0)</f>
        <v>13609956</v>
      </c>
      <c r="D37" s="209">
        <f ca="1">D19</f>
        <v>68049.77999999997</v>
      </c>
      <c r="E37" s="241">
        <f>'数据-取费表'!B35</f>
        <v>200</v>
      </c>
      <c r="F37" s="251"/>
      <c r="G37" s="253"/>
    </row>
    <row r="38" spans="1:7" ht="13.5" customHeight="1">
      <c r="A38" s="734" t="s">
        <v>354</v>
      </c>
      <c r="B38" s="207" t="s">
        <v>1529</v>
      </c>
      <c r="C38" s="212">
        <f ca="1">ROUND(C34*F38,0)</f>
        <v>10615766</v>
      </c>
      <c r="D38" s="212"/>
      <c r="E38" s="212"/>
      <c r="F38" s="251">
        <f>'数据-取费表'!B36</f>
        <v>0.03</v>
      </c>
      <c r="G38" s="211" t="s">
        <v>1524</v>
      </c>
    </row>
    <row r="39" spans="1:7" s="206" customFormat="1" ht="13.5" customHeight="1">
      <c r="A39" s="247" t="s">
        <v>1530</v>
      </c>
      <c r="B39" s="202" t="s">
        <v>1531</v>
      </c>
      <c r="C39" s="224">
        <f ca="1">ROUND(C33*F20,0)</f>
        <v>11873326</v>
      </c>
      <c r="D39" s="224"/>
      <c r="E39" s="224"/>
      <c r="F39" s="225">
        <f>F20</f>
        <v>0.03</v>
      </c>
      <c r="G39" s="226" t="s">
        <v>1532</v>
      </c>
    </row>
    <row r="40" spans="1:7" s="206" customFormat="1" ht="13.5" customHeight="1">
      <c r="A40" s="247" t="s">
        <v>1533</v>
      </c>
      <c r="B40" s="202" t="s">
        <v>1534</v>
      </c>
      <c r="C40" s="227">
        <f>F21</f>
        <v>0.03</v>
      </c>
      <c r="D40" s="228" t="s">
        <v>1535</v>
      </c>
      <c r="E40" s="224"/>
      <c r="F40" s="225">
        <f>F21</f>
        <v>0.03</v>
      </c>
      <c r="G40" s="226" t="s">
        <v>1536</v>
      </c>
    </row>
    <row r="41" spans="1:7" s="206" customFormat="1" ht="13.5" customHeight="1">
      <c r="A41" s="247" t="s">
        <v>1537</v>
      </c>
      <c r="B41" s="202" t="s">
        <v>1538</v>
      </c>
      <c r="C41" s="224">
        <f ca="1">ROUND(SUM(C42:C43),0)</f>
        <v>19101922</v>
      </c>
      <c r="D41" s="227">
        <f ca="1">C44</f>
        <v>1.4E-3</v>
      </c>
      <c r="E41" s="228" t="s">
        <v>1535</v>
      </c>
      <c r="F41" s="229">
        <f ca="1">F22</f>
        <v>3.1E-2</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18545555</v>
      </c>
      <c r="D42" s="230"/>
      <c r="E42" s="230"/>
      <c r="F42" s="231"/>
      <c r="G42" s="3364" t="s">
        <v>1587</v>
      </c>
    </row>
    <row r="43" spans="1:7" ht="13.5" customHeight="1">
      <c r="A43" s="734" t="s">
        <v>347</v>
      </c>
      <c r="B43" s="207" t="s">
        <v>1541</v>
      </c>
      <c r="C43" s="230">
        <f ca="1">ROUND(IF('数据-取费表'!B22&lt;=1,C39*F22*'数据-取费表'!B20/2,C39*(POWER((1+F22),'数据-取费表'!B20/2)-1)),0)</f>
        <v>556367</v>
      </c>
      <c r="D43" s="230"/>
      <c r="E43" s="230"/>
      <c r="F43" s="231"/>
      <c r="G43" s="3365"/>
    </row>
    <row r="44" spans="1:7" ht="13.5" customHeight="1">
      <c r="A44" s="734" t="s">
        <v>348</v>
      </c>
      <c r="B44" s="207" t="s">
        <v>1542</v>
      </c>
      <c r="C44" s="230">
        <f ca="1">ROUND(IF('数据-取费表'!B22&lt;=1,C40*F22*'数据-取费表'!B20/2,C40*(POWER((1+F22),'数据-取费表'!B20/2)-1)),4)</f>
        <v>1.4E-3</v>
      </c>
      <c r="D44" s="230"/>
      <c r="E44" s="230"/>
      <c r="F44" s="231"/>
      <c r="G44" s="3366"/>
    </row>
    <row r="45" spans="1:7" s="206" customFormat="1" ht="13.5" customHeight="1">
      <c r="A45" s="247" t="s">
        <v>1543</v>
      </c>
      <c r="B45" s="236" t="s">
        <v>1509</v>
      </c>
      <c r="C45" s="237">
        <f ca="1">C46</f>
        <v>101912712</v>
      </c>
      <c r="D45" s="227">
        <f ca="1">C47</f>
        <v>7.4999999999999997E-3</v>
      </c>
      <c r="E45" s="228" t="s">
        <v>1535</v>
      </c>
      <c r="F45" s="238">
        <f ca="1">F27</f>
        <v>0.25</v>
      </c>
      <c r="G45" s="239" t="s">
        <v>1544</v>
      </c>
    </row>
    <row r="46" spans="1:7" s="206" customFormat="1" ht="13.5" customHeight="1">
      <c r="A46" s="734" t="s">
        <v>346</v>
      </c>
      <c r="B46" s="240" t="s">
        <v>1545</v>
      </c>
      <c r="C46" s="241">
        <f ca="1">ROUND((C33+C39)*F27,0)</f>
        <v>101912712</v>
      </c>
      <c r="D46" s="255"/>
      <c r="E46" s="228"/>
      <c r="F46" s="238"/>
      <c r="G46" s="239"/>
    </row>
    <row r="47" spans="1:7" s="206" customFormat="1" ht="13.5" customHeight="1">
      <c r="A47" s="734" t="s">
        <v>347</v>
      </c>
      <c r="B47" s="240" t="s">
        <v>1546</v>
      </c>
      <c r="C47" s="230">
        <f ca="1">ROUND(C40*F27,4)</f>
        <v>7.4999999999999997E-3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582358979</v>
      </c>
      <c r="D49" s="224"/>
      <c r="E49" s="224"/>
      <c r="F49" s="256"/>
      <c r="G49" s="226" t="s">
        <v>1550</v>
      </c>
    </row>
    <row r="50" spans="1:7" s="250" customFormat="1">
      <c r="A50" s="247" t="s">
        <v>1551</v>
      </c>
      <c r="B50" s="202" t="s">
        <v>1552</v>
      </c>
      <c r="C50" s="224"/>
      <c r="D50" s="224"/>
      <c r="E50" s="224"/>
      <c r="F50" s="256">
        <f>IF('数据-取费表'!B24=0,'数据-取费表'!N16,1)</f>
        <v>0.95</v>
      </c>
      <c r="G50" s="239"/>
    </row>
    <row r="51" spans="1:7" ht="16.5" customHeight="1">
      <c r="A51" s="247" t="s">
        <v>1554</v>
      </c>
      <c r="B51" s="202" t="s">
        <v>1589</v>
      </c>
      <c r="C51" s="224">
        <f ca="1">ROUND(C49*F50,0)</f>
        <v>553241030</v>
      </c>
      <c r="D51" s="224"/>
      <c r="E51" s="224"/>
      <c r="F51" s="256"/>
      <c r="G51" s="226" t="s">
        <v>1556</v>
      </c>
    </row>
    <row r="52" spans="1:7" s="200" customFormat="1" ht="16.5" thickBot="1">
      <c r="A52" s="257" t="s">
        <v>1557</v>
      </c>
      <c r="B52" s="258"/>
      <c r="C52" s="259">
        <f ca="1">C31+C51</f>
        <v>593726018</v>
      </c>
      <c r="D52" s="258"/>
      <c r="E52" s="258"/>
      <c r="F52" s="258"/>
      <c r="G52" s="260"/>
    </row>
    <row r="55" spans="1:7" ht="15">
      <c r="B55" s="262" t="s">
        <v>1558</v>
      </c>
      <c r="C55" s="263"/>
    </row>
    <row r="56" spans="1:7">
      <c r="B56" s="265" t="s">
        <v>801</v>
      </c>
      <c r="C56" s="267">
        <f ca="1">1-C57</f>
        <v>6.7999999999999949E-2</v>
      </c>
    </row>
    <row r="57" spans="1:7">
      <c r="B57" s="265" t="s">
        <v>802</v>
      </c>
      <c r="C57" s="266">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09"/>
      <c r="D1" s="1108"/>
      <c r="E1" s="2567"/>
      <c r="F1" s="2567"/>
      <c r="G1" s="2448"/>
      <c r="H1" s="2567"/>
      <c r="I1" s="2567"/>
      <c r="J1" s="2567"/>
      <c r="K1" s="2568">
        <f>MATCH(C1,'数据-取费表'!A6:A16,0)+5</f>
        <v>7</v>
      </c>
    </row>
    <row r="2" spans="1:33" ht="18" customHeight="1">
      <c r="A2" s="193" t="s">
        <v>1458</v>
      </c>
      <c r="B2" s="196">
        <f ca="1">C32</f>
        <v>0</v>
      </c>
      <c r="C2" s="268" t="s">
        <v>1591</v>
      </c>
      <c r="D2" s="268"/>
      <c r="E2" s="2567"/>
      <c r="F2" s="2567"/>
      <c r="G2" s="2567"/>
      <c r="H2" s="2567"/>
      <c r="I2" s="2567"/>
      <c r="J2" s="2567"/>
      <c r="K2" s="2567"/>
    </row>
    <row r="3" spans="1:33" ht="18" customHeight="1" thickBot="1">
      <c r="A3" s="195" t="s">
        <v>1460</v>
      </c>
      <c r="B3" s="196">
        <f ca="1">ROUND(B2*10000/IF(C1="",'数据-汇总表'!E3,INDIRECT("'数据-取费表'!K"&amp;$K$1)),0)</f>
        <v>0</v>
      </c>
      <c r="C3" s="268" t="s">
        <v>1592</v>
      </c>
      <c r="D3" s="268"/>
      <c r="E3" s="2567"/>
      <c r="F3" s="2567"/>
      <c r="G3" s="2567"/>
      <c r="H3" s="2567"/>
      <c r="I3" s="2567"/>
      <c r="J3" s="2567"/>
      <c r="K3" s="2567"/>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68049.77999999997</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0.03</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68049.77999999997</v>
      </c>
      <c r="E17" s="21">
        <f>'数据-取费表'!B32</f>
        <v>0</v>
      </c>
      <c r="F17" s="758"/>
      <c r="G17" s="123" t="s">
        <v>1619</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0</v>
      </c>
      <c r="D18" s="796"/>
      <c r="E18" s="21"/>
      <c r="F18" s="756"/>
      <c r="G18" s="1719"/>
      <c r="H18" s="1105"/>
      <c r="I18" s="1720" t="s">
        <v>1621</v>
      </c>
      <c r="J18" s="759"/>
      <c r="K18" s="760"/>
    </row>
    <row r="19" spans="1:33" s="755" customFormat="1" ht="13.5" customHeight="1">
      <c r="A19" s="752" t="s">
        <v>360</v>
      </c>
      <c r="B19" s="753" t="s">
        <v>1622</v>
      </c>
      <c r="C19" s="21">
        <f ca="1">ROUND(D19*E19/10000,0)</f>
        <v>0</v>
      </c>
      <c r="D19" s="796">
        <f ca="1">IF(C1="",'数据-汇总表'!E5,IF(INDIRECT("'数据-取费表'!c"&amp;$K$1)="住宅",INDIRECT("'数据-取费表'!k"&amp;$K$1),0))</f>
        <v>0</v>
      </c>
      <c r="E19" s="21">
        <f>'数据-取费表'!B27</f>
        <v>150</v>
      </c>
      <c r="F19" s="756"/>
      <c r="G19" s="12"/>
      <c r="H19" s="1107"/>
      <c r="I19" s="761"/>
      <c r="J19" s="761"/>
      <c r="K19" s="762"/>
    </row>
    <row r="20" spans="1:33" s="755" customFormat="1" ht="13.5" customHeight="1">
      <c r="A20" s="752" t="s">
        <v>361</v>
      </c>
      <c r="B20" s="753" t="s">
        <v>1623</v>
      </c>
      <c r="C20" s="21">
        <f ca="1">ROUND(D20*E20/10000,0)</f>
        <v>1293</v>
      </c>
      <c r="D20" s="796">
        <f ca="1">IF(C1="",'数据-汇总表'!E6,IF(INDIRECT("'数据-取费表'!c"&amp;$K$1)="住宅",INDIRECT("'数据-取费表'!s"&amp;$K$1),INDIRECT("'数据-取费表'!k"&amp;$K$1)+INDIRECT("'数据-取费表'!s"&amp;$K$1)))</f>
        <v>68049.77999999997</v>
      </c>
      <c r="E20" s="21">
        <f>'数据-取费表'!B28</f>
        <v>190</v>
      </c>
      <c r="F20" s="756"/>
      <c r="G20" s="12"/>
      <c r="H20" s="761"/>
      <c r="I20" s="761"/>
      <c r="J20" s="761"/>
      <c r="K20" s="762"/>
    </row>
    <row r="21" spans="1:33" s="755" customFormat="1" ht="13.5" customHeight="1">
      <c r="A21" s="744" t="s">
        <v>357</v>
      </c>
      <c r="B21" s="765" t="s">
        <v>1624</v>
      </c>
      <c r="C21" s="766">
        <f ca="1">C16+C17+C18</f>
        <v>0</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0.03</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0.03</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1637</v>
      </c>
      <c r="B28" s="1722" t="s">
        <v>1638</v>
      </c>
      <c r="C28" s="279">
        <f ca="1">C30</f>
        <v>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0</v>
      </c>
      <c r="D30" s="276"/>
      <c r="E30" s="277"/>
      <c r="F30" s="282"/>
      <c r="G30" s="123"/>
      <c r="H30" s="759"/>
      <c r="I30" s="759"/>
      <c r="J30" s="759"/>
      <c r="K30" s="760"/>
    </row>
    <row r="31" spans="1:33" s="755" customFormat="1" ht="13.5" customHeight="1" thickBot="1">
      <c r="A31" s="1723" t="s">
        <v>1642</v>
      </c>
      <c r="B31" s="783" t="s">
        <v>1643</v>
      </c>
      <c r="C31" s="784">
        <f>ROUND(C4*F31/(1+'数据-取费表'!C42),0)</f>
        <v>0</v>
      </c>
      <c r="D31" s="785"/>
      <c r="E31" s="786"/>
      <c r="F31" s="787">
        <f>'数据-取费表'!B41</f>
        <v>5.6000000000000001E-2</v>
      </c>
      <c r="G31" s="788" t="s">
        <v>1644</v>
      </c>
      <c r="H31" s="789"/>
      <c r="I31" s="789"/>
      <c r="J31" s="789"/>
      <c r="K31" s="790"/>
    </row>
    <row r="32" spans="1:33" s="751" customFormat="1" ht="13.5" customHeight="1" thickBot="1">
      <c r="A32" s="449" t="s">
        <v>1645</v>
      </c>
      <c r="B32" s="779"/>
      <c r="C32" s="780">
        <f ca="1">ROUND((C4-C21-C22-C23-C25-C28-C31)/(1+C24+D25+D28),0)</f>
        <v>0</v>
      </c>
      <c r="D32" s="779"/>
      <c r="E32" s="779"/>
      <c r="F32" s="779"/>
      <c r="G32" s="781" t="s">
        <v>1646</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5" zoomScale="90" zoomScaleNormal="60" zoomScaleSheetLayoutView="90" workbookViewId="0">
      <selection activeCell="M56" sqref="M5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f>F65</f>
        <v>64644</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f>ROUND(IF(D3="",B2*10000/'数据-汇总表'!E3,B2*10000/D3),0)</f>
        <v>9500</v>
      </c>
      <c r="C3" s="195" t="s">
        <v>1865</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389" t="s">
        <v>1771</v>
      </c>
      <c r="Q4" s="3390"/>
      <c r="R4" s="3372" t="s">
        <v>1767</v>
      </c>
      <c r="S4" s="3373"/>
      <c r="T4" s="3372" t="s">
        <v>1768</v>
      </c>
      <c r="U4" s="3373"/>
      <c r="V4" s="3397" t="s">
        <v>1769</v>
      </c>
      <c r="W4" s="3397"/>
      <c r="X4" s="1264"/>
      <c r="Y4" s="3372" t="s">
        <v>1771</v>
      </c>
      <c r="Z4" s="3373"/>
      <c r="AA4" s="3367" t="s">
        <v>1767</v>
      </c>
      <c r="AB4" s="3368" t="s">
        <v>1768</v>
      </c>
      <c r="AC4" s="3367" t="s">
        <v>1769</v>
      </c>
    </row>
    <row r="5" spans="1:29" ht="15">
      <c r="A5" s="348"/>
      <c r="B5" s="349"/>
      <c r="C5" s="3378" t="s">
        <v>1669</v>
      </c>
      <c r="D5" s="3379"/>
      <c r="E5" s="3376" t="s">
        <v>1670</v>
      </c>
      <c r="F5" s="3377"/>
      <c r="G5" s="3378" t="s">
        <v>1671</v>
      </c>
      <c r="H5" s="3379"/>
      <c r="I5" s="3378" t="s">
        <v>1672</v>
      </c>
      <c r="J5" s="3379"/>
      <c r="K5" s="537"/>
      <c r="L5" s="2486"/>
      <c r="M5" s="2487"/>
      <c r="N5" s="2487"/>
      <c r="O5" s="2487"/>
      <c r="P5" s="3391"/>
      <c r="Q5" s="3392"/>
      <c r="R5" s="3374"/>
      <c r="S5" s="3375"/>
      <c r="T5" s="3374"/>
      <c r="U5" s="3375"/>
      <c r="V5" s="3397"/>
      <c r="W5" s="3397"/>
      <c r="X5" s="1264"/>
      <c r="Y5" s="3374"/>
      <c r="Z5" s="3375"/>
      <c r="AA5" s="3368"/>
      <c r="AB5" s="3368"/>
      <c r="AC5" s="3368"/>
    </row>
    <row r="6" spans="1:29" ht="15.75" thickBot="1">
      <c r="A6" s="350"/>
      <c r="B6" s="351"/>
      <c r="C6" s="3380" t="s">
        <v>1673</v>
      </c>
      <c r="D6" s="3381"/>
      <c r="E6" s="3382" t="s">
        <v>1673</v>
      </c>
      <c r="F6" s="3383"/>
      <c r="G6" s="3380" t="s">
        <v>1673</v>
      </c>
      <c r="H6" s="3381"/>
      <c r="I6" s="3380" t="s">
        <v>1673</v>
      </c>
      <c r="J6" s="3381"/>
      <c r="K6" s="537" t="s">
        <v>1674</v>
      </c>
      <c r="L6" s="2486"/>
      <c r="M6" s="2487"/>
      <c r="N6" s="2487"/>
      <c r="O6" s="2487"/>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v>45047</v>
      </c>
      <c r="F7" s="357">
        <f>SUMIF(69:69,YEAR(E7)&amp;"-"&amp;INT((MONTH(E7)+2)/3),70:70)</f>
        <v>100</v>
      </c>
      <c r="G7" s="356">
        <v>45047</v>
      </c>
      <c r="H7" s="355">
        <f>SUMIF(69:69,YEAR(G7)&amp;"-"&amp;INT((MONTH(G7)+2)/3),70:70)</f>
        <v>100</v>
      </c>
      <c r="I7" s="356">
        <v>45047</v>
      </c>
      <c r="J7" s="355">
        <f>SUMIF(69:69,YEAR(I7)&amp;"-"&amp;INT((MONTH(I7)+2)/3),70:70)</f>
        <v>100</v>
      </c>
      <c r="K7" s="38"/>
      <c r="L7" s="2488"/>
      <c r="M7" s="2439"/>
      <c r="N7" s="2439"/>
      <c r="O7" s="2439"/>
      <c r="P7" s="3370" t="s">
        <v>1676</v>
      </c>
      <c r="Q7" s="3398"/>
      <c r="R7" s="664" t="s">
        <v>14</v>
      </c>
      <c r="S7" s="665">
        <f t="shared" ref="S7:S15" si="0">F7</f>
        <v>100</v>
      </c>
      <c r="T7" s="664" t="s">
        <v>14</v>
      </c>
      <c r="U7" s="665">
        <f t="shared" ref="U7:U15" si="1">H7</f>
        <v>100</v>
      </c>
      <c r="V7" s="664" t="s">
        <v>14</v>
      </c>
      <c r="W7" s="665">
        <f t="shared" ref="W7:W15" si="2">J7</f>
        <v>100</v>
      </c>
      <c r="X7" s="666"/>
      <c r="Y7" s="3370" t="s">
        <v>1676</v>
      </c>
      <c r="Z7" s="3371"/>
      <c r="AA7" s="50">
        <f>D7/F7</f>
        <v>1</v>
      </c>
      <c r="AB7" s="50">
        <f>D7/H7</f>
        <v>1</v>
      </c>
      <c r="AC7" s="50">
        <f>D7/J7</f>
        <v>1</v>
      </c>
    </row>
    <row r="8" spans="1:29" s="102" customFormat="1" ht="15.75" thickBot="1">
      <c r="A8" s="352" t="s">
        <v>1677</v>
      </c>
      <c r="B8" s="353"/>
      <c r="C8" s="358" t="s">
        <v>1678</v>
      </c>
      <c r="D8" s="355">
        <v>100</v>
      </c>
      <c r="E8" s="358" t="s">
        <v>1678</v>
      </c>
      <c r="F8" s="357">
        <f>SUMIF(72:72,E8,73:73)-SUMIF(72:72,C8,73:73)+100</f>
        <v>100</v>
      </c>
      <c r="G8" s="358" t="s">
        <v>1678</v>
      </c>
      <c r="H8" s="355">
        <f>SUMIF(72:72,G8,73:73)-SUMIF(72:72,C8,73:73)+100</f>
        <v>100</v>
      </c>
      <c r="I8" s="358" t="s">
        <v>1678</v>
      </c>
      <c r="J8" s="355">
        <f>SUMIF(72:72,I8,73:73)-SUMIF(72:72,C8,73:73)+100</f>
        <v>100</v>
      </c>
      <c r="K8" s="38"/>
      <c r="L8" s="2488"/>
      <c r="M8" s="2439"/>
      <c r="N8" s="2439"/>
      <c r="O8" s="2439"/>
      <c r="P8" s="3370" t="s">
        <v>1679</v>
      </c>
      <c r="Q8" s="3371"/>
      <c r="R8" s="664" t="s">
        <v>14</v>
      </c>
      <c r="S8" s="665">
        <f t="shared" si="0"/>
        <v>100</v>
      </c>
      <c r="T8" s="664" t="s">
        <v>14</v>
      </c>
      <c r="U8" s="665">
        <f t="shared" si="1"/>
        <v>100</v>
      </c>
      <c r="V8" s="664" t="s">
        <v>14</v>
      </c>
      <c r="W8" s="665">
        <f t="shared" si="2"/>
        <v>100</v>
      </c>
      <c r="X8" s="666"/>
      <c r="Y8" s="3370" t="s">
        <v>1679</v>
      </c>
      <c r="Z8" s="3371"/>
      <c r="AA8" s="50">
        <f t="shared" ref="AA8:AA45" si="3">D8/F8</f>
        <v>1</v>
      </c>
      <c r="AB8" s="50">
        <f t="shared" ref="AB8:AB45" si="4">D8/H8</f>
        <v>1</v>
      </c>
      <c r="AC8" s="50">
        <f t="shared" ref="AC8:AC45" si="5">D8/J8</f>
        <v>1</v>
      </c>
    </row>
    <row r="9" spans="1:29" s="102" customFormat="1">
      <c r="A9" s="359" t="s">
        <v>1680</v>
      </c>
      <c r="B9" s="60" t="s">
        <v>1681</v>
      </c>
      <c r="C9" s="1824" t="s">
        <v>672</v>
      </c>
      <c r="D9" s="59">
        <v>100</v>
      </c>
      <c r="E9" s="1824" t="s">
        <v>672</v>
      </c>
      <c r="F9" s="59">
        <f>SUMIF(74:74,E9,75:75)-SUMIF(74:74,C9,75:75)+100</f>
        <v>100</v>
      </c>
      <c r="G9" s="1824" t="s">
        <v>672</v>
      </c>
      <c r="H9" s="59">
        <f>SUMIF(74:74,G9,75:75)-SUMIF(74:74,C9,75:75)+100</f>
        <v>100</v>
      </c>
      <c r="I9" s="1824" t="s">
        <v>672</v>
      </c>
      <c r="J9" s="59">
        <f>SUMIF(74:74,I9,75:75)-SUMIF(74:74,C9,75:75)+100</f>
        <v>100</v>
      </c>
      <c r="K9" s="38"/>
      <c r="L9" s="2488"/>
      <c r="M9" s="2439"/>
      <c r="N9" s="2439"/>
      <c r="O9" s="2540"/>
      <c r="P9" s="3384"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384"/>
      <c r="Q10" s="530" t="str">
        <f t="shared" si="6"/>
        <v>土地使用年限（年）</v>
      </c>
      <c r="R10" s="664" t="s">
        <v>14</v>
      </c>
      <c r="S10" s="665">
        <f t="shared" si="0"/>
        <v>108</v>
      </c>
      <c r="T10" s="664" t="s">
        <v>14</v>
      </c>
      <c r="U10" s="665">
        <f t="shared" si="1"/>
        <v>108</v>
      </c>
      <c r="V10" s="664" t="s">
        <v>14</v>
      </c>
      <c r="W10" s="665">
        <f t="shared" si="2"/>
        <v>108</v>
      </c>
      <c r="X10" s="666"/>
      <c r="Y10" s="3340"/>
      <c r="Z10" s="50" t="str">
        <f t="shared" si="7"/>
        <v>土地使用年限（年）</v>
      </c>
      <c r="AA10" s="50">
        <f t="shared" si="3"/>
        <v>0.92592592592592593</v>
      </c>
      <c r="AB10" s="50">
        <f t="shared" si="4"/>
        <v>0.92592592592592593</v>
      </c>
      <c r="AC10" s="50">
        <f t="shared" si="5"/>
        <v>0.92592592592592593</v>
      </c>
    </row>
    <row r="11" spans="1:29" ht="15">
      <c r="A11" s="367"/>
      <c r="B11" s="364" t="s">
        <v>1685</v>
      </c>
      <c r="C11" s="368">
        <v>2</v>
      </c>
      <c r="D11" s="119">
        <v>100</v>
      </c>
      <c r="E11" s="368"/>
      <c r="F11" s="119">
        <f>LOOKUP(E11,79:79,80:80)-LOOKUP(C11,79:79,80:80)+100</f>
        <v>106</v>
      </c>
      <c r="G11" s="369"/>
      <c r="H11" s="119">
        <f>LOOKUP(G11,79:79,80:80)-LOOKUP(C11,79:79,80:80)+100</f>
        <v>106</v>
      </c>
      <c r="I11" s="368"/>
      <c r="J11" s="119">
        <f>LOOKUP(I11,79:79,80:80)-LOOKUP(C11,79:79,80:80)+100</f>
        <v>106</v>
      </c>
      <c r="K11" s="593">
        <v>3</v>
      </c>
      <c r="L11" s="2491"/>
      <c r="M11" s="2487"/>
      <c r="N11" s="2487"/>
      <c r="O11" s="2542"/>
      <c r="P11" s="3384"/>
      <c r="Q11" s="530" t="str">
        <f t="shared" si="6"/>
        <v>容积率</v>
      </c>
      <c r="R11" s="664" t="s">
        <v>14</v>
      </c>
      <c r="S11" s="665">
        <f t="shared" si="0"/>
        <v>106</v>
      </c>
      <c r="T11" s="664" t="s">
        <v>14</v>
      </c>
      <c r="U11" s="665">
        <f t="shared" si="1"/>
        <v>106</v>
      </c>
      <c r="V11" s="664" t="s">
        <v>14</v>
      </c>
      <c r="W11" s="665">
        <f t="shared" si="2"/>
        <v>106</v>
      </c>
      <c r="X11" s="666"/>
      <c r="Y11" s="3340"/>
      <c r="Z11" s="50" t="str">
        <f t="shared" si="7"/>
        <v>容积率</v>
      </c>
      <c r="AA11" s="50">
        <f t="shared" si="3"/>
        <v>0.94339622641509435</v>
      </c>
      <c r="AB11" s="50">
        <f t="shared" si="4"/>
        <v>0.94339622641509435</v>
      </c>
      <c r="AC11" s="50">
        <f t="shared" si="5"/>
        <v>0.94339622641509435</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4"/>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3173" t="s">
        <v>4332</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4"/>
      <c r="Q13" s="530" t="str">
        <f t="shared" si="6"/>
        <v>自持限制</v>
      </c>
      <c r="R13" s="664" t="s">
        <v>14</v>
      </c>
      <c r="S13" s="665">
        <f t="shared" si="0"/>
        <v>100</v>
      </c>
      <c r="T13" s="664" t="s">
        <v>14</v>
      </c>
      <c r="U13" s="665">
        <f t="shared" si="1"/>
        <v>100</v>
      </c>
      <c r="V13" s="664" t="s">
        <v>14</v>
      </c>
      <c r="W13" s="665">
        <f t="shared" si="2"/>
        <v>100</v>
      </c>
      <c r="X13" s="666"/>
      <c r="Y13" s="3340"/>
      <c r="Z13" s="50" t="str">
        <f t="shared" si="7"/>
        <v>自持限制</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hidden="1">
      <c r="A15" s="379" t="s">
        <v>1686</v>
      </c>
      <c r="B15" s="58" t="s">
        <v>1256</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9" t="s">
        <v>1687</v>
      </c>
      <c r="Q15" s="1262" t="str">
        <f t="shared" si="6"/>
        <v>居住社区成熟度</v>
      </c>
      <c r="R15" s="667" t="s">
        <v>14</v>
      </c>
      <c r="S15" s="668">
        <f t="shared" si="0"/>
        <v>100</v>
      </c>
      <c r="T15" s="667" t="s">
        <v>14</v>
      </c>
      <c r="U15" s="668">
        <f t="shared" si="1"/>
        <v>100</v>
      </c>
      <c r="V15" s="667" t="s">
        <v>14</v>
      </c>
      <c r="W15" s="668">
        <f t="shared" si="2"/>
        <v>100</v>
      </c>
      <c r="X15" s="1264"/>
      <c r="Y15" s="3399" t="s">
        <v>1687</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400"/>
      <c r="Q16" s="1262"/>
      <c r="R16" s="667"/>
      <c r="S16" s="668"/>
      <c r="T16" s="667"/>
      <c r="U16" s="668"/>
      <c r="V16" s="667"/>
      <c r="W16" s="668"/>
      <c r="X16" s="1264"/>
      <c r="Y16" s="3400"/>
      <c r="Z16" s="1263"/>
      <c r="AA16" s="1263">
        <v>1</v>
      </c>
      <c r="AB16" s="1263">
        <v>1</v>
      </c>
      <c r="AC16" s="1263">
        <v>1</v>
      </c>
    </row>
    <row r="17" spans="1:29" ht="71.25">
      <c r="A17" s="367"/>
      <c r="B17" s="390" t="s">
        <v>1773</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92"/>
      <c r="M17" s="2487"/>
      <c r="N17" s="2487"/>
      <c r="O17" s="2542"/>
      <c r="P17" s="3400"/>
      <c r="Q17" s="1262" t="str">
        <f>B17</f>
        <v>商业繁华度</v>
      </c>
      <c r="R17" s="667" t="s">
        <v>14</v>
      </c>
      <c r="S17" s="668">
        <f>F17</f>
        <v>100</v>
      </c>
      <c r="T17" s="667" t="s">
        <v>14</v>
      </c>
      <c r="U17" s="668">
        <f>H17</f>
        <v>100</v>
      </c>
      <c r="V17" s="667" t="s">
        <v>14</v>
      </c>
      <c r="W17" s="668">
        <f>J17</f>
        <v>100</v>
      </c>
      <c r="X17" s="1264"/>
      <c r="Y17" s="3400"/>
      <c r="Z17" s="1263" t="str">
        <f>Q17</f>
        <v>商业繁华度</v>
      </c>
      <c r="AA17" s="1263">
        <f t="shared" si="3"/>
        <v>1</v>
      </c>
      <c r="AB17" s="1263">
        <f t="shared" si="4"/>
        <v>1</v>
      </c>
      <c r="AC17" s="1263">
        <f t="shared" si="5"/>
        <v>1</v>
      </c>
    </row>
    <row r="18" spans="1:29" ht="15">
      <c r="A18" s="367"/>
      <c r="B18" s="395"/>
      <c r="C18" s="1754" t="s">
        <v>4335</v>
      </c>
      <c r="D18" s="389"/>
      <c r="E18" s="1754" t="s">
        <v>4335</v>
      </c>
      <c r="F18" s="389"/>
      <c r="G18" s="1754" t="s">
        <v>4335</v>
      </c>
      <c r="H18" s="387"/>
      <c r="I18" s="1754" t="s">
        <v>4335</v>
      </c>
      <c r="J18" s="387"/>
      <c r="K18" s="592"/>
      <c r="L18" s="2492"/>
      <c r="M18" s="2487"/>
      <c r="N18" s="2487"/>
      <c r="O18" s="2542"/>
      <c r="P18" s="3400"/>
      <c r="Q18" s="1262"/>
      <c r="R18" s="667"/>
      <c r="S18" s="668"/>
      <c r="T18" s="667"/>
      <c r="U18" s="668"/>
      <c r="V18" s="667"/>
      <c r="W18" s="668"/>
      <c r="X18" s="1264"/>
      <c r="Y18" s="3400"/>
      <c r="Z18" s="1263"/>
      <c r="AA18" s="1263">
        <v>1</v>
      </c>
      <c r="AB18" s="1263">
        <v>1</v>
      </c>
      <c r="AC18" s="1263">
        <v>1</v>
      </c>
    </row>
    <row r="19" spans="1:29" ht="71.25" hidden="1">
      <c r="A19" s="367"/>
      <c r="B19" s="390" t="s">
        <v>1807</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0"/>
      <c r="Q19" s="1262" t="str">
        <f>B19</f>
        <v>办公集聚程度</v>
      </c>
      <c r="R19" s="667" t="s">
        <v>14</v>
      </c>
      <c r="S19" s="668">
        <f>F19</f>
        <v>100</v>
      </c>
      <c r="T19" s="667" t="s">
        <v>14</v>
      </c>
      <c r="U19" s="668">
        <f>H19</f>
        <v>100</v>
      </c>
      <c r="V19" s="667" t="s">
        <v>14</v>
      </c>
      <c r="W19" s="668">
        <f>J19</f>
        <v>100</v>
      </c>
      <c r="X19" s="1264"/>
      <c r="Y19" s="3400"/>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400"/>
      <c r="Q20" s="1262"/>
      <c r="R20" s="667"/>
      <c r="S20" s="668"/>
      <c r="T20" s="667"/>
      <c r="U20" s="668"/>
      <c r="V20" s="667"/>
      <c r="W20" s="668"/>
      <c r="X20" s="1264"/>
      <c r="Y20" s="3400"/>
      <c r="Z20" s="1263"/>
      <c r="AA20" s="1263">
        <v>1</v>
      </c>
      <c r="AB20" s="1263">
        <v>1</v>
      </c>
      <c r="AC20" s="1263">
        <v>1</v>
      </c>
    </row>
    <row r="21" spans="1:29" ht="85.5">
      <c r="A21" s="367"/>
      <c r="B21" s="390" t="s">
        <v>1829</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v>2</v>
      </c>
      <c r="L21" s="2492"/>
      <c r="M21" s="2487"/>
      <c r="N21" s="2487"/>
      <c r="O21" s="2542"/>
      <c r="P21" s="3400"/>
      <c r="Q21" s="1262" t="str">
        <f>B21</f>
        <v>交通便捷度</v>
      </c>
      <c r="R21" s="667" t="s">
        <v>14</v>
      </c>
      <c r="S21" s="668">
        <f>F21</f>
        <v>100</v>
      </c>
      <c r="T21" s="667" t="s">
        <v>14</v>
      </c>
      <c r="U21" s="668">
        <f>H21</f>
        <v>100</v>
      </c>
      <c r="V21" s="667" t="s">
        <v>14</v>
      </c>
      <c r="W21" s="668">
        <f>J21</f>
        <v>100</v>
      </c>
      <c r="X21" s="1264"/>
      <c r="Y21" s="3400"/>
      <c r="Z21" s="1263" t="str">
        <f>Q21</f>
        <v>交通便捷度</v>
      </c>
      <c r="AA21" s="1263">
        <f t="shared" si="3"/>
        <v>1</v>
      </c>
      <c r="AB21" s="1263">
        <f t="shared" si="4"/>
        <v>1</v>
      </c>
      <c r="AC21" s="1263">
        <f t="shared" si="5"/>
        <v>1</v>
      </c>
    </row>
    <row r="22" spans="1:29" ht="15">
      <c r="A22" s="367"/>
      <c r="B22" s="586"/>
      <c r="C22" s="386" t="s">
        <v>4336</v>
      </c>
      <c r="D22" s="389"/>
      <c r="E22" s="386" t="s">
        <v>4336</v>
      </c>
      <c r="F22" s="387"/>
      <c r="G22" s="386" t="s">
        <v>4336</v>
      </c>
      <c r="H22" s="387"/>
      <c r="I22" s="386" t="s">
        <v>4336</v>
      </c>
      <c r="J22" s="387"/>
      <c r="K22" s="592"/>
      <c r="L22" s="2492"/>
      <c r="M22" s="2487"/>
      <c r="N22" s="2487"/>
      <c r="O22" s="2542"/>
      <c r="P22" s="3400"/>
      <c r="Q22" s="1262"/>
      <c r="R22" s="667"/>
      <c r="S22" s="668"/>
      <c r="T22" s="667"/>
      <c r="U22" s="668"/>
      <c r="V22" s="667"/>
      <c r="W22" s="668"/>
      <c r="X22" s="1264"/>
      <c r="Y22" s="3400"/>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2"/>
      <c r="M23" s="2487"/>
      <c r="N23" s="2487"/>
      <c r="O23" s="2542"/>
      <c r="P23" s="3400"/>
      <c r="Q23" s="1262" t="str">
        <f t="shared" ref="Q23:Q37" si="8">B23</f>
        <v>区域土地利用方向</v>
      </c>
      <c r="R23" s="667" t="s">
        <v>14</v>
      </c>
      <c r="S23" s="668">
        <f>F23</f>
        <v>100</v>
      </c>
      <c r="T23" s="667" t="s">
        <v>14</v>
      </c>
      <c r="U23" s="668">
        <f>H23</f>
        <v>100</v>
      </c>
      <c r="V23" s="667" t="s">
        <v>14</v>
      </c>
      <c r="W23" s="668">
        <f>J23</f>
        <v>100</v>
      </c>
      <c r="X23" s="1264"/>
      <c r="Y23" s="3400"/>
      <c r="Z23" s="1263" t="str">
        <f>Q23</f>
        <v>区域土地利用方向</v>
      </c>
      <c r="AA23" s="1263">
        <f t="shared" si="3"/>
        <v>1</v>
      </c>
      <c r="AB23" s="1263">
        <f t="shared" si="4"/>
        <v>1</v>
      </c>
      <c r="AC23" s="1263">
        <f t="shared" si="5"/>
        <v>1</v>
      </c>
    </row>
    <row r="24" spans="1:29" ht="15">
      <c r="A24" s="348"/>
      <c r="B24" s="395"/>
      <c r="C24" s="542" t="s">
        <v>4336</v>
      </c>
      <c r="D24" s="387"/>
      <c r="E24" s="542" t="s">
        <v>4336</v>
      </c>
      <c r="F24" s="387"/>
      <c r="G24" s="542" t="s">
        <v>4336</v>
      </c>
      <c r="H24" s="387"/>
      <c r="I24" s="542" t="s">
        <v>4336</v>
      </c>
      <c r="J24" s="387"/>
      <c r="K24" s="698"/>
      <c r="L24" s="2492"/>
      <c r="M24" s="2487"/>
      <c r="N24" s="2487"/>
      <c r="O24" s="2542"/>
      <c r="P24" s="3400"/>
      <c r="Q24" s="1262"/>
      <c r="R24" s="667"/>
      <c r="S24" s="668"/>
      <c r="T24" s="667"/>
      <c r="U24" s="668"/>
      <c r="V24" s="667"/>
      <c r="W24" s="668"/>
      <c r="X24" s="1264"/>
      <c r="Y24" s="3400"/>
      <c r="Z24" s="1263"/>
      <c r="AA24" s="1263"/>
      <c r="AB24" s="1263"/>
      <c r="AC24" s="1263"/>
    </row>
    <row r="25" spans="1:29" ht="57">
      <c r="A25" s="348"/>
      <c r="B25" s="586" t="s">
        <v>1868</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2"/>
      <c r="M25" s="2487"/>
      <c r="N25" s="2487"/>
      <c r="O25" s="2542"/>
      <c r="P25" s="3400"/>
      <c r="Q25" s="1262" t="str">
        <f t="shared" si="8"/>
        <v>自然及人文环境状况</v>
      </c>
      <c r="R25" s="667" t="s">
        <v>14</v>
      </c>
      <c r="S25" s="668">
        <f>F25</f>
        <v>100</v>
      </c>
      <c r="T25" s="667" t="s">
        <v>14</v>
      </c>
      <c r="U25" s="668">
        <f>H25</f>
        <v>100</v>
      </c>
      <c r="V25" s="667" t="s">
        <v>14</v>
      </c>
      <c r="W25" s="668">
        <f>J25</f>
        <v>100</v>
      </c>
      <c r="X25" s="1264"/>
      <c r="Y25" s="3400"/>
      <c r="Z25" s="1263" t="str">
        <f>Q25</f>
        <v>自然及人文环境状况</v>
      </c>
      <c r="AA25" s="1263">
        <f t="shared" si="3"/>
        <v>1</v>
      </c>
      <c r="AB25" s="1263">
        <f t="shared" si="4"/>
        <v>1</v>
      </c>
      <c r="AC25" s="1263">
        <f t="shared" si="5"/>
        <v>1</v>
      </c>
    </row>
    <row r="26" spans="1:29" ht="15">
      <c r="A26" s="348"/>
      <c r="B26" s="395"/>
      <c r="C26" s="386" t="s">
        <v>4336</v>
      </c>
      <c r="D26" s="387"/>
      <c r="E26" s="386" t="s">
        <v>4336</v>
      </c>
      <c r="F26" s="387"/>
      <c r="G26" s="386" t="s">
        <v>4336</v>
      </c>
      <c r="H26" s="387"/>
      <c r="I26" s="386" t="s">
        <v>4336</v>
      </c>
      <c r="J26" s="387"/>
      <c r="K26" s="592"/>
      <c r="L26" s="2492"/>
      <c r="M26" s="2487"/>
      <c r="N26" s="2487"/>
      <c r="O26" s="2542"/>
      <c r="P26" s="3400"/>
      <c r="Q26" s="1262"/>
      <c r="R26" s="667"/>
      <c r="S26" s="668"/>
      <c r="T26" s="667"/>
      <c r="U26" s="668"/>
      <c r="V26" s="667"/>
      <c r="W26" s="668"/>
      <c r="X26" s="1264"/>
      <c r="Y26" s="3400"/>
      <c r="Z26" s="1263"/>
      <c r="AA26" s="1263">
        <v>1</v>
      </c>
      <c r="AB26" s="1263">
        <v>1</v>
      </c>
      <c r="AC26" s="1263">
        <v>1</v>
      </c>
    </row>
    <row r="27" spans="1:29" s="102" customFormat="1" ht="42.75">
      <c r="A27" s="443"/>
      <c r="B27" s="586" t="s">
        <v>1774</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v>2</v>
      </c>
      <c r="L27" s="2488"/>
      <c r="M27" s="2439"/>
      <c r="N27" s="2439"/>
      <c r="O27" s="2540"/>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3">
        <f>D27/F27</f>
        <v>1</v>
      </c>
      <c r="AB27" s="1263">
        <f>D27/H27</f>
        <v>1</v>
      </c>
      <c r="AC27" s="1263">
        <f>D27/J27</f>
        <v>1</v>
      </c>
    </row>
    <row r="28" spans="1:29" s="102" customFormat="1" ht="15">
      <c r="A28" s="443"/>
      <c r="B28" s="395"/>
      <c r="C28" s="1825" t="s">
        <v>4335</v>
      </c>
      <c r="D28" s="387"/>
      <c r="E28" s="1825" t="s">
        <v>4335</v>
      </c>
      <c r="F28" s="387"/>
      <c r="G28" s="1825" t="s">
        <v>4335</v>
      </c>
      <c r="H28" s="387"/>
      <c r="I28" s="1825" t="s">
        <v>4335</v>
      </c>
      <c r="J28" s="387"/>
      <c r="K28" s="592"/>
      <c r="L28" s="2488"/>
      <c r="M28" s="2439"/>
      <c r="N28" s="2439"/>
      <c r="O28" s="2540"/>
      <c r="P28" s="3400"/>
      <c r="Q28" s="530"/>
      <c r="R28" s="664"/>
      <c r="S28" s="665"/>
      <c r="T28" s="664"/>
      <c r="U28" s="665"/>
      <c r="V28" s="664"/>
      <c r="W28" s="665"/>
      <c r="X28" s="666"/>
      <c r="Y28" s="3400"/>
      <c r="Z28" s="50"/>
      <c r="AA28" s="1263">
        <v>1</v>
      </c>
      <c r="AB28" s="1263">
        <v>1</v>
      </c>
      <c r="AC28" s="1263">
        <v>1</v>
      </c>
    </row>
    <row r="29" spans="1:29" s="102" customFormat="1" ht="28.5">
      <c r="A29" s="443"/>
      <c r="B29" s="586" t="s">
        <v>1775</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3">
        <f>D29/F29</f>
        <v>1</v>
      </c>
      <c r="AB29" s="1263">
        <f>D29/H29</f>
        <v>1</v>
      </c>
      <c r="AC29" s="1263">
        <f>D29/J29</f>
        <v>1</v>
      </c>
    </row>
    <row r="30" spans="1:29" s="102" customFormat="1" ht="15">
      <c r="A30" s="443"/>
      <c r="B30" s="395"/>
      <c r="C30" s="1825" t="s">
        <v>4337</v>
      </c>
      <c r="D30" s="387"/>
      <c r="E30" s="1825" t="s">
        <v>4337</v>
      </c>
      <c r="F30" s="387"/>
      <c r="G30" s="1825" t="s">
        <v>4337</v>
      </c>
      <c r="H30" s="387"/>
      <c r="I30" s="1825" t="s">
        <v>4337</v>
      </c>
      <c r="J30" s="387"/>
      <c r="K30" s="592"/>
      <c r="L30" s="2488"/>
      <c r="M30" s="2439"/>
      <c r="N30" s="2439"/>
      <c r="O30" s="2540"/>
      <c r="P30" s="3400"/>
      <c r="Q30" s="530"/>
      <c r="R30" s="664"/>
      <c r="S30" s="665"/>
      <c r="T30" s="664"/>
      <c r="U30" s="665"/>
      <c r="V30" s="664"/>
      <c r="W30" s="665"/>
      <c r="X30" s="666"/>
      <c r="Y30" s="3400"/>
      <c r="Z30" s="50"/>
      <c r="AA30" s="1263">
        <v>1</v>
      </c>
      <c r="AB30" s="1263">
        <v>1</v>
      </c>
      <c r="AC30" s="1263">
        <v>1</v>
      </c>
    </row>
    <row r="31" spans="1:29" ht="15" hidden="1">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0"/>
      <c r="Z31" s="1263" t="str">
        <f t="shared" ref="Z31:Z45" si="13">Q31</f>
        <v>临街状况</v>
      </c>
      <c r="AA31" s="1263">
        <f t="shared" si="3"/>
        <v>1</v>
      </c>
      <c r="AB31" s="1263">
        <f t="shared" si="4"/>
        <v>1</v>
      </c>
      <c r="AC31" s="1263">
        <f t="shared" si="5"/>
        <v>1</v>
      </c>
    </row>
    <row r="32" spans="1:29" ht="27">
      <c r="A32" s="367"/>
      <c r="B32" s="586" t="s">
        <v>1811</v>
      </c>
      <c r="C32" s="393" t="s">
        <v>4333</v>
      </c>
      <c r="D32" s="389">
        <v>100</v>
      </c>
      <c r="E32" s="391"/>
      <c r="F32" s="389">
        <f>SUMIF(105:105,E33,106:106)-SUMIF(105:105,C33,106:106)+100</f>
        <v>98</v>
      </c>
      <c r="G32" s="391"/>
      <c r="H32" s="389">
        <f>SUMIF(105:105,G33,106:106)-SUMIF(105:105,C33,106:106)+100</f>
        <v>98</v>
      </c>
      <c r="I32" s="393"/>
      <c r="J32" s="389">
        <f>SUMIF(105:105,I33,106:106)-SUMIF(105:105,C33,106:106)+100</f>
        <v>98</v>
      </c>
      <c r="K32" s="593">
        <v>2</v>
      </c>
      <c r="L32" s="2492"/>
      <c r="M32" s="2487"/>
      <c r="N32" s="2487"/>
      <c r="O32" s="2542"/>
      <c r="P32" s="3400"/>
      <c r="Q32" s="1262" t="str">
        <f t="shared" si="8"/>
        <v>毗邻道路的类型与等级</v>
      </c>
      <c r="R32" s="667" t="s">
        <v>14</v>
      </c>
      <c r="S32" s="668">
        <f t="shared" si="10"/>
        <v>98</v>
      </c>
      <c r="T32" s="667" t="s">
        <v>14</v>
      </c>
      <c r="U32" s="668">
        <f t="shared" si="11"/>
        <v>98</v>
      </c>
      <c r="V32" s="667" t="s">
        <v>14</v>
      </c>
      <c r="W32" s="668">
        <f t="shared" si="12"/>
        <v>98</v>
      </c>
      <c r="X32" s="1264"/>
      <c r="Y32" s="3400"/>
      <c r="Z32" s="1263" t="str">
        <f t="shared" si="13"/>
        <v>毗邻道路的类型与等级</v>
      </c>
      <c r="AA32" s="1263">
        <f t="shared" si="3"/>
        <v>1.0204081632653061</v>
      </c>
      <c r="AB32" s="1263">
        <f t="shared" si="4"/>
        <v>1.0204081632653061</v>
      </c>
      <c r="AC32" s="1263">
        <f t="shared" si="5"/>
        <v>1.0204081632653061</v>
      </c>
    </row>
    <row r="33" spans="1:29" ht="15">
      <c r="A33" s="367"/>
      <c r="B33" s="395"/>
      <c r="C33" s="386" t="s">
        <v>4334</v>
      </c>
      <c r="D33" s="387"/>
      <c r="E33" s="1757" t="s">
        <v>4351</v>
      </c>
      <c r="F33" s="387"/>
      <c r="G33" s="1757" t="s">
        <v>4351</v>
      </c>
      <c r="H33" s="387"/>
      <c r="I33" s="386" t="s">
        <v>4351</v>
      </c>
      <c r="J33" s="387"/>
      <c r="K33" s="539"/>
      <c r="L33" s="2492"/>
      <c r="M33" s="2487"/>
      <c r="N33" s="2487"/>
      <c r="O33" s="2542"/>
      <c r="P33" s="3400"/>
      <c r="Q33" s="1262"/>
      <c r="R33" s="667"/>
      <c r="S33" s="668"/>
      <c r="T33" s="667"/>
      <c r="U33" s="668"/>
      <c r="V33" s="667"/>
      <c r="W33" s="668"/>
      <c r="X33" s="1264"/>
      <c r="Y33" s="3400"/>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0"/>
      <c r="Q34" s="1262" t="str">
        <f t="shared" si="8"/>
        <v>土地级别</v>
      </c>
      <c r="R34" s="667" t="s">
        <v>14</v>
      </c>
      <c r="S34" s="668">
        <f t="shared" si="10"/>
        <v>100</v>
      </c>
      <c r="T34" s="667" t="s">
        <v>14</v>
      </c>
      <c r="U34" s="668">
        <f t="shared" si="11"/>
        <v>100</v>
      </c>
      <c r="V34" s="667" t="s">
        <v>14</v>
      </c>
      <c r="W34" s="668">
        <f t="shared" si="12"/>
        <v>100</v>
      </c>
      <c r="X34" s="1264"/>
      <c r="Y34" s="340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0"/>
      <c r="Q35" s="1262">
        <f t="shared" si="8"/>
        <v>111</v>
      </c>
      <c r="R35" s="667" t="s">
        <v>14</v>
      </c>
      <c r="S35" s="668">
        <f t="shared" si="10"/>
        <v>100</v>
      </c>
      <c r="T35" s="667" t="s">
        <v>14</v>
      </c>
      <c r="U35" s="668">
        <f t="shared" si="11"/>
        <v>100</v>
      </c>
      <c r="V35" s="667" t="s">
        <v>14</v>
      </c>
      <c r="W35" s="668">
        <f t="shared" si="12"/>
        <v>100</v>
      </c>
      <c r="X35" s="1264"/>
      <c r="Y35" s="340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01" t="s">
        <v>1692</v>
      </c>
      <c r="Q36" s="1262">
        <f t="shared" si="8"/>
        <v>111</v>
      </c>
      <c r="R36" s="667" t="s">
        <v>14</v>
      </c>
      <c r="S36" s="668">
        <f t="shared" si="10"/>
        <v>100</v>
      </c>
      <c r="T36" s="667" t="s">
        <v>14</v>
      </c>
      <c r="U36" s="668">
        <f t="shared" si="11"/>
        <v>100</v>
      </c>
      <c r="V36" s="667" t="s">
        <v>14</v>
      </c>
      <c r="W36" s="668">
        <f t="shared" si="12"/>
        <v>100</v>
      </c>
      <c r="X36" s="1264"/>
      <c r="Y36" s="3402" t="s">
        <v>1692</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2"/>
      <c r="Q37" s="1262">
        <f t="shared" si="8"/>
        <v>111</v>
      </c>
      <c r="R37" s="669" t="s">
        <v>14</v>
      </c>
      <c r="S37" s="670">
        <f t="shared" si="10"/>
        <v>100</v>
      </c>
      <c r="T37" s="669" t="s">
        <v>14</v>
      </c>
      <c r="U37" s="670">
        <f t="shared" si="11"/>
        <v>100</v>
      </c>
      <c r="V37" s="669" t="s">
        <v>14</v>
      </c>
      <c r="W37" s="670">
        <f t="shared" si="12"/>
        <v>100</v>
      </c>
      <c r="X37" s="671"/>
      <c r="Y37" s="3402"/>
      <c r="Z37" s="672">
        <f t="shared" si="13"/>
        <v>111</v>
      </c>
      <c r="AA37" s="1263">
        <f t="shared" si="3"/>
        <v>1</v>
      </c>
      <c r="AB37" s="1263">
        <f t="shared" si="4"/>
        <v>1</v>
      </c>
      <c r="AC37" s="1263">
        <f t="shared" si="5"/>
        <v>1</v>
      </c>
    </row>
    <row r="38" spans="1:29" ht="15">
      <c r="A38" s="409" t="s">
        <v>1690</v>
      </c>
      <c r="B38" s="395" t="s">
        <v>1870</v>
      </c>
      <c r="C38" s="599">
        <v>24641.279999999999</v>
      </c>
      <c r="D38" s="405">
        <v>100</v>
      </c>
      <c r="E38" s="599">
        <v>24641.279999999999</v>
      </c>
      <c r="F38" s="405">
        <f>LOOKUP(E38,116:116,117:117)-LOOKUP(C38,116:116,117:117)+100</f>
        <v>100</v>
      </c>
      <c r="G38" s="599">
        <v>24641.279999999999</v>
      </c>
      <c r="H38" s="405">
        <f>LOOKUP(G38,116:116,117:117)-LOOKUP(C38,116:116,117:117)+100</f>
        <v>100</v>
      </c>
      <c r="I38" s="599">
        <v>24641.279999999999</v>
      </c>
      <c r="J38" s="405">
        <f>LOOKUP(I38,116:116,117:117)-LOOKUP(C38,116:116,117:117)+100</f>
        <v>100</v>
      </c>
      <c r="K38" s="539"/>
      <c r="L38" s="2492"/>
      <c r="M38" s="2487"/>
      <c r="N38" s="2487"/>
      <c r="O38" s="2542"/>
      <c r="P38" s="3402"/>
      <c r="Q38" s="1262" t="str">
        <f>B38</f>
        <v>宗地面积</v>
      </c>
      <c r="R38" s="667" t="s">
        <v>14</v>
      </c>
      <c r="S38" s="668">
        <f t="shared" si="10"/>
        <v>100</v>
      </c>
      <c r="T38" s="667" t="s">
        <v>14</v>
      </c>
      <c r="U38" s="668">
        <f t="shared" si="11"/>
        <v>100</v>
      </c>
      <c r="V38" s="667" t="s">
        <v>14</v>
      </c>
      <c r="W38" s="668">
        <f t="shared" si="12"/>
        <v>100</v>
      </c>
      <c r="X38" s="1264"/>
      <c r="Y38" s="3402"/>
      <c r="Z38" s="1263" t="str">
        <f t="shared" si="13"/>
        <v>宗地面积</v>
      </c>
      <c r="AA38" s="1263">
        <f t="shared" si="3"/>
        <v>1</v>
      </c>
      <c r="AB38" s="1263">
        <f t="shared" si="4"/>
        <v>1</v>
      </c>
      <c r="AC38" s="1263">
        <f t="shared" si="5"/>
        <v>1</v>
      </c>
    </row>
    <row r="39" spans="1:29" ht="15">
      <c r="A39" s="409"/>
      <c r="B39" s="364" t="s">
        <v>1871</v>
      </c>
      <c r="C39" s="1759" t="s">
        <v>4349</v>
      </c>
      <c r="D39" s="374">
        <v>100</v>
      </c>
      <c r="E39" s="1759" t="s">
        <v>4349</v>
      </c>
      <c r="F39" s="374">
        <f>SUMIF(118:118,E39,119:119)-SUMIF(118:118,C39,119:119)+100</f>
        <v>100</v>
      </c>
      <c r="G39" s="1759" t="s">
        <v>4349</v>
      </c>
      <c r="H39" s="374">
        <f>SUMIF(118:118,G39,119:119)-SUMIF(118:118,C39,119:119)+100</f>
        <v>100</v>
      </c>
      <c r="I39" s="1759" t="s">
        <v>4349</v>
      </c>
      <c r="J39" s="374">
        <f>SUMIF(118:118,I39,119:119)-SUMIF(118:118,C39,119:119)+100</f>
        <v>100</v>
      </c>
      <c r="K39" s="538">
        <v>1</v>
      </c>
      <c r="L39" s="2492"/>
      <c r="M39" s="2487"/>
      <c r="N39" s="2487"/>
      <c r="O39" s="2542"/>
      <c r="P39" s="3402"/>
      <c r="Q39" s="1262" t="str">
        <f t="shared" ref="Q39:Q45" si="14">B39</f>
        <v>宗地形状</v>
      </c>
      <c r="R39" s="667" t="s">
        <v>14</v>
      </c>
      <c r="S39" s="668">
        <f t="shared" si="10"/>
        <v>100</v>
      </c>
      <c r="T39" s="667" t="s">
        <v>14</v>
      </c>
      <c r="U39" s="668">
        <f t="shared" si="11"/>
        <v>100</v>
      </c>
      <c r="V39" s="667" t="s">
        <v>14</v>
      </c>
      <c r="W39" s="668">
        <f t="shared" si="12"/>
        <v>100</v>
      </c>
      <c r="X39" s="1264"/>
      <c r="Y39" s="3402"/>
      <c r="Z39" s="1263" t="str">
        <f t="shared" si="13"/>
        <v>宗地形状</v>
      </c>
      <c r="AA39" s="1263">
        <f t="shared" si="3"/>
        <v>1</v>
      </c>
      <c r="AB39" s="1263">
        <f t="shared" si="4"/>
        <v>1</v>
      </c>
      <c r="AC39" s="1263">
        <f t="shared" si="5"/>
        <v>1</v>
      </c>
    </row>
    <row r="40" spans="1:29" ht="15" hidden="1">
      <c r="A40" s="409"/>
      <c r="B40" s="364" t="s">
        <v>1872</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2"/>
      <c r="Q40" s="1262" t="str">
        <f t="shared" si="14"/>
        <v>临街宽度及深度</v>
      </c>
      <c r="R40" s="667" t="s">
        <v>14</v>
      </c>
      <c r="S40" s="668">
        <f t="shared" si="10"/>
        <v>100</v>
      </c>
      <c r="T40" s="667" t="s">
        <v>14</v>
      </c>
      <c r="U40" s="668">
        <f t="shared" si="11"/>
        <v>100</v>
      </c>
      <c r="V40" s="667" t="s">
        <v>14</v>
      </c>
      <c r="W40" s="668">
        <f t="shared" si="12"/>
        <v>100</v>
      </c>
      <c r="X40" s="1264"/>
      <c r="Y40" s="3402"/>
      <c r="Z40" s="1263" t="str">
        <f t="shared" si="13"/>
        <v>临街宽度及深度</v>
      </c>
      <c r="AA40" s="1263">
        <f t="shared" si="3"/>
        <v>1</v>
      </c>
      <c r="AB40" s="1263">
        <f t="shared" si="4"/>
        <v>1</v>
      </c>
      <c r="AC40" s="1263">
        <f t="shared" si="5"/>
        <v>1</v>
      </c>
    </row>
    <row r="41" spans="1:29" s="102" customFormat="1" ht="15">
      <c r="A41" s="410"/>
      <c r="B41" s="364" t="s">
        <v>1873</v>
      </c>
      <c r="C41" s="1827" t="s">
        <v>4350</v>
      </c>
      <c r="D41" s="119">
        <v>100</v>
      </c>
      <c r="E41" s="1827" t="s">
        <v>4350</v>
      </c>
      <c r="F41" s="374">
        <f>SUMIF(122:122,E41,123:123)-SUMIF(122:122,C41,123:123)+100</f>
        <v>100</v>
      </c>
      <c r="G41" s="1827" t="s">
        <v>4350</v>
      </c>
      <c r="H41" s="374">
        <f>SUMIF(122:122,G41,123:123)-SUMIF(122:122,C41,123:123)+100</f>
        <v>100</v>
      </c>
      <c r="I41" s="1827" t="s">
        <v>4350</v>
      </c>
      <c r="J41" s="374">
        <f>SUMIF(122:122,I41,123:123)-SUMIF(122:122,C41,123:123)+100</f>
        <v>100</v>
      </c>
      <c r="K41" s="538">
        <v>1</v>
      </c>
      <c r="L41" s="2488"/>
      <c r="M41" s="2439"/>
      <c r="N41" s="2439"/>
      <c r="O41" s="2540"/>
      <c r="P41" s="3402"/>
      <c r="Q41" s="1262"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1874</v>
      </c>
      <c r="C42" s="1759" t="s">
        <v>4336</v>
      </c>
      <c r="D42" s="374">
        <v>100</v>
      </c>
      <c r="E42" s="1759" t="s">
        <v>4336</v>
      </c>
      <c r="F42" s="374">
        <f>SUMIF(124:124,E42,125:125)-SUMIF(124:124,C42,125:125)+100</f>
        <v>100</v>
      </c>
      <c r="G42" s="1759" t="s">
        <v>4336</v>
      </c>
      <c r="H42" s="374">
        <f>SUMIF(124:124,G42,125:125)-SUMIF(124:124,C42,125:125)+100</f>
        <v>100</v>
      </c>
      <c r="I42" s="1759" t="s">
        <v>4336</v>
      </c>
      <c r="J42" s="374">
        <f>SUMIF(124:124,I42,125:125)-SUMIF(124:124,C42,125:125)+100</f>
        <v>100</v>
      </c>
      <c r="K42" s="538">
        <v>1</v>
      </c>
      <c r="L42" s="2492"/>
      <c r="M42" s="2487"/>
      <c r="N42" s="2487"/>
      <c r="O42" s="2542"/>
      <c r="P42" s="3402" t="s">
        <v>1692</v>
      </c>
      <c r="Q42" s="1262" t="str">
        <f t="shared" si="14"/>
        <v>工程地质条件</v>
      </c>
      <c r="R42" s="667" t="s">
        <v>14</v>
      </c>
      <c r="S42" s="668">
        <f t="shared" si="10"/>
        <v>100</v>
      </c>
      <c r="T42" s="667" t="s">
        <v>14</v>
      </c>
      <c r="U42" s="668">
        <f t="shared" si="11"/>
        <v>100</v>
      </c>
      <c r="V42" s="667" t="s">
        <v>14</v>
      </c>
      <c r="W42" s="668">
        <f t="shared" si="12"/>
        <v>100</v>
      </c>
      <c r="X42" s="1264"/>
      <c r="Y42" s="3402" t="s">
        <v>1692</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2"/>
      <c r="Q43" s="1262">
        <f t="shared" si="14"/>
        <v>111</v>
      </c>
      <c r="R43" s="667" t="s">
        <v>14</v>
      </c>
      <c r="S43" s="668">
        <f t="shared" si="10"/>
        <v>100</v>
      </c>
      <c r="T43" s="667" t="s">
        <v>14</v>
      </c>
      <c r="U43" s="668">
        <f t="shared" si="11"/>
        <v>100</v>
      </c>
      <c r="V43" s="667" t="s">
        <v>14</v>
      </c>
      <c r="W43" s="668">
        <f t="shared" si="12"/>
        <v>100</v>
      </c>
      <c r="X43" s="1264"/>
      <c r="Y43" s="340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2"/>
      <c r="Q44" s="1262">
        <f t="shared" si="14"/>
        <v>111</v>
      </c>
      <c r="R44" s="667" t="s">
        <v>14</v>
      </c>
      <c r="S44" s="668">
        <f t="shared" si="10"/>
        <v>100</v>
      </c>
      <c r="T44" s="667" t="s">
        <v>14</v>
      </c>
      <c r="U44" s="668">
        <f t="shared" si="11"/>
        <v>100</v>
      </c>
      <c r="V44" s="667" t="s">
        <v>14</v>
      </c>
      <c r="W44" s="668">
        <f t="shared" si="12"/>
        <v>100</v>
      </c>
      <c r="X44" s="1264"/>
      <c r="Y44" s="3402"/>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2"/>
      <c r="Q45" s="1262">
        <f t="shared" si="14"/>
        <v>111</v>
      </c>
      <c r="R45" s="669" t="s">
        <v>14</v>
      </c>
      <c r="S45" s="670">
        <f t="shared" si="10"/>
        <v>100</v>
      </c>
      <c r="T45" s="669" t="s">
        <v>14</v>
      </c>
      <c r="U45" s="670">
        <f t="shared" si="11"/>
        <v>100</v>
      </c>
      <c r="V45" s="669" t="s">
        <v>14</v>
      </c>
      <c r="W45" s="670">
        <f t="shared" si="12"/>
        <v>100</v>
      </c>
      <c r="X45" s="671"/>
      <c r="Y45" s="3402"/>
      <c r="Z45" s="672">
        <f t="shared" si="13"/>
        <v>111</v>
      </c>
      <c r="AA45" s="1263">
        <f t="shared" si="3"/>
        <v>1</v>
      </c>
      <c r="AB45" s="1263">
        <f t="shared" si="4"/>
        <v>1</v>
      </c>
      <c r="AC45" s="1263">
        <f t="shared" si="5"/>
        <v>1</v>
      </c>
    </row>
    <row r="46" spans="1:29" ht="15">
      <c r="A46" s="416" t="s">
        <v>1840</v>
      </c>
      <c r="B46" s="1829" t="s">
        <v>1875</v>
      </c>
      <c r="C46" s="602" t="s">
        <v>0</v>
      </c>
      <c r="D46" s="418"/>
      <c r="E46" s="419">
        <v>16000</v>
      </c>
      <c r="F46" s="420"/>
      <c r="G46" s="421">
        <v>15500</v>
      </c>
      <c r="H46" s="422"/>
      <c r="I46" s="419">
        <v>16000</v>
      </c>
      <c r="J46" s="422"/>
      <c r="K46" s="674"/>
      <c r="L46" s="2494"/>
      <c r="M46" s="2487"/>
      <c r="N46" s="2487"/>
      <c r="O46" s="2487"/>
      <c r="P46" s="3384" t="str">
        <f>A46</f>
        <v>成交单价</v>
      </c>
      <c r="Q46" s="3384"/>
      <c r="R46" s="3397">
        <f>E46</f>
        <v>16000</v>
      </c>
      <c r="S46" s="3397"/>
      <c r="T46" s="3397">
        <f>G46</f>
        <v>15500</v>
      </c>
      <c r="U46" s="3397"/>
      <c r="V46" s="3397">
        <f>I46</f>
        <v>16000</v>
      </c>
      <c r="W46" s="3397"/>
      <c r="X46" s="385"/>
      <c r="Y46" s="673"/>
      <c r="Z46" s="385"/>
      <c r="AA46" s="385"/>
      <c r="AB46" s="385"/>
      <c r="AC46" s="385"/>
    </row>
    <row r="47" spans="1:29" ht="15.75" thickBot="1">
      <c r="A47" s="423" t="s">
        <v>1789</v>
      </c>
      <c r="B47" s="603"/>
      <c r="C47" s="426">
        <f>R48</f>
        <v>14113</v>
      </c>
      <c r="D47" s="2140" t="s">
        <v>2133</v>
      </c>
      <c r="E47" s="426">
        <f>R47</f>
        <v>14261</v>
      </c>
      <c r="F47" s="2141"/>
      <c r="G47" s="425">
        <f>T47</f>
        <v>13816</v>
      </c>
      <c r="H47" s="2141"/>
      <c r="I47" s="426">
        <f>V47</f>
        <v>14261</v>
      </c>
      <c r="J47" s="2141"/>
      <c r="K47" s="2143">
        <f>F47+H47+J47</f>
        <v>0</v>
      </c>
      <c r="L47" s="2494"/>
      <c r="M47" s="2487"/>
      <c r="N47" s="2487"/>
      <c r="O47" s="2487"/>
      <c r="P47" s="3384" t="str">
        <f>A47</f>
        <v>比较价值（元/平方米）</v>
      </c>
      <c r="Q47" s="3384"/>
      <c r="R47" s="3403">
        <f>ROUND(PRODUCT(R46,AA7:AA45),0)</f>
        <v>14261</v>
      </c>
      <c r="S47" s="3403"/>
      <c r="T47" s="3403">
        <f>ROUND(PRODUCT(T46,AB7:AB45),0)</f>
        <v>13816</v>
      </c>
      <c r="U47" s="3403"/>
      <c r="V47" s="3403">
        <f>ROUND(PRODUCT(V46,AC7:AC45),0)</f>
        <v>14261</v>
      </c>
      <c r="W47" s="3403"/>
      <c r="X47" s="385"/>
      <c r="Y47" s="385"/>
      <c r="Z47" s="385"/>
      <c r="AA47" s="385"/>
      <c r="AB47" s="385"/>
      <c r="AC47" s="385"/>
    </row>
    <row r="48" spans="1:29" ht="15.75" thickBot="1">
      <c r="A48" s="427" t="s">
        <v>1876</v>
      </c>
      <c r="B48" s="428"/>
      <c r="C48" s="429">
        <f>R48</f>
        <v>14113</v>
      </c>
      <c r="D48" s="429"/>
      <c r="E48" s="429"/>
      <c r="F48" s="429"/>
      <c r="G48" s="429"/>
      <c r="H48" s="429"/>
      <c r="I48" s="429"/>
      <c r="J48" s="429"/>
      <c r="K48" s="675"/>
      <c r="L48" s="2494"/>
      <c r="M48" s="2487"/>
      <c r="N48" s="2487"/>
      <c r="O48" s="2487"/>
      <c r="P48" s="3404" t="str">
        <f>A48</f>
        <v>估价对象XX用房的比较价值（楼面单价，元/平方米）</v>
      </c>
      <c r="Q48" s="3405"/>
      <c r="R48" s="3406">
        <f>ROUND(IF(D47="简单平均",AVERAGE(R47:W47),R47*F47+T47*H47+V47*J47),0)</f>
        <v>14113</v>
      </c>
      <c r="S48" s="3406"/>
      <c r="T48" s="3406"/>
      <c r="U48" s="3406"/>
      <c r="V48" s="3406"/>
      <c r="W48" s="3406"/>
      <c r="X48" s="385"/>
      <c r="Y48" s="385"/>
      <c r="Z48" s="385"/>
      <c r="AA48" s="385"/>
      <c r="AB48" s="385"/>
      <c r="AC48" s="385"/>
    </row>
    <row r="49" spans="1:29">
      <c r="A49" s="2487"/>
      <c r="B49" s="2487"/>
      <c r="C49" s="2487">
        <v>14193</v>
      </c>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1791</v>
      </c>
      <c r="D51" s="433"/>
      <c r="E51" s="434">
        <f>IF(E46&lt;E47,E47/E46-1,E46/E47-1)</f>
        <v>0.12194095785709269</v>
      </c>
      <c r="F51" s="435" t="str">
        <f>IF(OR(E51&gt;=0.3,E51&lt;=-0.3),"超过30%","")</f>
        <v/>
      </c>
      <c r="G51" s="434">
        <f>IF(G46&lt;G47,G47/G46-1,G46/G47-1)</f>
        <v>0.12188766647365368</v>
      </c>
      <c r="H51" s="435" t="str">
        <f>IF(OR(G51&gt;=0.3,G51&lt;=-0.3),"超过30%","")</f>
        <v/>
      </c>
      <c r="I51" s="434">
        <f>IF(I46&lt;I47,I47/I46-1,I46/I47-1)</f>
        <v>0.12194095785709269</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1792</v>
      </c>
      <c r="D52" s="436"/>
      <c r="E52" s="434">
        <f>IF(E47&lt;G47,G47/E47-1,E47/G47-1)</f>
        <v>3.2209033005211385E-2</v>
      </c>
      <c r="F52" s="435" t="str">
        <f>IF(OR(E52&gt;=0.2,E52&lt;=-0.2),"超过20%","")</f>
        <v/>
      </c>
      <c r="G52" s="434">
        <f>IF(G47&lt;I47,I47/G47-1,G47/I47-1)</f>
        <v>3.2209033005211385E-2</v>
      </c>
      <c r="H52" s="435" t="str">
        <f>IF(OR(G52&gt;=0.2,G52&lt;=-0.2),"超过20%","")</f>
        <v/>
      </c>
      <c r="I52" s="434">
        <f>IF(I47&lt;E47,E47/I47-1,I47/E47-1)</f>
        <v>0</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1793</v>
      </c>
      <c r="D53" s="436"/>
      <c r="E53" s="434">
        <f>IF(E46&lt;G46,G46/E46-1,E46/G46-1)</f>
        <v>3.2258064516129004E-2</v>
      </c>
      <c r="F53" s="435" t="str">
        <f>IF(OR(E53&gt;=0.3,E53&lt;=-0.3),"超过30%","")</f>
        <v/>
      </c>
      <c r="G53" s="434">
        <f>IF(G46&lt;I46,I46/G46-1,G46/I46-1)</f>
        <v>3.2258064516129004E-2</v>
      </c>
      <c r="H53" s="435" t="str">
        <f>IF(OR(G53&gt;=0.3,G53&lt;=-0.3),"超过30%","")</f>
        <v/>
      </c>
      <c r="I53" s="434">
        <f>IF(I46&lt;E46,E46/I46-1,I46/E46-1)</f>
        <v>0</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1877</v>
      </c>
      <c r="B55" s="605" t="s">
        <v>1878</v>
      </c>
      <c r="C55" s="1830" t="s">
        <v>1879</v>
      </c>
      <c r="D55" s="1831" t="s">
        <v>1880</v>
      </c>
      <c r="E55" s="606" t="s">
        <v>1881</v>
      </c>
      <c r="F55" s="837" t="s">
        <v>1882</v>
      </c>
      <c r="G55" s="3385" t="s">
        <v>1883</v>
      </c>
      <c r="H55" s="3407"/>
      <c r="I55" s="127" t="s">
        <v>1884</v>
      </c>
      <c r="J55" s="1832">
        <f>项目基本情况!F35</f>
        <v>0</v>
      </c>
      <c r="K55" s="1833" t="s">
        <v>1885</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1886</v>
      </c>
      <c r="B56" s="609">
        <f>C48</f>
        <v>14113</v>
      </c>
      <c r="C56" s="610">
        <v>1</v>
      </c>
      <c r="D56" s="890">
        <v>1</v>
      </c>
      <c r="E56" s="610">
        <f>'数据-汇总表'!E8+'数据-汇总表'!E9</f>
        <v>44140.36</v>
      </c>
      <c r="F56" s="833">
        <f t="shared" ref="F56:F64" si="15">ROUND(B56*E56/10000,0)</f>
        <v>62295</v>
      </c>
      <c r="G56" s="3408"/>
      <c r="H56" s="338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1887</v>
      </c>
      <c r="B57" s="210">
        <f>ROUND($C$48*C57*D57,0)</f>
        <v>2117</v>
      </c>
      <c r="C57" s="163">
        <f t="shared" ref="C57:C64" si="16">IF($C$55="北京市系数",I57,J57)</f>
        <v>0.6</v>
      </c>
      <c r="D57" s="891">
        <v>0.25</v>
      </c>
      <c r="E57" s="614">
        <f>面积指标!D6</f>
        <v>7514.68</v>
      </c>
      <c r="F57" s="833">
        <f t="shared" si="15"/>
        <v>1591</v>
      </c>
      <c r="G57" s="2750" t="s">
        <v>1888</v>
      </c>
      <c r="H57" s="834" t="str">
        <f>项目基本情况!B37</f>
        <v>七级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1889</v>
      </c>
      <c r="B58" s="210">
        <f t="shared" ref="B58:B64" si="17">ROUND($C$48*C58*D58,0)</f>
        <v>1058</v>
      </c>
      <c r="C58" s="163">
        <f t="shared" si="16"/>
        <v>0.3</v>
      </c>
      <c r="D58" s="891">
        <v>0.25</v>
      </c>
      <c r="E58" s="614"/>
      <c r="F58" s="833">
        <f t="shared" si="15"/>
        <v>0</v>
      </c>
      <c r="G58" s="2751"/>
      <c r="H58" s="834" t="str">
        <f>项目基本情况!B37</f>
        <v>七级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1890</v>
      </c>
      <c r="B59" s="210">
        <f t="shared" si="17"/>
        <v>882</v>
      </c>
      <c r="C59" s="163">
        <f t="shared" si="16"/>
        <v>0.25</v>
      </c>
      <c r="D59" s="891">
        <v>0.25</v>
      </c>
      <c r="E59" s="614"/>
      <c r="F59" s="833">
        <f t="shared" si="15"/>
        <v>0</v>
      </c>
      <c r="G59" s="2751"/>
      <c r="H59" s="834" t="str">
        <f>项目基本情况!B37</f>
        <v>七级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1891</v>
      </c>
      <c r="B60" s="210">
        <f t="shared" si="17"/>
        <v>0</v>
      </c>
      <c r="C60" s="163">
        <f t="shared" si="16"/>
        <v>0</v>
      </c>
      <c r="D60" s="891">
        <v>0.25</v>
      </c>
      <c r="E60" s="209">
        <f>'数据-汇总表'!E11</f>
        <v>0</v>
      </c>
      <c r="F60" s="833">
        <f t="shared" si="15"/>
        <v>0</v>
      </c>
      <c r="G60" s="1834" t="s">
        <v>1892</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1893</v>
      </c>
      <c r="B61" s="210">
        <f t="shared" si="17"/>
        <v>0</v>
      </c>
      <c r="C61" s="163">
        <f t="shared" si="16"/>
        <v>0</v>
      </c>
      <c r="D61" s="891">
        <v>0.25</v>
      </c>
      <c r="E61" s="209">
        <f>'数据-汇总表'!E12</f>
        <v>0</v>
      </c>
      <c r="F61" s="833">
        <f t="shared" si="15"/>
        <v>0</v>
      </c>
      <c r="G61" s="839" t="s">
        <v>1894</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1895</v>
      </c>
      <c r="B62" s="210">
        <f t="shared" si="17"/>
        <v>0</v>
      </c>
      <c r="C62" s="163">
        <f t="shared" si="16"/>
        <v>0</v>
      </c>
      <c r="D62" s="891">
        <v>0.25</v>
      </c>
      <c r="E62" s="209">
        <f>'数据-汇总表'!E13</f>
        <v>0</v>
      </c>
      <c r="F62" s="833">
        <f t="shared" si="15"/>
        <v>0</v>
      </c>
      <c r="G62" s="839" t="s">
        <v>1896</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1897</v>
      </c>
      <c r="B63" s="210">
        <f t="shared" si="17"/>
        <v>529</v>
      </c>
      <c r="C63" s="163">
        <f t="shared" si="16"/>
        <v>0.15</v>
      </c>
      <c r="D63" s="891">
        <v>0.25</v>
      </c>
      <c r="E63" s="209">
        <f>'数据-汇总表'!E14</f>
        <v>14328.11999999997</v>
      </c>
      <c r="F63" s="833">
        <f t="shared" si="15"/>
        <v>758</v>
      </c>
      <c r="G63" s="1834" t="s">
        <v>1888</v>
      </c>
      <c r="H63" s="834" t="str">
        <f>项目基本情况!B37</f>
        <v>七级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1898</v>
      </c>
      <c r="B64" s="210">
        <f t="shared" si="17"/>
        <v>0</v>
      </c>
      <c r="C64" s="163">
        <f t="shared" si="16"/>
        <v>0</v>
      </c>
      <c r="D64" s="891">
        <v>0.25</v>
      </c>
      <c r="E64" s="209">
        <f>'数据-汇总表'!E15</f>
        <v>0</v>
      </c>
      <c r="F64" s="833">
        <f t="shared" si="15"/>
        <v>0</v>
      </c>
      <c r="G64" s="1835" t="s">
        <v>1892</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1899</v>
      </c>
      <c r="B65" s="616" t="s">
        <v>22</v>
      </c>
      <c r="C65" s="616" t="s">
        <v>23</v>
      </c>
      <c r="D65" s="616" t="s">
        <v>392</v>
      </c>
      <c r="E65" s="616">
        <f>IF(B46="楼面地价",SUM(E56:E64),'数据-汇总表'!D3)</f>
        <v>65983.159999999974</v>
      </c>
      <c r="F65" s="617">
        <f>IF(B46="楼面地价",SUM(F56:F64),ROUND(C48*E65/10000,0))</f>
        <v>64644</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1794</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1900</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672</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8"/>
      <c r="Q70" s="2439"/>
      <c r="R70" s="2439"/>
      <c r="S70" s="2439"/>
      <c r="T70" s="2439"/>
      <c r="U70" s="2439"/>
      <c r="V70" s="2439"/>
      <c r="W70" s="2439"/>
      <c r="X70" s="2439"/>
      <c r="Y70" s="2439"/>
      <c r="Z70" s="2439"/>
      <c r="AA70" s="2439"/>
      <c r="AB70" s="2439"/>
      <c r="AC70" s="2439"/>
    </row>
    <row r="71" spans="1:29" s="102" customFormat="1" ht="15.75" thickBot="1">
      <c r="A71" s="449" t="s">
        <v>1712</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1677</v>
      </c>
      <c r="B72" s="444"/>
      <c r="C72" s="456" t="s">
        <v>1772</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1715</v>
      </c>
      <c r="B74" s="460" t="s">
        <v>1681</v>
      </c>
      <c r="C74" s="3170" t="s">
        <v>4323</v>
      </c>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1684</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1685</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97</v>
      </c>
      <c r="E80" s="475">
        <f t="shared" si="21"/>
        <v>94</v>
      </c>
      <c r="F80" s="475">
        <f t="shared" si="21"/>
        <v>91</v>
      </c>
      <c r="G80" s="475">
        <f t="shared" si="21"/>
        <v>88</v>
      </c>
      <c r="H80" s="475">
        <f t="shared" si="21"/>
        <v>85</v>
      </c>
      <c r="I80" s="475">
        <f t="shared" si="21"/>
        <v>82</v>
      </c>
      <c r="J80" s="475">
        <f t="shared" si="21"/>
        <v>79</v>
      </c>
      <c r="K80" s="475">
        <f t="shared" si="21"/>
        <v>76</v>
      </c>
      <c r="L80" s="475">
        <f t="shared" si="21"/>
        <v>73</v>
      </c>
      <c r="M80" s="475">
        <f t="shared" si="21"/>
        <v>70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t="str">
        <f>B13</f>
        <v>自持限制</v>
      </c>
      <c r="C83" s="3171" t="s">
        <v>4324</v>
      </c>
      <c r="D83" s="3172" t="s">
        <v>4325</v>
      </c>
      <c r="E83" s="3171" t="s">
        <v>4326</v>
      </c>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v>100</v>
      </c>
      <c r="D84" s="467">
        <v>95</v>
      </c>
      <c r="E84" s="467">
        <v>80</v>
      </c>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1686</v>
      </c>
      <c r="B87" s="460" t="s">
        <v>1716</v>
      </c>
      <c r="C87" s="504" t="s">
        <v>1717</v>
      </c>
      <c r="D87" s="504" t="s">
        <v>1718</v>
      </c>
      <c r="E87" s="504" t="s">
        <v>1719</v>
      </c>
      <c r="F87" s="504" t="s">
        <v>1720</v>
      </c>
      <c r="G87" s="504" t="s">
        <v>1721</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1901</v>
      </c>
      <c r="C89" s="509" t="s">
        <v>1717</v>
      </c>
      <c r="D89" s="509" t="s">
        <v>1718</v>
      </c>
      <c r="E89" s="509" t="s">
        <v>1719</v>
      </c>
      <c r="F89" s="509" t="s">
        <v>1720</v>
      </c>
      <c r="G89" s="509" t="s">
        <v>1721</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97</v>
      </c>
      <c r="E90" s="475">
        <f>D90-$K17</f>
        <v>94</v>
      </c>
      <c r="F90" s="475">
        <f>E90-$K17</f>
        <v>91</v>
      </c>
      <c r="G90" s="475">
        <f>F90-$K17</f>
        <v>88</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1817</v>
      </c>
      <c r="C91" s="509" t="s">
        <v>1717</v>
      </c>
      <c r="D91" s="509" t="s">
        <v>1718</v>
      </c>
      <c r="E91" s="509" t="s">
        <v>1719</v>
      </c>
      <c r="F91" s="509" t="s">
        <v>1720</v>
      </c>
      <c r="G91" s="509" t="s">
        <v>1721</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1722</v>
      </c>
      <c r="C93" s="509" t="s">
        <v>1717</v>
      </c>
      <c r="D93" s="509" t="s">
        <v>1718</v>
      </c>
      <c r="E93" s="509" t="s">
        <v>1719</v>
      </c>
      <c r="F93" s="509" t="s">
        <v>1720</v>
      </c>
      <c r="G93" s="509" t="s">
        <v>1721</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98</v>
      </c>
      <c r="E94" s="475">
        <f>D94-$K21</f>
        <v>96</v>
      </c>
      <c r="F94" s="475">
        <f>E94-$K21</f>
        <v>94</v>
      </c>
      <c r="G94" s="475">
        <f>F94-$K21</f>
        <v>92</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1902</v>
      </c>
      <c r="C95" s="509" t="s">
        <v>1717</v>
      </c>
      <c r="D95" s="509" t="s">
        <v>1718</v>
      </c>
      <c r="E95" s="509" t="s">
        <v>1719</v>
      </c>
      <c r="F95" s="509" t="s">
        <v>1720</v>
      </c>
      <c r="G95" s="509" t="s">
        <v>1721</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1903</v>
      </c>
      <c r="C97" s="504" t="s">
        <v>1717</v>
      </c>
      <c r="D97" s="504" t="s">
        <v>1718</v>
      </c>
      <c r="E97" s="504" t="s">
        <v>1719</v>
      </c>
      <c r="F97" s="504" t="s">
        <v>1720</v>
      </c>
      <c r="G97" s="504" t="s">
        <v>1721</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1904</v>
      </c>
      <c r="D103" s="470" t="s">
        <v>1905</v>
      </c>
      <c r="E103" s="470" t="s">
        <v>1906</v>
      </c>
      <c r="F103" s="470" t="s">
        <v>1907</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1811</v>
      </c>
      <c r="C105" s="3171" t="s">
        <v>4327</v>
      </c>
      <c r="D105" s="3171" t="s">
        <v>4328</v>
      </c>
      <c r="E105" s="3171" t="s">
        <v>4329</v>
      </c>
      <c r="F105" s="3171" t="s">
        <v>4330</v>
      </c>
      <c r="G105" s="3171" t="s">
        <v>4331</v>
      </c>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98</v>
      </c>
      <c r="E106" s="475">
        <f t="shared" si="23"/>
        <v>96</v>
      </c>
      <c r="F106" s="475">
        <f t="shared" si="23"/>
        <v>94</v>
      </c>
      <c r="G106" s="475">
        <f t="shared" si="23"/>
        <v>92</v>
      </c>
      <c r="H106" s="475">
        <f t="shared" si="23"/>
        <v>90</v>
      </c>
      <c r="I106" s="475">
        <f t="shared" si="23"/>
        <v>88</v>
      </c>
      <c r="J106" s="475">
        <f t="shared" si="23"/>
        <v>86</v>
      </c>
      <c r="K106" s="475">
        <f t="shared" si="23"/>
        <v>84</v>
      </c>
      <c r="L106" s="475">
        <f t="shared" si="23"/>
        <v>82</v>
      </c>
      <c r="M106" s="475">
        <f t="shared" si="23"/>
        <v>80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1869</v>
      </c>
      <c r="C107" s="3174" t="s">
        <v>24</v>
      </c>
      <c r="D107" s="3174" t="s">
        <v>25</v>
      </c>
      <c r="E107" s="3174" t="s">
        <v>319</v>
      </c>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1690</v>
      </c>
      <c r="B115" s="460" t="s">
        <v>1908</v>
      </c>
      <c r="C115" s="461" t="str">
        <f>C116&amp;"(含)"&amp;"-"&amp;D116</f>
        <v>0(含)-10000</v>
      </c>
      <c r="D115" s="461" t="str">
        <f t="shared" ref="D115:M115" si="25">D116&amp;"(含)"&amp;"-"&amp;E116</f>
        <v>10000(含)-20000</v>
      </c>
      <c r="E115" s="461" t="str">
        <f t="shared" si="25"/>
        <v>20000(含)-30000</v>
      </c>
      <c r="F115" s="461" t="str">
        <f t="shared" si="25"/>
        <v>30000(含)-40000</v>
      </c>
      <c r="G115" s="461" t="str">
        <f t="shared" si="25"/>
        <v>40000(含)-50000</v>
      </c>
      <c r="H115" s="461" t="str">
        <f t="shared" si="25"/>
        <v>50000(含)-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10000</v>
      </c>
      <c r="E116" s="6">
        <v>20000</v>
      </c>
      <c r="F116" s="6">
        <v>30000</v>
      </c>
      <c r="G116" s="6">
        <v>40000</v>
      </c>
      <c r="H116" s="6">
        <v>50000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101</v>
      </c>
      <c r="E117" s="521">
        <v>102</v>
      </c>
      <c r="F117" s="521">
        <v>103</v>
      </c>
      <c r="G117" s="521">
        <v>104</v>
      </c>
      <c r="H117" s="521">
        <v>105</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1909</v>
      </c>
      <c r="C118" s="3174" t="s">
        <v>4338</v>
      </c>
      <c r="D118" s="3174" t="s">
        <v>4339</v>
      </c>
      <c r="E118" s="3174" t="s">
        <v>4340</v>
      </c>
      <c r="F118" s="3174" t="s">
        <v>4341</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1910</v>
      </c>
      <c r="C120" s="3171" t="s">
        <v>4347</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1911</v>
      </c>
      <c r="C122" s="3171" t="s">
        <v>4342</v>
      </c>
      <c r="D122" s="3171" t="s">
        <v>4343</v>
      </c>
      <c r="E122" s="3171" t="s">
        <v>4344</v>
      </c>
      <c r="F122" s="3171" t="s">
        <v>4345</v>
      </c>
      <c r="G122" s="3171" t="s">
        <v>4346</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1912</v>
      </c>
      <c r="C124" s="3171" t="s">
        <v>4348</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3"/>
      <c r="C1" s="1286" t="s">
        <v>4318</v>
      </c>
      <c r="D1" s="1270" t="s">
        <v>43</v>
      </c>
      <c r="E1" s="1271" t="s">
        <v>677</v>
      </c>
      <c r="F1" s="999">
        <f ca="1">J53</f>
        <v>32.15</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803</v>
      </c>
      <c r="B2" s="1293">
        <f ca="1">C40+J29+L46</f>
        <v>99875</v>
      </c>
      <c r="C2" s="1288" t="s">
        <v>804</v>
      </c>
      <c r="D2" s="1288"/>
      <c r="E2" s="1294"/>
      <c r="F2" s="1295"/>
      <c r="G2" s="2478"/>
      <c r="H2" s="2468"/>
      <c r="I2" s="2468"/>
      <c r="J2" s="2468"/>
      <c r="K2" s="2469"/>
      <c r="L2" s="2468"/>
      <c r="M2" s="2468"/>
    </row>
    <row r="3" spans="1:37" ht="18" customHeight="1" thickBot="1">
      <c r="A3" s="1296" t="s">
        <v>805</v>
      </c>
      <c r="B3" s="1297">
        <f ca="1">IF(ISERROR(B2*10000/F43),0,ROUND(B2*10000/F43,0))</f>
        <v>14677</v>
      </c>
      <c r="C3" s="1288" t="s">
        <v>806</v>
      </c>
      <c r="D3" s="1288"/>
      <c r="E3" s="1294"/>
      <c r="F3" s="1295"/>
      <c r="G3" s="2478"/>
      <c r="H3" s="649"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7">
        <f ca="1">C6+C10+C12</f>
        <v>8953</v>
      </c>
      <c r="D5" s="1272" t="s">
        <v>692</v>
      </c>
      <c r="E5" s="1008"/>
      <c r="F5" s="1009"/>
      <c r="G5" s="1291"/>
      <c r="H5" s="291">
        <v>1</v>
      </c>
      <c r="I5" s="292" t="s">
        <v>691</v>
      </c>
      <c r="J5" s="1007">
        <f ca="1">J6+J10+J12</f>
        <v>0</v>
      </c>
      <c r="K5" s="1272" t="s">
        <v>692</v>
      </c>
      <c r="L5" s="1008"/>
      <c r="M5" s="1009"/>
    </row>
    <row r="6" spans="1:37" ht="18" customHeight="1">
      <c r="A6" s="1006" t="s">
        <v>398</v>
      </c>
      <c r="B6" s="3411" t="s">
        <v>693</v>
      </c>
      <c r="C6" s="1011">
        <f ca="1">ROUND(F6*F8*F7*(1-F9)/10000,0)</f>
        <v>8942</v>
      </c>
      <c r="D6" s="147" t="s">
        <v>2104</v>
      </c>
      <c r="E6" s="294" t="s">
        <v>695</v>
      </c>
      <c r="F6" s="295">
        <f ca="1">INDIRECT("'数据-取费表'!u"&amp;$G$1)</f>
        <v>4</v>
      </c>
      <c r="G6" s="1291"/>
      <c r="H6" s="1006" t="s">
        <v>398</v>
      </c>
      <c r="I6" s="3411" t="s">
        <v>693</v>
      </c>
      <c r="J6" s="293">
        <f ca="1">ROUND(M6*M8*M7*(1-M9)/10000,0)</f>
        <v>0</v>
      </c>
      <c r="K6" s="147" t="s">
        <v>2103</v>
      </c>
      <c r="L6" s="294" t="s">
        <v>695</v>
      </c>
      <c r="M6" s="295">
        <f ca="1">INDIRECT("'数据-取费表'!z"&amp;$G$1)</f>
        <v>0</v>
      </c>
    </row>
    <row r="7" spans="1:37" ht="18" customHeight="1">
      <c r="A7" s="1010"/>
      <c r="B7" s="3412"/>
      <c r="C7" s="1012"/>
      <c r="D7" s="299"/>
      <c r="E7" s="1013" t="s">
        <v>696</v>
      </c>
      <c r="F7" s="295">
        <f ca="1">IF(INDIRECT("'数据-取费表'!ah"&amp;$G$1)="",INDIRECT("'数据-取费表'!k"&amp;$G$1),INDIRECT("'数据-取费表'!ah"&amp;$G$1))</f>
        <v>68049.77999999997</v>
      </c>
      <c r="G7" s="1291"/>
      <c r="H7" s="296"/>
      <c r="I7" s="3412"/>
      <c r="J7" s="298"/>
      <c r="K7" s="299"/>
      <c r="L7" s="294" t="s">
        <v>696</v>
      </c>
      <c r="M7" s="295">
        <f ca="1">F7</f>
        <v>68049.77999999997</v>
      </c>
    </row>
    <row r="8" spans="1:37" ht="18" customHeight="1">
      <c r="A8" s="296"/>
      <c r="B8" s="3412"/>
      <c r="C8" s="298"/>
      <c r="D8" s="299"/>
      <c r="E8" s="294" t="s">
        <v>697</v>
      </c>
      <c r="F8" s="295">
        <f ca="1">INDIRECT("'数据-取费表'!ai"&amp;$G$1)</f>
        <v>365</v>
      </c>
      <c r="G8" s="1291"/>
      <c r="H8" s="296"/>
      <c r="I8" s="3412"/>
      <c r="J8" s="298"/>
      <c r="K8" s="299"/>
      <c r="L8" s="294" t="s">
        <v>697</v>
      </c>
      <c r="M8" s="295">
        <f ca="1">INDIRECT("'数据-取费表'!ai"&amp;$G$1)</f>
        <v>365</v>
      </c>
    </row>
    <row r="9" spans="1:37" ht="18" customHeight="1">
      <c r="A9" s="296"/>
      <c r="B9" s="3413"/>
      <c r="C9" s="298"/>
      <c r="D9" s="299"/>
      <c r="E9" s="294" t="s">
        <v>698</v>
      </c>
      <c r="F9" s="304">
        <f ca="1">INDIRECT("'数据-取费表'!w"&amp;$G$1)</f>
        <v>0.1</v>
      </c>
      <c r="G9" s="1291"/>
      <c r="H9" s="296"/>
      <c r="I9" s="3413"/>
      <c r="J9" s="298"/>
      <c r="K9" s="299"/>
      <c r="L9" s="305" t="s">
        <v>698</v>
      </c>
      <c r="M9" s="306">
        <f ca="1">INDIRECT("'数据-取费表'!ab"&amp;$G$1)</f>
        <v>0</v>
      </c>
    </row>
    <row r="10" spans="1:37" ht="18" customHeight="1">
      <c r="A10" s="1006" t="s">
        <v>402</v>
      </c>
      <c r="B10" s="1273" t="s">
        <v>699</v>
      </c>
      <c r="C10" s="308">
        <f ca="1">ROUND(IF(F10="押一",C6/12*F11,IF(F10="押二",C6/12*2*F11,IF(F10="押三",C6/12*3*F11,C11*F11))),0)</f>
        <v>11</v>
      </c>
      <c r="D10" s="150" t="s">
        <v>2112</v>
      </c>
      <c r="E10" s="305" t="s">
        <v>700</v>
      </c>
      <c r="F10" s="1053" t="s">
        <v>4319</v>
      </c>
      <c r="G10" s="1291"/>
      <c r="H10" s="1006" t="s">
        <v>402</v>
      </c>
      <c r="I10" s="1273" t="s">
        <v>699</v>
      </c>
      <c r="J10" s="293">
        <f ca="1">ROUND(IF(M10="押一",J6/12*M11,IF(M10="押二",J6/12*2*M11,IF(M10="押三",J6/12*3*M11,J11*M11))),0)</f>
        <v>0</v>
      </c>
      <c r="K10" s="150" t="s">
        <v>2111</v>
      </c>
      <c r="L10" s="305" t="s">
        <v>700</v>
      </c>
      <c r="M10" s="1053"/>
    </row>
    <row r="11" spans="1:37" ht="18" customHeight="1">
      <c r="A11" s="300"/>
      <c r="B11" s="1274" t="s">
        <v>678</v>
      </c>
      <c r="C11" s="905"/>
      <c r="D11" s="1275"/>
      <c r="E11" s="305" t="s">
        <v>701</v>
      </c>
      <c r="F11" s="306">
        <f ca="1">'数据-取费表'!B39</f>
        <v>1.4999999999999999E-2</v>
      </c>
      <c r="G11" s="1291"/>
      <c r="H11" s="1014"/>
      <c r="I11" s="1274" t="s">
        <v>678</v>
      </c>
      <c r="J11" s="905"/>
      <c r="K11" s="646"/>
      <c r="L11" s="305" t="s">
        <v>701</v>
      </c>
      <c r="M11" s="809">
        <f ca="1">'数据-取费表'!B39</f>
        <v>1.4999999999999999E-2</v>
      </c>
    </row>
    <row r="12" spans="1:37" ht="18" customHeight="1" thickBot="1">
      <c r="A12" s="1020" t="s">
        <v>437</v>
      </c>
      <c r="B12" s="1276" t="s">
        <v>702</v>
      </c>
      <c r="C12" s="1021"/>
      <c r="D12" s="1022"/>
      <c r="E12" s="1027"/>
      <c r="F12" s="1023"/>
      <c r="G12" s="1291"/>
      <c r="H12" s="1020" t="s">
        <v>437</v>
      </c>
      <c r="I12" s="1276" t="s">
        <v>702</v>
      </c>
      <c r="J12" s="1021"/>
      <c r="K12" s="1035"/>
      <c r="L12" s="1027"/>
      <c r="M12" s="1036"/>
    </row>
    <row r="13" spans="1:37" ht="18" customHeight="1" thickTop="1">
      <c r="A13" s="1016">
        <v>2</v>
      </c>
      <c r="B13" s="1017" t="s">
        <v>703</v>
      </c>
      <c r="C13" s="302">
        <f ca="1">ROUND(C29*F13,0)</f>
        <v>55324</v>
      </c>
      <c r="D13" s="1018" t="s">
        <v>704</v>
      </c>
      <c r="E13" s="1018" t="s">
        <v>705</v>
      </c>
      <c r="F13" s="1019">
        <f ca="1">INDIRECT("'数据-取费表'!y"&amp;$G$1)</f>
        <v>0.95</v>
      </c>
      <c r="G13" s="1291"/>
      <c r="H13" s="1016">
        <v>2</v>
      </c>
      <c r="I13" s="1017" t="s">
        <v>703</v>
      </c>
      <c r="J13" s="1005">
        <f ca="1">ROUND(J14*J15,0)</f>
        <v>0</v>
      </c>
      <c r="K13" s="1024" t="s">
        <v>704</v>
      </c>
      <c r="L13" s="1298"/>
      <c r="M13" s="1299"/>
    </row>
    <row r="14" spans="1:37" ht="18" customHeight="1">
      <c r="A14" s="928" t="s">
        <v>397</v>
      </c>
      <c r="B14" s="294" t="s">
        <v>706</v>
      </c>
      <c r="C14" s="310">
        <f ca="1">INDIRECT("'数据-取费表'!m"&amp;$G$1)+INDIRECT("'数据-取费表'!t"&amp;$G$1)</f>
        <v>35386</v>
      </c>
      <c r="D14" s="1256" t="s">
        <v>707</v>
      </c>
      <c r="E14" s="1254"/>
      <c r="F14" s="311"/>
      <c r="G14" s="1291"/>
      <c r="H14" s="928" t="s">
        <v>398</v>
      </c>
      <c r="I14" s="294" t="s">
        <v>708</v>
      </c>
      <c r="J14" s="21">
        <f ca="1">C29</f>
        <v>58236</v>
      </c>
      <c r="K14" s="12"/>
      <c r="L14" s="759"/>
      <c r="M14" s="760"/>
    </row>
    <row r="15" spans="1:37" s="1303" customFormat="1" ht="18" customHeight="1" thickBot="1">
      <c r="A15" s="928" t="s">
        <v>399</v>
      </c>
      <c r="B15" s="294" t="s">
        <v>709</v>
      </c>
      <c r="C15" s="21">
        <f ca="1">ROUND(C14*F15,0)</f>
        <v>1769</v>
      </c>
      <c r="D15" s="312" t="s">
        <v>710</v>
      </c>
      <c r="E15" s="312" t="s">
        <v>711</v>
      </c>
      <c r="F15" s="313">
        <f>'数据-取费表'!B33</f>
        <v>0.05</v>
      </c>
      <c r="G15" s="1302"/>
      <c r="H15" s="1026" t="s">
        <v>402</v>
      </c>
      <c r="I15" s="1027" t="s">
        <v>705</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1"/>
      <c r="H16" s="1016" t="s">
        <v>393</v>
      </c>
      <c r="I16" s="1017" t="s">
        <v>713</v>
      </c>
      <c r="J16" s="302">
        <f ca="1">ROUND(J17+J22+J23+J24,0)</f>
        <v>352</v>
      </c>
      <c r="K16" s="1024" t="s">
        <v>714</v>
      </c>
      <c r="L16" s="1025"/>
      <c r="M16" s="1009"/>
    </row>
    <row r="17" spans="1:37" s="1303" customFormat="1" ht="18" customHeight="1">
      <c r="A17" s="928" t="s">
        <v>680</v>
      </c>
      <c r="B17" s="294" t="s">
        <v>715</v>
      </c>
      <c r="C17" s="21">
        <f ca="1">ROUND(F17*(F43+INDIRECT("'数据-取费表'!S"&amp;$G$1))/10000,0)</f>
        <v>1361</v>
      </c>
      <c r="D17" s="294" t="s">
        <v>716</v>
      </c>
      <c r="E17" s="294" t="s">
        <v>717</v>
      </c>
      <c r="F17" s="23">
        <f>'数据-取费表'!B35</f>
        <v>200</v>
      </c>
      <c r="G17" s="1302"/>
      <c r="H17" s="928" t="s">
        <v>398</v>
      </c>
      <c r="I17" s="294" t="s">
        <v>718</v>
      </c>
      <c r="J17" s="2139">
        <f ca="1">ROUND(IF(AND(项目基本情况!B11="自然人",项目基本情况!B10="北京市"),J6*M17/(1+'数据-取费表'!C42),J18+J19+J20),2)</f>
        <v>2.36</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681</v>
      </c>
      <c r="B18" s="294" t="s">
        <v>721</v>
      </c>
      <c r="C18" s="21">
        <f ca="1">ROUND(C14*F18,0)</f>
        <v>1062</v>
      </c>
      <c r="D18" s="294" t="s">
        <v>710</v>
      </c>
      <c r="E18" s="294" t="s">
        <v>711</v>
      </c>
      <c r="F18" s="314">
        <f>'数据-取费表'!B36</f>
        <v>0.03</v>
      </c>
      <c r="G18" s="1302"/>
      <c r="H18" s="928"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724</v>
      </c>
      <c r="C19" s="21">
        <f ca="1">SUM(C14:C18)</f>
        <v>39578</v>
      </c>
      <c r="D19" s="123" t="s">
        <v>725</v>
      </c>
      <c r="E19" s="1268"/>
      <c r="F19" s="23"/>
      <c r="G19" s="1291"/>
      <c r="H19" s="928" t="s">
        <v>399</v>
      </c>
      <c r="I19" s="294" t="s">
        <v>726</v>
      </c>
      <c r="J19" s="21">
        <f ca="1">IF(K19="按租金收入计税",ROUND(J6*M19/(1+'数据-取费表'!C42),2),ROUND(C29*M19*0.7,2))</f>
        <v>0</v>
      </c>
      <c r="K19" s="1277" t="s">
        <v>3333</v>
      </c>
      <c r="L19" s="294" t="s">
        <v>711</v>
      </c>
      <c r="M19" s="314">
        <f>IF(K19="按租金收入计税",'数据-取费表'!B51,'数据-取费表'!B50)</f>
        <v>0.12</v>
      </c>
    </row>
    <row r="20" spans="1:37" s="1303" customFormat="1" ht="18" customHeight="1">
      <c r="A20" s="928" t="s">
        <v>402</v>
      </c>
      <c r="B20" s="294" t="s">
        <v>727</v>
      </c>
      <c r="C20" s="21">
        <f ca="1">ROUND(C19*F20,0)</f>
        <v>1187</v>
      </c>
      <c r="D20" s="315" t="s">
        <v>728</v>
      </c>
      <c r="E20" s="294" t="s">
        <v>711</v>
      </c>
      <c r="F20" s="314">
        <f>'数据-取费表'!B37</f>
        <v>0.03</v>
      </c>
      <c r="G20" s="1302"/>
      <c r="H20" s="928" t="s">
        <v>679</v>
      </c>
      <c r="I20" s="147" t="s">
        <v>729</v>
      </c>
      <c r="J20" s="22">
        <f ca="1">ROUND(M20*M21/10000,2)</f>
        <v>2.36</v>
      </c>
      <c r="K20" s="316" t="s">
        <v>730</v>
      </c>
      <c r="L20" s="294" t="s">
        <v>731</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732</v>
      </c>
      <c r="C21" s="21" t="s">
        <v>15</v>
      </c>
      <c r="D21" s="315" t="s">
        <v>733</v>
      </c>
      <c r="E21" s="294" t="s">
        <v>734</v>
      </c>
      <c r="F21" s="314">
        <f>'数据-取费表'!B38</f>
        <v>0.03</v>
      </c>
      <c r="G21" s="1302"/>
      <c r="H21" s="318"/>
      <c r="I21" s="303"/>
      <c r="J21" s="26"/>
      <c r="K21" s="319"/>
      <c r="L21" s="294" t="s">
        <v>735</v>
      </c>
      <c r="M21" s="295">
        <f ca="1">INDIRECT("'数据-取费表'!r"&amp;$G$1)</f>
        <v>15742.02</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8"/>
      <c r="F22" s="23"/>
      <c r="G22" s="1291"/>
      <c r="H22" s="928" t="s">
        <v>402</v>
      </c>
      <c r="I22" s="294" t="s">
        <v>737</v>
      </c>
      <c r="J22" s="21">
        <f ca="1">ROUND(J14*M22,2)</f>
        <v>349.42</v>
      </c>
      <c r="K22" s="1255" t="s">
        <v>738</v>
      </c>
      <c r="L22" s="294" t="s">
        <v>711</v>
      </c>
      <c r="M22" s="320">
        <f ca="1">INDIRECT("'数据-取费表'!Ak"&amp;$G$1)</f>
        <v>6.0000000000000001E-3</v>
      </c>
    </row>
    <row r="23" spans="1:37" s="1303" customFormat="1" ht="18" customHeight="1">
      <c r="A23" s="928" t="s">
        <v>397</v>
      </c>
      <c r="B23" s="294" t="s">
        <v>739</v>
      </c>
      <c r="C23" s="21">
        <f ca="1">IF('数据-取费表'!B22&lt;=1,ROUND(C19*F24*F23/2,0)+ROUND(C20*F24*F23/2,0),ROUND(C19*(POWER((1+F24),F23/2)-1),0)+ROUND(C20*(POWER((1+F24),F23/2)-1),0))</f>
        <v>1911</v>
      </c>
      <c r="D23" s="138" t="str">
        <f>IF(F23&lt;=1,"(建造成本+管理费用)×利率×(建设周期÷2)","(建造成本+管理费用)×((1+利率)^(建设周期÷2)-1)")</f>
        <v>(建造成本+管理费用)×((1+利率)^(建设周期÷2)-1)</v>
      </c>
      <c r="E23" s="294" t="s">
        <v>740</v>
      </c>
      <c r="F23" s="317">
        <f>'数据-取费表'!B20</f>
        <v>3</v>
      </c>
      <c r="G23" s="1302"/>
      <c r="H23" s="928" t="s">
        <v>437</v>
      </c>
      <c r="I23" s="294" t="s">
        <v>741</v>
      </c>
      <c r="J23" s="21">
        <f ca="1">ROUND(J13*M23,2)</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744</v>
      </c>
      <c r="B24" s="294" t="s">
        <v>745</v>
      </c>
      <c r="C24" s="21">
        <f ca="1">ROUND(IF('数据-取费表'!B22&lt;=1,F21*F24*F23/2,F21*(POWER((1+F24),F23/2)-1)),4)</f>
        <v>1.4E-3</v>
      </c>
      <c r="D24" s="138" t="str">
        <f>IF(F23&lt;=1,"销售费用×利率×(建设周期÷2)","销售费用×((1+利率)^(建设周期÷2)-1)")</f>
        <v>销售费用×((1+利率)^(建设周期÷2)-1)</v>
      </c>
      <c r="E24" s="294" t="s">
        <v>746</v>
      </c>
      <c r="F24" s="322">
        <f ca="1">'数据-取费表'!B40</f>
        <v>3.1E-2</v>
      </c>
      <c r="G24" s="1302"/>
      <c r="H24" s="1026" t="s">
        <v>683</v>
      </c>
      <c r="I24" s="1027" t="s">
        <v>727</v>
      </c>
      <c r="J24" s="1028">
        <f ca="1">ROUND(J5*M24,2)</f>
        <v>0</v>
      </c>
      <c r="K24" s="1029" t="s">
        <v>747</v>
      </c>
      <c r="L24" s="1027" t="s">
        <v>743</v>
      </c>
      <c r="M24" s="1023">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748</v>
      </c>
      <c r="B25" s="294" t="s">
        <v>749</v>
      </c>
      <c r="C25" s="21"/>
      <c r="D25" s="123" t="s">
        <v>750</v>
      </c>
      <c r="E25" s="1268"/>
      <c r="F25" s="23"/>
      <c r="G25" s="1291"/>
      <c r="H25" s="1016" t="s">
        <v>394</v>
      </c>
      <c r="I25" s="1031" t="s">
        <v>751</v>
      </c>
      <c r="J25" s="302">
        <f ca="1">J5-J16</f>
        <v>-352</v>
      </c>
      <c r="K25" s="1032" t="s">
        <v>752</v>
      </c>
      <c r="L25" s="1033"/>
      <c r="M25" s="1034"/>
    </row>
    <row r="26" spans="1:37">
      <c r="A26" s="928" t="s">
        <v>397</v>
      </c>
      <c r="B26" s="294" t="s">
        <v>753</v>
      </c>
      <c r="C26" s="21">
        <f ca="1">ROUND((C19+C20)*F26,0)</f>
        <v>10191</v>
      </c>
      <c r="D26" s="315" t="s">
        <v>754</v>
      </c>
      <c r="E26" s="305" t="s">
        <v>755</v>
      </c>
      <c r="F26" s="304">
        <f ca="1">INDIRECT("'数据-取费表'!q"&amp;$G$1)</f>
        <v>0.25</v>
      </c>
      <c r="G26" s="1291"/>
      <c r="H26" s="291" t="s">
        <v>395</v>
      </c>
      <c r="I26" s="292" t="s">
        <v>756</v>
      </c>
      <c r="J26" s="293">
        <f ca="1">IF(J5&lt;&gt;0,ROUND(J25*(1-((1+M28)/(1+M26))^M27)/(M26-M28),0),0)</f>
        <v>0</v>
      </c>
      <c r="K26" s="316" t="s">
        <v>757</v>
      </c>
      <c r="L26" s="294" t="s">
        <v>758</v>
      </c>
      <c r="M26" s="304">
        <f ca="1">INDIRECT("'数据-取费表'!I"&amp;$G$1)</f>
        <v>0.06</v>
      </c>
    </row>
    <row r="27" spans="1:37" ht="18" customHeight="1">
      <c r="A27" s="928" t="s">
        <v>399</v>
      </c>
      <c r="B27" s="294" t="s">
        <v>759</v>
      </c>
      <c r="C27" s="21">
        <f ca="1">ROUND(F21*F26,4)</f>
        <v>7.4999999999999997E-3</v>
      </c>
      <c r="D27" s="315" t="s">
        <v>760</v>
      </c>
      <c r="E27" s="312"/>
      <c r="F27" s="313"/>
      <c r="G27" s="1291"/>
      <c r="H27" s="296"/>
      <c r="I27" s="297"/>
      <c r="J27" s="298"/>
      <c r="K27" s="323" t="s">
        <v>761</v>
      </c>
      <c r="L27" s="294" t="s">
        <v>762</v>
      </c>
      <c r="M27" s="324">
        <f ca="1">INDIRECT("'数据-取费表'!ag"&amp;$G$1)</f>
        <v>0</v>
      </c>
    </row>
    <row r="28" spans="1:37" s="1303" customFormat="1" ht="18" customHeight="1">
      <c r="A28" s="928"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766</v>
      </c>
      <c r="C29" s="1028">
        <f ca="1">ROUND((C19+C20+C23+C26)/(1-F21-C24-C27-C28),0)</f>
        <v>58236</v>
      </c>
      <c r="D29" s="1029"/>
      <c r="E29" s="1027"/>
      <c r="F29" s="1030"/>
      <c r="G29" s="1302"/>
      <c r="H29" s="325" t="s">
        <v>396</v>
      </c>
      <c r="I29" s="326" t="s">
        <v>767</v>
      </c>
      <c r="J29" s="327">
        <f ca="1">ROUND(J26/(1+F40)^F41,0)</f>
        <v>0</v>
      </c>
      <c r="K29" s="328" t="s">
        <v>768</v>
      </c>
      <c r="L29" s="329"/>
      <c r="M29" s="330">
        <f ca="1">INDIRECT("'数据-取费表'!k"&amp;$G$1)</f>
        <v>68049.77999999997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713</v>
      </c>
      <c r="C30" s="302">
        <f ca="1">ROUND(C31+C36+C37+C38,0)</f>
        <v>2040</v>
      </c>
      <c r="D30" s="1024" t="s">
        <v>714</v>
      </c>
      <c r="E30" s="1025"/>
      <c r="F30" s="1009"/>
      <c r="G30" s="1291"/>
      <c r="H30" s="2470"/>
      <c r="I30" s="1304"/>
      <c r="J30" s="1305"/>
      <c r="K30" s="121"/>
      <c r="L30" s="2471"/>
      <c r="M30" s="2472"/>
    </row>
    <row r="31" spans="1:37" ht="18" customHeight="1">
      <c r="A31" s="928" t="s">
        <v>398</v>
      </c>
      <c r="B31" s="294" t="s">
        <v>718</v>
      </c>
      <c r="C31" s="2139">
        <f ca="1">ROUND(IF(AND(项目基本情况!B11="自然人",项目基本情况!B10="北京市"),C6*F31/(1+'数据-取费表'!C42),C32+C33+C34),2)</f>
        <v>1501.21</v>
      </c>
      <c r="D31" s="1256" t="s">
        <v>719</v>
      </c>
      <c r="E31" s="1255" t="s">
        <v>769</v>
      </c>
      <c r="F31" s="2138" t="str">
        <f>IF(项目基本情况!B11="企业","——",IF(M47="住宅",IF(F6*F7*F8/12/(1+'数据-取费表'!F30)&gt;100000,4%,2.5%),IF(F6*F7*F8/12/(1+'数据-取费表'!F30)&gt;100000,12%,7%)))</f>
        <v>——</v>
      </c>
      <c r="G31" s="1291"/>
      <c r="H31" s="2569" t="s">
        <v>2303</v>
      </c>
      <c r="I31" s="1304"/>
      <c r="J31" s="1305"/>
      <c r="K31" s="121"/>
      <c r="L31" s="2471"/>
      <c r="M31" s="2472"/>
    </row>
    <row r="32" spans="1:37" ht="18" customHeight="1">
      <c r="A32" s="928" t="s">
        <v>397</v>
      </c>
      <c r="B32" s="294" t="s">
        <v>722</v>
      </c>
      <c r="C32" s="21">
        <f ca="1">IF(项目基本情况!B11="自然人","——",ROUND(C6*F32/(1+'数据-取费表'!C42),2))</f>
        <v>476.91</v>
      </c>
      <c r="D32" s="1255" t="s">
        <v>723</v>
      </c>
      <c r="E32" s="294" t="s">
        <v>711</v>
      </c>
      <c r="F32" s="322">
        <f>'数据-取费表'!B41</f>
        <v>5.6000000000000001E-2</v>
      </c>
      <c r="G32" s="1291"/>
      <c r="H32" s="2470"/>
      <c r="I32" s="1304"/>
      <c r="J32" s="1305"/>
      <c r="K32" s="121"/>
      <c r="L32" s="2471"/>
      <c r="M32" s="2472"/>
    </row>
    <row r="33" spans="1:18" ht="18" customHeight="1">
      <c r="A33" s="928" t="s">
        <v>399</v>
      </c>
      <c r="B33" s="294" t="s">
        <v>726</v>
      </c>
      <c r="C33" s="21">
        <f ca="1">IF(项目基本情况!B11="自然人","——",IF(D33="按租金收入计税",ROUND(C6*F33/(1+'数据-取费表'!C42),2),IF(D33="按房产原值计税",ROUND(C29*F33*0.7,2),INDIRECT("'数据-取费表'!Aj"&amp;$G$1))))</f>
        <v>1021.94</v>
      </c>
      <c r="D33" s="1277" t="s">
        <v>3333</v>
      </c>
      <c r="E33" s="294" t="s">
        <v>711</v>
      </c>
      <c r="F33" s="314">
        <f>IF(D33="按票据","——",IF(D33="按租金收入计税",'数据-取费表'!B51,'数据-取费表'!B50))</f>
        <v>0.12</v>
      </c>
      <c r="G33" s="1291"/>
      <c r="H33" s="2473"/>
      <c r="I33" s="1304"/>
      <c r="J33" s="1305"/>
      <c r="K33" s="2474"/>
      <c r="L33" s="2473"/>
      <c r="M33" s="2473"/>
    </row>
    <row r="34" spans="1:18" ht="18" customHeight="1">
      <c r="A34" s="1006" t="s">
        <v>679</v>
      </c>
      <c r="B34" s="147" t="s">
        <v>729</v>
      </c>
      <c r="C34" s="22">
        <f ca="1">IF(项目基本情况!B11="自然人","——",ROUND(F34*F35/10000,2))</f>
        <v>2.36</v>
      </c>
      <c r="D34" s="316" t="s">
        <v>730</v>
      </c>
      <c r="E34" s="294" t="s">
        <v>731</v>
      </c>
      <c r="F34" s="317">
        <f>'数据-取费表'!B52</f>
        <v>1.5</v>
      </c>
      <c r="G34" s="1291"/>
      <c r="H34" s="2470"/>
      <c r="I34" s="1304"/>
      <c r="J34" s="1305"/>
      <c r="K34" s="2475"/>
      <c r="L34" s="2476"/>
      <c r="M34" s="2476"/>
    </row>
    <row r="35" spans="1:18" ht="18" customHeight="1">
      <c r="A35" s="1040"/>
      <c r="B35" s="1038"/>
      <c r="C35" s="26"/>
      <c r="D35" s="319"/>
      <c r="E35" s="294" t="s">
        <v>735</v>
      </c>
      <c r="F35" s="295">
        <f ca="1">INDIRECT("'数据-取费表'!r"&amp;$G$1)</f>
        <v>15742.02</v>
      </c>
      <c r="G35" s="1291"/>
      <c r="H35" s="2470"/>
      <c r="I35" s="1304"/>
      <c r="J35" s="1305"/>
      <c r="K35" s="2474"/>
      <c r="L35" s="2473"/>
      <c r="M35" s="2473"/>
    </row>
    <row r="36" spans="1:18" ht="18" customHeight="1">
      <c r="A36" s="1039" t="s">
        <v>402</v>
      </c>
      <c r="B36" s="294" t="s">
        <v>737</v>
      </c>
      <c r="C36" s="21">
        <f ca="1">ROUND(C29*F36,2)</f>
        <v>349.42</v>
      </c>
      <c r="D36" s="1255" t="s">
        <v>770</v>
      </c>
      <c r="E36" s="294" t="s">
        <v>711</v>
      </c>
      <c r="F36" s="320">
        <f ca="1">INDIRECT("'数据-取费表'!Ak"&amp;$G$1)</f>
        <v>6.0000000000000001E-3</v>
      </c>
      <c r="G36" s="1291"/>
      <c r="H36" s="2473"/>
      <c r="I36" s="1304"/>
      <c r="J36" s="1305"/>
      <c r="K36" s="2330"/>
      <c r="L36" s="2473"/>
      <c r="M36" s="2473"/>
    </row>
    <row r="37" spans="1:18" ht="18" customHeight="1">
      <c r="A37" s="928" t="s">
        <v>437</v>
      </c>
      <c r="B37" s="294" t="s">
        <v>741</v>
      </c>
      <c r="C37" s="21">
        <f ca="1">ROUND(C13*F37,2)</f>
        <v>55.32</v>
      </c>
      <c r="D37" s="1255" t="s">
        <v>742</v>
      </c>
      <c r="E37" s="294" t="s">
        <v>743</v>
      </c>
      <c r="F37" s="321">
        <f ca="1">INDIRECT("'数据-取费表'!Al"&amp;$G$1)</f>
        <v>1E-3</v>
      </c>
      <c r="G37" s="1291"/>
      <c r="H37" s="2473"/>
      <c r="I37" s="1304"/>
      <c r="J37" s="1305"/>
      <c r="K37" s="2330"/>
      <c r="L37" s="2473"/>
      <c r="M37" s="2473"/>
    </row>
    <row r="38" spans="1:18" ht="18" customHeight="1" thickBot="1">
      <c r="A38" s="1026" t="s">
        <v>683</v>
      </c>
      <c r="B38" s="1027" t="s">
        <v>727</v>
      </c>
      <c r="C38" s="1028">
        <f ca="1">ROUND(C5*F38,2)</f>
        <v>134.30000000000001</v>
      </c>
      <c r="D38" s="1029" t="s">
        <v>747</v>
      </c>
      <c r="E38" s="1027" t="s">
        <v>743</v>
      </c>
      <c r="F38" s="1023">
        <f ca="1">INDIRECT("'数据-取费表'!Am"&amp;$G$1)</f>
        <v>1.4999999999999999E-2</v>
      </c>
      <c r="G38" s="1291"/>
      <c r="H38" s="2473"/>
      <c r="I38" s="1304"/>
      <c r="J38" s="1305"/>
      <c r="K38" s="2471"/>
      <c r="L38" s="2473"/>
      <c r="M38" s="2473"/>
    </row>
    <row r="39" spans="1:18" ht="24.6" customHeight="1" thickTop="1">
      <c r="A39" s="1016" t="s">
        <v>394</v>
      </c>
      <c r="B39" s="1031" t="s">
        <v>771</v>
      </c>
      <c r="C39" s="302">
        <f ca="1">C5-C30</f>
        <v>6913</v>
      </c>
      <c r="D39" s="1032" t="s">
        <v>772</v>
      </c>
      <c r="E39" s="1033"/>
      <c r="F39" s="1034"/>
      <c r="G39" s="1291"/>
      <c r="H39" s="2473"/>
      <c r="I39" s="1304"/>
      <c r="J39" s="1305"/>
      <c r="K39" s="2471"/>
      <c r="L39" s="2473"/>
      <c r="M39" s="2473"/>
    </row>
    <row r="40" spans="1:18" ht="18" customHeight="1">
      <c r="A40" s="291" t="s">
        <v>395</v>
      </c>
      <c r="B40" s="292" t="s">
        <v>773</v>
      </c>
      <c r="C40" s="293">
        <f ca="1">ROUND(C39*(1-((1+F42)/(1+F40))^F41)/(F40-F42),0)</f>
        <v>97518</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32.15</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f ca="1">ROUND(C40*10000/F43,0)</f>
        <v>14330</v>
      </c>
      <c r="D43" s="328" t="s">
        <v>776</v>
      </c>
      <c r="E43" s="329" t="s">
        <v>777</v>
      </c>
      <c r="F43" s="330">
        <f ca="1">INDIRECT("'数据-取费表'!k"&amp;$G$1)</f>
        <v>68049.77999999997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807</v>
      </c>
      <c r="P45" s="1365"/>
      <c r="Q45" s="1365"/>
      <c r="R45" s="1365"/>
    </row>
    <row r="46" spans="1:18" s="1291" customFormat="1" ht="13.5" thickBot="1">
      <c r="A46" s="1310" t="s">
        <v>808</v>
      </c>
      <c r="C46" s="1311">
        <f ca="1">C68-C40</f>
        <v>-103259</v>
      </c>
      <c r="D46" s="1312" t="str">
        <f>C2</f>
        <v>万元</v>
      </c>
      <c r="E46" s="1306"/>
      <c r="F46" s="1306"/>
      <c r="I46" s="1313" t="s">
        <v>809</v>
      </c>
      <c r="J46" s="1314"/>
      <c r="K46" s="1315"/>
      <c r="L46" s="1316">
        <f ca="1">IF(M47="住宅",0,IF(L48&gt;J51,L60,J60))</f>
        <v>2357</v>
      </c>
      <c r="O46" s="1317" t="s">
        <v>810</v>
      </c>
      <c r="P46" s="1318" t="s">
        <v>811</v>
      </c>
      <c r="Q46" s="1319" t="s">
        <v>812</v>
      </c>
      <c r="R46" s="1319" t="s">
        <v>813</v>
      </c>
    </row>
    <row r="47" spans="1:18" s="1291" customFormat="1" ht="13.5" thickBot="1">
      <c r="A47" s="892" t="s">
        <v>686</v>
      </c>
      <c r="B47" s="924" t="s">
        <v>687</v>
      </c>
      <c r="C47" s="1054" t="s">
        <v>688</v>
      </c>
      <c r="D47" s="924" t="s">
        <v>689</v>
      </c>
      <c r="E47" s="995" t="s">
        <v>690</v>
      </c>
      <c r="F47" s="996"/>
      <c r="G47" s="681"/>
      <c r="I47" s="1320" t="s">
        <v>814</v>
      </c>
      <c r="J47" s="1321" t="s">
        <v>4320</v>
      </c>
      <c r="K47" s="1322" t="s">
        <v>815</v>
      </c>
      <c r="L47" s="1323">
        <f ca="1">INDIRECT("'数据-取费表'!d"&amp;$G$1)</f>
        <v>40</v>
      </c>
      <c r="M47" s="1287" t="str">
        <f>IF(ISNUMBER(FIND("住宅",C1)),"住宅","非住宅")</f>
        <v>非住宅</v>
      </c>
      <c r="O47" s="1324" t="s">
        <v>403</v>
      </c>
      <c r="P47" s="1325" t="s">
        <v>816</v>
      </c>
      <c r="Q47" s="1326">
        <f ca="1">C40+J29</f>
        <v>97518</v>
      </c>
      <c r="R47" s="1326" t="s">
        <v>817</v>
      </c>
    </row>
    <row r="48" spans="1:18" s="1291" customFormat="1" ht="28.5" thickBot="1">
      <c r="A48" s="1047" t="s">
        <v>438</v>
      </c>
      <c r="B48" s="292" t="s">
        <v>691</v>
      </c>
      <c r="C48" s="1267">
        <f ca="1">C49+C53+C55</f>
        <v>0</v>
      </c>
      <c r="D48" s="1049"/>
      <c r="E48" s="1050"/>
      <c r="F48" s="908"/>
      <c r="G48" s="681"/>
      <c r="H48" s="682"/>
      <c r="I48" s="1327" t="s">
        <v>818</v>
      </c>
      <c r="J48" s="1328" t="s">
        <v>4321</v>
      </c>
      <c r="K48" s="1329" t="s">
        <v>819</v>
      </c>
      <c r="L48" s="1330">
        <f ca="1">INDIRECT("'数据-取费表'!f"&amp;$G$1)</f>
        <v>32.15</v>
      </c>
      <c r="O48" s="1324" t="s">
        <v>404</v>
      </c>
      <c r="P48" s="1325" t="s">
        <v>820</v>
      </c>
      <c r="Q48" s="1326">
        <f ca="1">J60</f>
        <v>2357</v>
      </c>
      <c r="R48" s="1326" t="s">
        <v>821</v>
      </c>
    </row>
    <row r="49" spans="1:18" s="1291" customFormat="1" ht="13.5" thickBot="1">
      <c r="A49" s="921" t="s">
        <v>439</v>
      </c>
      <c r="B49" s="1278" t="s">
        <v>778</v>
      </c>
      <c r="C49" s="1051">
        <f ca="1">ROUND(F49*F51*F50*(1-F52)/10000,0)</f>
        <v>0</v>
      </c>
      <c r="D49" s="992" t="s">
        <v>2105</v>
      </c>
      <c r="E49" s="1279" t="s">
        <v>779</v>
      </c>
      <c r="F49" s="997"/>
      <c r="H49" s="682"/>
      <c r="I49" s="1327" t="s">
        <v>822</v>
      </c>
      <c r="J49" s="1331">
        <f>'数据-取费表'!N18</f>
        <v>2021</v>
      </c>
      <c r="K49" s="1329" t="s">
        <v>823</v>
      </c>
      <c r="L49" s="1332"/>
      <c r="O49" s="1333" t="s">
        <v>405</v>
      </c>
      <c r="P49" s="1325" t="s">
        <v>824</v>
      </c>
      <c r="Q49" s="1326">
        <f ca="1">C29</f>
        <v>58236</v>
      </c>
      <c r="R49" s="1326" t="s">
        <v>817</v>
      </c>
    </row>
    <row r="50" spans="1:18" s="1291" customFormat="1" ht="13.5" thickBot="1">
      <c r="A50" s="922"/>
      <c r="B50" s="925"/>
      <c r="C50" s="1055"/>
      <c r="D50" s="899"/>
      <c r="E50" s="993" t="s">
        <v>696</v>
      </c>
      <c r="F50" s="994">
        <f ca="1">F7</f>
        <v>68049.77999999997</v>
      </c>
      <c r="H50" s="682"/>
      <c r="I50" s="1327" t="s">
        <v>825</v>
      </c>
      <c r="J50" s="1334">
        <f>SUMPRODUCT((I63:I65=J47)*(J62:L62=J48)*(J63:L65))</f>
        <v>60</v>
      </c>
      <c r="K50" s="1329" t="s">
        <v>826</v>
      </c>
      <c r="L50" s="1332"/>
      <c r="M50" s="1335"/>
      <c r="O50" s="1333" t="s">
        <v>406</v>
      </c>
      <c r="P50" s="1325" t="s">
        <v>827</v>
      </c>
      <c r="Q50" s="1336">
        <f ca="1">J58</f>
        <v>0.41399999999999998</v>
      </c>
      <c r="R50" s="1326"/>
    </row>
    <row r="51" spans="1:18" s="1291" customFormat="1" ht="13.5" thickBot="1">
      <c r="A51" s="923"/>
      <c r="B51" s="925"/>
      <c r="C51" s="926"/>
      <c r="D51" s="899"/>
      <c r="E51" s="927" t="s">
        <v>697</v>
      </c>
      <c r="F51" s="295">
        <f ca="1">F8</f>
        <v>365</v>
      </c>
      <c r="I51" s="1337" t="s">
        <v>828</v>
      </c>
      <c r="J51" s="1330">
        <f>IF(J49="",J50,J49+J50-YEAR('数据-取费表'!B2))</f>
        <v>57</v>
      </c>
      <c r="K51" s="1338" t="s">
        <v>829</v>
      </c>
      <c r="L51" s="1339">
        <f ca="1">ROUND(-PV(INDIRECT("'数据-取费表'!h"&amp;$G$1),J51,(C39-C13*C76),0),0)</f>
        <v>51848</v>
      </c>
      <c r="M51" s="1340"/>
      <c r="O51" s="1333" t="s">
        <v>407</v>
      </c>
      <c r="P51" s="1325" t="s">
        <v>830</v>
      </c>
      <c r="Q51" s="1336">
        <f>J52</f>
        <v>7.4999999999999997E-2</v>
      </c>
      <c r="R51" s="1326"/>
    </row>
    <row r="52" spans="1:18" s="1291" customFormat="1" ht="13.5" thickBot="1">
      <c r="A52" s="923"/>
      <c r="B52" s="925"/>
      <c r="C52" s="926"/>
      <c r="D52" s="899"/>
      <c r="E52" s="927" t="s">
        <v>698</v>
      </c>
      <c r="F52" s="991"/>
      <c r="I52" s="1341" t="s">
        <v>831</v>
      </c>
      <c r="J52" s="1342">
        <v>7.4999999999999997E-2</v>
      </c>
      <c r="K52" s="1341" t="s">
        <v>832</v>
      </c>
      <c r="L52" s="1342"/>
      <c r="O52" s="1333" t="s">
        <v>408</v>
      </c>
      <c r="P52" s="1325" t="s">
        <v>833</v>
      </c>
      <c r="Q52" s="1326">
        <f ca="1">J53</f>
        <v>32.15</v>
      </c>
      <c r="R52" s="1326" t="s">
        <v>834</v>
      </c>
    </row>
    <row r="53" spans="1:18" s="1291" customFormat="1" ht="24.75" thickBot="1">
      <c r="A53" s="1079" t="s">
        <v>440</v>
      </c>
      <c r="B53" s="1280" t="s">
        <v>699</v>
      </c>
      <c r="C53" s="308">
        <f ca="1">ROUND(IF(F53="押一",C49/12*F11,IF(F53="押二",C49/12*2*F11,IF(F53="押三",C49/12*3*F11,C54*F11))),0)</f>
        <v>0</v>
      </c>
      <c r="D53" s="150" t="s">
        <v>2111</v>
      </c>
      <c r="E53" s="305" t="s">
        <v>700</v>
      </c>
      <c r="F53" s="1053"/>
      <c r="I53" s="1343" t="s">
        <v>835</v>
      </c>
      <c r="J53" s="2005">
        <f ca="1">IF(M47="住宅",IF(D1="——",MAX(J51,L48),MAX(J51,L48-'数据-取费表'!B24)),IF(D1="——",MIN(J51,L48),MIN(J51,L48-'数据-取费表'!B24)))</f>
        <v>32.15</v>
      </c>
      <c r="K53" s="3409" t="s">
        <v>836</v>
      </c>
      <c r="L53" s="3410"/>
      <c r="O53" s="1324" t="s">
        <v>409</v>
      </c>
      <c r="P53" s="1325" t="s">
        <v>837</v>
      </c>
      <c r="Q53" s="1326">
        <f ca="1">Q47+Q48</f>
        <v>99875</v>
      </c>
      <c r="R53" s="1326" t="s">
        <v>410</v>
      </c>
    </row>
    <row r="54" spans="1:18" s="1291" customFormat="1" ht="13.5" thickBot="1">
      <c r="A54" s="1080"/>
      <c r="B54" s="1274" t="s">
        <v>678</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20" t="s">
        <v>437</v>
      </c>
      <c r="B55" s="1276" t="s">
        <v>702</v>
      </c>
      <c r="C55" s="1021"/>
      <c r="D55" s="150"/>
      <c r="E55" s="1281"/>
      <c r="F55" s="1344"/>
      <c r="I55" s="1347" t="s">
        <v>839</v>
      </c>
      <c r="J55" s="1348">
        <f ca="1">ROUND(IF(J47="钢混",J57/J50,1-(1-2%)*(J50-J57)/J50),3)</f>
        <v>0.41399999999999998</v>
      </c>
      <c r="K55" s="1349" t="s">
        <v>840</v>
      </c>
      <c r="L55" s="1350"/>
      <c r="O55" s="1317" t="s">
        <v>810</v>
      </c>
      <c r="P55" s="1318" t="s">
        <v>811</v>
      </c>
      <c r="Q55" s="1319" t="s">
        <v>812</v>
      </c>
      <c r="R55" s="1319" t="s">
        <v>813</v>
      </c>
    </row>
    <row r="56" spans="1:18" s="1291" customFormat="1" ht="25.5" thickTop="1" thickBot="1">
      <c r="A56" s="903">
        <v>2</v>
      </c>
      <c r="B56" s="904" t="s">
        <v>703</v>
      </c>
      <c r="C56" s="224">
        <f ca="1">C13</f>
        <v>55324</v>
      </c>
      <c r="D56" s="1351"/>
      <c r="E56" s="1352"/>
      <c r="F56" s="1344"/>
      <c r="I56" s="1353" t="s">
        <v>841</v>
      </c>
      <c r="J56" s="1354" t="s">
        <v>3393</v>
      </c>
      <c r="K56" s="1327" t="s">
        <v>842</v>
      </c>
      <c r="L56" s="1330" t="str">
        <f ca="1">IF(L48&lt;J51,"——",L48-J53)</f>
        <v>——</v>
      </c>
      <c r="O56" s="1324" t="s">
        <v>403</v>
      </c>
      <c r="P56" s="1325" t="s">
        <v>816</v>
      </c>
      <c r="Q56" s="1326">
        <f ca="1">C40+J29</f>
        <v>97518</v>
      </c>
      <c r="R56" s="1326" t="s">
        <v>817</v>
      </c>
    </row>
    <row r="57" spans="1:18" s="1291" customFormat="1" ht="24.75" thickBot="1">
      <c r="A57" s="1355"/>
      <c r="B57" s="896" t="s">
        <v>766</v>
      </c>
      <c r="C57" s="230">
        <f ca="1">C29</f>
        <v>58236</v>
      </c>
      <c r="D57" s="1356"/>
      <c r="E57" s="1357"/>
      <c r="F57" s="1358"/>
      <c r="I57" s="1359" t="s">
        <v>843</v>
      </c>
      <c r="J57" s="1360">
        <f ca="1">IF(OR(M47="住宅",J51&lt;L48,J56="是"),"——",J51-L48)</f>
        <v>24.85</v>
      </c>
      <c r="K57" s="1327" t="s">
        <v>844</v>
      </c>
      <c r="L57" s="1330" t="str">
        <f ca="1">IF(L48&lt;J51,"——",IF(L55="比较法",L49,IF(L55="基准地价",L50,L51)))</f>
        <v>——</v>
      </c>
      <c r="O57" s="1324" t="s">
        <v>404</v>
      </c>
      <c r="P57" s="1325" t="s">
        <v>845</v>
      </c>
      <c r="Q57" s="1326">
        <f ca="1">L60</f>
        <v>0</v>
      </c>
      <c r="R57" s="1326" t="s">
        <v>846</v>
      </c>
    </row>
    <row r="58" spans="1:18" s="1291" customFormat="1" ht="24.75" thickBot="1">
      <c r="A58" s="307" t="s">
        <v>393</v>
      </c>
      <c r="B58" s="904" t="s">
        <v>713</v>
      </c>
      <c r="C58" s="308">
        <f ca="1">ROUND(C59+C64+C65+C66,0)</f>
        <v>407</v>
      </c>
      <c r="D58" s="906" t="s">
        <v>714</v>
      </c>
      <c r="E58" s="907"/>
      <c r="F58" s="908"/>
      <c r="I58" s="1359" t="s">
        <v>847</v>
      </c>
      <c r="J58" s="1361">
        <f ca="1">IF(J55&lt;0.4,0.4,J55)</f>
        <v>0.41399999999999998</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8" t="s">
        <v>398</v>
      </c>
      <c r="B59" s="896" t="s">
        <v>718</v>
      </c>
      <c r="C59" s="2139">
        <f ca="1">ROUND(IF(AND(项目基本情况!B11="自然人",项目基本情况!B10="北京市"),C49*F59/(1+'数据-取费表'!C42),C60+C61+C62),0)</f>
        <v>2</v>
      </c>
      <c r="D59" s="909" t="s">
        <v>719</v>
      </c>
      <c r="E59" s="910" t="s">
        <v>720</v>
      </c>
      <c r="F59" s="2138" t="str">
        <f>IF(项目基本情况!B11="企业","——",IF('数据-取费表'!B10="住宅",IF(F49*F50*F51/12/(1+'数据-取费表'!F30)&gt;100000,4%,2.5%),IF(F49*F50*F51/12/(1+'数据-取费表'!F30)&gt;100000,12%,7%)))</f>
        <v>——</v>
      </c>
      <c r="I59" s="1359" t="s">
        <v>850</v>
      </c>
      <c r="J59" s="1360">
        <f ca="1">IF(OR(M47="住宅",J51&lt;L48,J56="是"),"——",ROUND(C29*J58,0))</f>
        <v>24110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2" t="s">
        <v>852</v>
      </c>
      <c r="J60" s="1363">
        <f ca="1">IF(OR(M47="住宅",J51&lt;L48,J56="是"),"0",ROUND(J59/(1+J52)^J53,0))</f>
        <v>2357</v>
      </c>
      <c r="K60" s="1364" t="s">
        <v>853</v>
      </c>
      <c r="L60" s="1363">
        <f ca="1">IF(OR(M47="住宅",L48&lt;J51),0,ROUND(L57*(L58/L59-1),0))</f>
        <v>0</v>
      </c>
      <c r="O60" s="1333" t="s">
        <v>407</v>
      </c>
      <c r="P60" s="1325" t="s">
        <v>854</v>
      </c>
      <c r="Q60" s="1326" t="e">
        <f ca="1">L58</f>
        <v>#DIV/0!</v>
      </c>
      <c r="R60" s="1326" t="s">
        <v>855</v>
      </c>
    </row>
    <row r="61" spans="1:18" s="1291" customFormat="1" ht="13.5" thickBot="1">
      <c r="A61" s="928" t="s">
        <v>780</v>
      </c>
      <c r="B61" s="896" t="s">
        <v>781</v>
      </c>
      <c r="C61" s="21">
        <f ca="1">IF(项目基本情况!B11="自然人","——",IF(D61="按租金收入计税",ROUND(C49*F61/(1+'数据-取费表'!C42),2),IF(D61="按房产原值计税",ROUND(C57*F61*0.7,2),INDIRECT("'数据-取费表'!Aj"&amp;$G$1))))</f>
        <v>0</v>
      </c>
      <c r="D61" s="1277" t="s">
        <v>3333</v>
      </c>
      <c r="E61" s="896"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8" t="s">
        <v>783</v>
      </c>
      <c r="B62" s="895" t="s">
        <v>784</v>
      </c>
      <c r="C62" s="22">
        <f ca="1">IF(项目基本情况!B11="自然人","——",ROUND(F62*F63/10000,2))</f>
        <v>2.36</v>
      </c>
      <c r="D62" s="911" t="s">
        <v>785</v>
      </c>
      <c r="E62" s="896" t="s">
        <v>786</v>
      </c>
      <c r="F62" s="317">
        <f t="shared" si="0"/>
        <v>1.5</v>
      </c>
      <c r="I62" s="1366" t="s">
        <v>857</v>
      </c>
      <c r="J62" s="610" t="s">
        <v>858</v>
      </c>
      <c r="K62" s="610" t="s">
        <v>859</v>
      </c>
      <c r="L62" s="610" t="s">
        <v>860</v>
      </c>
      <c r="M62" s="1367" t="s">
        <v>861</v>
      </c>
      <c r="O62" s="1324" t="s">
        <v>409</v>
      </c>
      <c r="P62" s="1325" t="s">
        <v>862</v>
      </c>
      <c r="Q62" s="1326">
        <f ca="1">Q56+Q57</f>
        <v>97518</v>
      </c>
      <c r="R62" s="1326" t="s">
        <v>410</v>
      </c>
    </row>
    <row r="63" spans="1:18" s="1291" customFormat="1" ht="13.5" thickBot="1">
      <c r="A63" s="318"/>
      <c r="B63" s="902"/>
      <c r="C63" s="26"/>
      <c r="D63" s="912"/>
      <c r="E63" s="896" t="s">
        <v>787</v>
      </c>
      <c r="F63" s="295">
        <f t="shared" ca="1" si="0"/>
        <v>15742.02</v>
      </c>
      <c r="I63" s="1366" t="s">
        <v>863</v>
      </c>
      <c r="J63" s="610">
        <v>70</v>
      </c>
      <c r="K63" s="610">
        <v>50</v>
      </c>
      <c r="L63" s="610">
        <v>80</v>
      </c>
      <c r="M63" s="1368">
        <v>0.02</v>
      </c>
      <c r="O63" s="1309" t="s">
        <v>864</v>
      </c>
      <c r="P63" s="1288"/>
      <c r="Q63" s="1288"/>
      <c r="R63" s="1288"/>
    </row>
    <row r="64" spans="1:18" s="1291" customFormat="1" ht="13.5" thickBot="1">
      <c r="A64" s="928" t="s">
        <v>788</v>
      </c>
      <c r="B64" s="896" t="s">
        <v>789</v>
      </c>
      <c r="C64" s="21">
        <f ca="1">ROUND(C57*F64,2)</f>
        <v>349.42</v>
      </c>
      <c r="D64" s="910" t="s">
        <v>790</v>
      </c>
      <c r="E64" s="896" t="s">
        <v>782</v>
      </c>
      <c r="F64" s="320">
        <f t="shared" ca="1" si="0"/>
        <v>6.0000000000000001E-3</v>
      </c>
      <c r="I64" s="1366" t="s">
        <v>865</v>
      </c>
      <c r="J64" s="610">
        <v>50</v>
      </c>
      <c r="K64" s="610">
        <v>35</v>
      </c>
      <c r="L64" s="610">
        <v>60</v>
      </c>
      <c r="M64" s="1367">
        <v>0</v>
      </c>
      <c r="O64" s="1317" t="s">
        <v>810</v>
      </c>
      <c r="P64" s="1318" t="s">
        <v>811</v>
      </c>
      <c r="Q64" s="1319" t="s">
        <v>812</v>
      </c>
      <c r="R64" s="1319" t="s">
        <v>813</v>
      </c>
    </row>
    <row r="65" spans="1:18" s="1291" customFormat="1" ht="13.5" thickBot="1">
      <c r="A65" s="928" t="s">
        <v>791</v>
      </c>
      <c r="B65" s="896" t="s">
        <v>741</v>
      </c>
      <c r="C65" s="21">
        <f ca="1">ROUND(C56*F65,2)</f>
        <v>55.32</v>
      </c>
      <c r="D65" s="910" t="s">
        <v>742</v>
      </c>
      <c r="E65" s="896" t="s">
        <v>743</v>
      </c>
      <c r="F65" s="321">
        <f t="shared" ca="1" si="0"/>
        <v>1E-3</v>
      </c>
      <c r="I65" s="1366" t="s">
        <v>866</v>
      </c>
      <c r="J65" s="610">
        <v>40</v>
      </c>
      <c r="K65" s="610">
        <v>30</v>
      </c>
      <c r="L65" s="610">
        <v>50</v>
      </c>
      <c r="M65" s="1368">
        <v>0.02</v>
      </c>
      <c r="O65" s="1324" t="s">
        <v>403</v>
      </c>
      <c r="P65" s="1325" t="s">
        <v>867</v>
      </c>
      <c r="Q65" s="1326">
        <f ca="1">C40+J29</f>
        <v>97518</v>
      </c>
      <c r="R65" s="1326" t="s">
        <v>817</v>
      </c>
    </row>
    <row r="66" spans="1:18" s="1291" customFormat="1" ht="16.5" thickBot="1">
      <c r="A66" s="928" t="s">
        <v>792</v>
      </c>
      <c r="B66" s="896" t="s">
        <v>727</v>
      </c>
      <c r="C66" s="21">
        <f ca="1">ROUND(C48*F66,2)</f>
        <v>0</v>
      </c>
      <c r="D66" s="910" t="s">
        <v>793</v>
      </c>
      <c r="E66" s="896" t="s">
        <v>711</v>
      </c>
      <c r="F66" s="304">
        <f t="shared" ca="1" si="0"/>
        <v>1.4999999999999999E-2</v>
      </c>
      <c r="O66" s="1324" t="s">
        <v>404</v>
      </c>
      <c r="P66" s="1325" t="s">
        <v>845</v>
      </c>
      <c r="Q66" s="1326">
        <f ca="1">L60</f>
        <v>0</v>
      </c>
      <c r="R66" s="1326" t="s">
        <v>868</v>
      </c>
    </row>
    <row r="67" spans="1:18" s="1291" customFormat="1" ht="16.5" thickBot="1">
      <c r="A67" s="903" t="s">
        <v>394</v>
      </c>
      <c r="B67" s="913" t="s">
        <v>751</v>
      </c>
      <c r="C67" s="308">
        <f ca="1">C48-C58</f>
        <v>-407</v>
      </c>
      <c r="D67" s="909" t="s">
        <v>752</v>
      </c>
      <c r="E67" s="914"/>
      <c r="F67" s="915"/>
      <c r="O67" s="1333" t="s">
        <v>405</v>
      </c>
      <c r="P67" s="1325" t="s">
        <v>849</v>
      </c>
      <c r="Q67" s="1369">
        <f ca="1">L51</f>
        <v>51848</v>
      </c>
      <c r="R67" s="1326" t="s">
        <v>869</v>
      </c>
    </row>
    <row r="68" spans="1:18" s="1291" customFormat="1" ht="16.5" thickBot="1">
      <c r="A68" s="893" t="s">
        <v>395</v>
      </c>
      <c r="B68" s="894" t="s">
        <v>773</v>
      </c>
      <c r="C68" s="293">
        <f ca="1">ROUND(C67*(1-((1+F70)/(1+F68))^F69)/(F68-F70),0)</f>
        <v>-5741</v>
      </c>
      <c r="D68" s="911" t="s">
        <v>757</v>
      </c>
      <c r="E68" s="896" t="s">
        <v>758</v>
      </c>
      <c r="F68" s="304">
        <f ca="1">F40</f>
        <v>0.06</v>
      </c>
      <c r="O68" s="1333" t="s">
        <v>406</v>
      </c>
      <c r="P68" s="1370" t="s">
        <v>870</v>
      </c>
      <c r="Q68" s="1326">
        <f ca="1">ROUND(Q69-Q70*Q71,0)</f>
        <v>2764</v>
      </c>
      <c r="R68" s="1326" t="s">
        <v>414</v>
      </c>
    </row>
    <row r="69" spans="1:18" s="1291" customFormat="1" ht="13.5" thickBot="1">
      <c r="A69" s="897"/>
      <c r="B69" s="898"/>
      <c r="C69" s="298"/>
      <c r="D69" s="916" t="s">
        <v>761</v>
      </c>
      <c r="E69" s="896" t="s">
        <v>762</v>
      </c>
      <c r="F69" s="324">
        <f ca="1">F41</f>
        <v>32.15</v>
      </c>
      <c r="O69" s="1333" t="s">
        <v>411</v>
      </c>
      <c r="P69" s="1370" t="s">
        <v>871</v>
      </c>
      <c r="Q69" s="1326">
        <f ca="1">C39</f>
        <v>6913</v>
      </c>
      <c r="R69" s="1326" t="s">
        <v>817</v>
      </c>
    </row>
    <row r="70" spans="1:18" s="1291" customFormat="1" ht="13.5" thickBot="1">
      <c r="A70" s="900"/>
      <c r="B70" s="901"/>
      <c r="C70" s="302"/>
      <c r="D70" s="912"/>
      <c r="E70" s="896" t="s">
        <v>765</v>
      </c>
      <c r="F70" s="991"/>
      <c r="O70" s="1333" t="s">
        <v>412</v>
      </c>
      <c r="P70" s="1370" t="s">
        <v>872</v>
      </c>
      <c r="Q70" s="1326">
        <f ca="1">C13</f>
        <v>55324</v>
      </c>
      <c r="R70" s="1326" t="s">
        <v>817</v>
      </c>
    </row>
    <row r="71" spans="1:18" s="1291" customFormat="1" ht="13.5" thickBot="1">
      <c r="A71" s="917" t="s">
        <v>396</v>
      </c>
      <c r="B71" s="918" t="s">
        <v>775</v>
      </c>
      <c r="C71" s="327">
        <f ca="1">ROUND(C68*10000/F71,0)</f>
        <v>-844</v>
      </c>
      <c r="D71" s="919" t="s">
        <v>776</v>
      </c>
      <c r="E71" s="920" t="s">
        <v>777</v>
      </c>
      <c r="F71" s="330">
        <f ca="1">F43</f>
        <v>68049.77999999997</v>
      </c>
      <c r="O71" s="1333" t="s">
        <v>413</v>
      </c>
      <c r="P71" s="1370" t="s">
        <v>873</v>
      </c>
      <c r="Q71" s="1336">
        <f ca="1">C76</f>
        <v>7.4999999999999997E-2</v>
      </c>
      <c r="R71" s="1326"/>
    </row>
    <row r="72" spans="1:18" s="1291" customFormat="1" ht="13.5" thickBot="1">
      <c r="B72" s="685"/>
      <c r="C72" s="685"/>
      <c r="O72" s="1333" t="s">
        <v>407</v>
      </c>
      <c r="P72" s="1325" t="s">
        <v>851</v>
      </c>
      <c r="Q72" s="1336">
        <f>L52</f>
        <v>0</v>
      </c>
      <c r="R72" s="1326"/>
    </row>
    <row r="73" spans="1:18" ht="16.5" thickBot="1">
      <c r="A73" s="1291"/>
      <c r="B73" s="685"/>
      <c r="C73" s="685"/>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4149</v>
      </c>
      <c r="D75" s="1291"/>
      <c r="E75" s="1291"/>
      <c r="F75" s="1291"/>
      <c r="K75" s="1308"/>
      <c r="L75" s="1291"/>
      <c r="O75" s="1324" t="s">
        <v>409</v>
      </c>
      <c r="P75" s="1325" t="s">
        <v>837</v>
      </c>
      <c r="Q75" s="1326">
        <f ca="1">Q65+Q66</f>
        <v>97518</v>
      </c>
      <c r="R75" s="1326" t="s">
        <v>410</v>
      </c>
    </row>
    <row r="76" spans="1:18">
      <c r="B76" s="333" t="s">
        <v>795</v>
      </c>
      <c r="C76" s="334">
        <f ca="1">INDIRECT("'数据-取费表'!j"&amp;$G$1)</f>
        <v>7.4999999999999997E-2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0.4</v>
      </c>
    </row>
    <row r="80" spans="1:18">
      <c r="B80" s="331" t="s">
        <v>799</v>
      </c>
      <c r="C80" s="266">
        <f ca="1">ROUND(C75/C39,3)</f>
        <v>0.6</v>
      </c>
    </row>
    <row r="81" spans="2:3">
      <c r="B81" s="262" t="s">
        <v>800</v>
      </c>
      <c r="C81" s="230"/>
    </row>
    <row r="82" spans="2:3">
      <c r="B82" s="265" t="s">
        <v>801</v>
      </c>
      <c r="C82" s="267">
        <f ca="1">1-C83</f>
        <v>0.43300000000000005</v>
      </c>
    </row>
    <row r="83" spans="2:3">
      <c r="B83" s="265" t="s">
        <v>802</v>
      </c>
      <c r="C83" s="266">
        <f ca="1">ROUND(C13/C40,3)</f>
        <v>0.56699999999999995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3"/>
      <c r="C1" s="1286"/>
      <c r="D1" s="1270" t="s">
        <v>43</v>
      </c>
      <c r="E1" s="1271" t="s">
        <v>677</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877</v>
      </c>
      <c r="B2" s="3123" t="e">
        <f ca="1">ROUND(D2/10000,4)</f>
        <v>#DIV/0!</v>
      </c>
      <c r="C2" s="1288" t="s">
        <v>878</v>
      </c>
      <c r="D2" s="1374" t="e">
        <f ca="1">C40+J29+L46</f>
        <v>#DIV/0!</v>
      </c>
      <c r="E2" s="1294" t="s">
        <v>879</v>
      </c>
      <c r="F2" s="1295"/>
      <c r="G2" s="2478"/>
      <c r="H2" s="2468"/>
      <c r="I2" s="2468"/>
      <c r="J2" s="2468"/>
      <c r="K2" s="2469"/>
      <c r="L2" s="2468"/>
      <c r="M2" s="2468"/>
    </row>
    <row r="3" spans="1:37" ht="18" customHeight="1" thickBot="1">
      <c r="A3" s="1296" t="s">
        <v>880</v>
      </c>
      <c r="B3" s="1297">
        <f ca="1">IF(ISERROR(D2/F43),0,ROUND(D2/F43,0))</f>
        <v>0</v>
      </c>
      <c r="C3" s="1288" t="s">
        <v>881</v>
      </c>
      <c r="D3" s="1288"/>
      <c r="E3" s="1294"/>
      <c r="F3" s="1295"/>
      <c r="G3" s="2478"/>
      <c r="H3" s="649"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7">
        <f ca="1">C6+C10+C12</f>
        <v>0</v>
      </c>
      <c r="D5" s="1272" t="s">
        <v>888</v>
      </c>
      <c r="E5" s="1008"/>
      <c r="F5" s="1009"/>
      <c r="G5" s="1291"/>
      <c r="H5" s="291">
        <v>1</v>
      </c>
      <c r="I5" s="292" t="s">
        <v>887</v>
      </c>
      <c r="J5" s="1007">
        <f ca="1">J6+J10+J12</f>
        <v>0</v>
      </c>
      <c r="K5" s="1272" t="s">
        <v>888</v>
      </c>
      <c r="L5" s="1008"/>
      <c r="M5" s="1009"/>
    </row>
    <row r="6" spans="1:37" ht="18" customHeight="1">
      <c r="A6" s="1006" t="s">
        <v>398</v>
      </c>
      <c r="B6" s="3411" t="s">
        <v>693</v>
      </c>
      <c r="C6" s="1011">
        <f ca="1">ROUND(F6*F8*F7*(1-F9),0)</f>
        <v>0</v>
      </c>
      <c r="D6" s="147" t="s">
        <v>2101</v>
      </c>
      <c r="E6" s="294" t="s">
        <v>695</v>
      </c>
      <c r="F6" s="295">
        <f ca="1">INDIRECT("'数据-取费表'!u"&amp;$G$1)</f>
        <v>0</v>
      </c>
      <c r="G6" s="1291"/>
      <c r="H6" s="1006" t="s">
        <v>398</v>
      </c>
      <c r="I6" s="3411" t="s">
        <v>693</v>
      </c>
      <c r="J6" s="293">
        <f ca="1">ROUND(M6*M8*M7*(1-M9),0)</f>
        <v>0</v>
      </c>
      <c r="K6" s="1283" t="s">
        <v>2102</v>
      </c>
      <c r="L6" s="294" t="s">
        <v>695</v>
      </c>
      <c r="M6" s="295">
        <f ca="1">INDIRECT("'数据-取费表'!z"&amp;$G$1)</f>
        <v>0</v>
      </c>
    </row>
    <row r="7" spans="1:37" ht="18" customHeight="1">
      <c r="A7" s="1010"/>
      <c r="B7" s="3412"/>
      <c r="C7" s="1012"/>
      <c r="D7" s="299"/>
      <c r="E7" s="1013" t="s">
        <v>696</v>
      </c>
      <c r="F7" s="295">
        <f ca="1">IF(INDIRECT("'数据-取费表'!ah"&amp;$G$1)="",INDIRECT("'数据-取费表'!k"&amp;$G$1),INDIRECT("'数据-取费表'!ah"&amp;$G$1))</f>
        <v>0</v>
      </c>
      <c r="G7" s="1291"/>
      <c r="H7" s="296"/>
      <c r="I7" s="3412"/>
      <c r="J7" s="298"/>
      <c r="K7" s="299"/>
      <c r="L7" s="294" t="s">
        <v>696</v>
      </c>
      <c r="M7" s="295">
        <f ca="1">F7</f>
        <v>0</v>
      </c>
    </row>
    <row r="8" spans="1:37" ht="18" customHeight="1">
      <c r="A8" s="296"/>
      <c r="B8" s="3412"/>
      <c r="C8" s="298"/>
      <c r="D8" s="299"/>
      <c r="E8" s="294" t="s">
        <v>697</v>
      </c>
      <c r="F8" s="295">
        <f ca="1">INDIRECT("'数据-取费表'!ai"&amp;$G$1)</f>
        <v>0</v>
      </c>
      <c r="G8" s="1291"/>
      <c r="H8" s="296"/>
      <c r="I8" s="3412"/>
      <c r="J8" s="298"/>
      <c r="K8" s="299"/>
      <c r="L8" s="294" t="s">
        <v>697</v>
      </c>
      <c r="M8" s="295">
        <f ca="1">INDIRECT("'数据-取费表'!ai"&amp;$G$1)</f>
        <v>0</v>
      </c>
    </row>
    <row r="9" spans="1:37" ht="18" customHeight="1">
      <c r="A9" s="296"/>
      <c r="B9" s="3413"/>
      <c r="C9" s="298"/>
      <c r="D9" s="299"/>
      <c r="E9" s="294" t="s">
        <v>698</v>
      </c>
      <c r="F9" s="304">
        <f ca="1">INDIRECT("'数据-取费表'!w"&amp;$G$1)</f>
        <v>0</v>
      </c>
      <c r="G9" s="1291"/>
      <c r="H9" s="296"/>
      <c r="I9" s="3413"/>
      <c r="J9" s="298"/>
      <c r="K9" s="299"/>
      <c r="L9" s="305" t="s">
        <v>698</v>
      </c>
      <c r="M9" s="306">
        <f ca="1">INDIRECT("'数据-取费表'!ab"&amp;$G$1)</f>
        <v>0</v>
      </c>
    </row>
    <row r="10" spans="1:37" ht="18" customHeight="1">
      <c r="A10" s="1006" t="s">
        <v>402</v>
      </c>
      <c r="B10" s="1273" t="s">
        <v>699</v>
      </c>
      <c r="C10" s="308">
        <f ca="1">ROUND(IF(F10="押一",C6/12*F11,IF(F10="押二",C6/12*2*F11,IF(F10="押三",C6/12*3*F11,C11*F11))),0)</f>
        <v>0</v>
      </c>
      <c r="D10" s="150" t="s">
        <v>2111</v>
      </c>
      <c r="E10" s="305" t="s">
        <v>700</v>
      </c>
      <c r="F10" s="1053"/>
      <c r="G10" s="1291"/>
      <c r="H10" s="1006" t="s">
        <v>402</v>
      </c>
      <c r="I10" s="1273" t="s">
        <v>699</v>
      </c>
      <c r="J10" s="293">
        <f ca="1">ROUND(IF(M10="押一",J6/12*M11,IF(M10="押二",J6/12*2*M11,IF(M10="押三",J6/12*3*M11,J11*M11))),0)</f>
        <v>0</v>
      </c>
      <c r="K10" s="1284" t="s">
        <v>2113</v>
      </c>
      <c r="L10" s="305" t="s">
        <v>700</v>
      </c>
      <c r="M10" s="1053"/>
    </row>
    <row r="11" spans="1:37" ht="18" customHeight="1">
      <c r="A11" s="300"/>
      <c r="B11" s="1274" t="s">
        <v>889</v>
      </c>
      <c r="C11" s="905"/>
      <c r="D11" s="299"/>
      <c r="E11" s="305" t="s">
        <v>701</v>
      </c>
      <c r="F11" s="306">
        <f ca="1">'数据-取费表'!B39</f>
        <v>1.4999999999999999E-2</v>
      </c>
      <c r="G11" s="1291"/>
      <c r="H11" s="1014"/>
      <c r="I11" s="1274" t="s">
        <v>890</v>
      </c>
      <c r="J11" s="905"/>
      <c r="K11" s="646"/>
      <c r="L11" s="305" t="s">
        <v>701</v>
      </c>
      <c r="M11" s="809">
        <f ca="1">'数据-取费表'!B39</f>
        <v>1.4999999999999999E-2</v>
      </c>
    </row>
    <row r="12" spans="1:37" ht="18" customHeight="1" thickBot="1">
      <c r="A12" s="1020" t="s">
        <v>437</v>
      </c>
      <c r="B12" s="1276" t="s">
        <v>702</v>
      </c>
      <c r="C12" s="1021"/>
      <c r="D12" s="1022"/>
      <c r="E12" s="1027"/>
      <c r="F12" s="1023"/>
      <c r="G12" s="1291"/>
      <c r="H12" s="1020" t="s">
        <v>437</v>
      </c>
      <c r="I12" s="1276"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1"/>
      <c r="H13" s="1016">
        <v>2</v>
      </c>
      <c r="I13" s="1017" t="s">
        <v>703</v>
      </c>
      <c r="J13" s="1005">
        <f ca="1">ROUND(J14*J15,0)</f>
        <v>0</v>
      </c>
      <c r="K13" s="1024" t="s">
        <v>704</v>
      </c>
      <c r="L13" s="1298"/>
      <c r="M13" s="1299"/>
    </row>
    <row r="14" spans="1:37" ht="18" customHeight="1">
      <c r="A14" s="928" t="s">
        <v>397</v>
      </c>
      <c r="B14" s="294" t="s">
        <v>706</v>
      </c>
      <c r="C14" s="310">
        <f ca="1">ROUND(INDIRECT("'数据-取费表'!l"&amp;$G$1)*F43+'数据-取费表'!L14*INDIRECT("'数据-取费表'!S"&amp;$G$1),0)</f>
        <v>0</v>
      </c>
      <c r="D14" s="1256" t="s">
        <v>707</v>
      </c>
      <c r="E14" s="1254"/>
      <c r="F14" s="311"/>
      <c r="G14" s="1291"/>
      <c r="H14" s="928" t="s">
        <v>398</v>
      </c>
      <c r="I14" s="294" t="s">
        <v>708</v>
      </c>
      <c r="J14" s="21">
        <f ca="1">C29</f>
        <v>0</v>
      </c>
      <c r="K14" s="12"/>
      <c r="L14" s="759"/>
      <c r="M14" s="760"/>
    </row>
    <row r="15" spans="1:37" s="1303" customFormat="1" ht="18" customHeight="1" thickBot="1">
      <c r="A15" s="928" t="s">
        <v>399</v>
      </c>
      <c r="B15" s="294" t="s">
        <v>709</v>
      </c>
      <c r="C15" s="21">
        <f ca="1">ROUND(C14*F15,0)</f>
        <v>0</v>
      </c>
      <c r="D15" s="312" t="s">
        <v>710</v>
      </c>
      <c r="E15" s="312" t="s">
        <v>711</v>
      </c>
      <c r="F15" s="313">
        <f>'数据-取费表'!B33</f>
        <v>0.05</v>
      </c>
      <c r="G15" s="1302"/>
      <c r="H15" s="1026" t="s">
        <v>402</v>
      </c>
      <c r="I15" s="1027" t="s">
        <v>705</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1"/>
      <c r="H16" s="1016" t="s">
        <v>393</v>
      </c>
      <c r="I16" s="1017" t="s">
        <v>713</v>
      </c>
      <c r="J16" s="302">
        <f ca="1">ROUND(J17+J22+J23+J24,0)</f>
        <v>0</v>
      </c>
      <c r="K16" s="1024" t="s">
        <v>714</v>
      </c>
      <c r="L16" s="1025"/>
      <c r="M16" s="1009"/>
    </row>
    <row r="17" spans="1:37" s="1303" customFormat="1" ht="18" customHeight="1">
      <c r="A17" s="928" t="s">
        <v>680</v>
      </c>
      <c r="B17" s="294" t="s">
        <v>715</v>
      </c>
      <c r="C17" s="21">
        <f ca="1">ROUND(F17*(F43+INDIRECT("'数据-取费表'!S"&amp;$G$1)),0)</f>
        <v>0</v>
      </c>
      <c r="D17" s="294" t="s">
        <v>716</v>
      </c>
      <c r="E17" s="294" t="s">
        <v>717</v>
      </c>
      <c r="F17" s="23">
        <f>'数据-取费表'!B35</f>
        <v>200</v>
      </c>
      <c r="G17" s="1302"/>
      <c r="H17" s="928" t="s">
        <v>398</v>
      </c>
      <c r="I17" s="294" t="s">
        <v>718</v>
      </c>
      <c r="J17" s="2139">
        <f ca="1">ROUND(IF(AND(项目基本情况!B11="自然人",项目基本情况!B10="北京市"),J6*M17/(1+'数据-取费表'!C42),J18+J19+J20),0)</f>
        <v>0</v>
      </c>
      <c r="K17" s="1256" t="s">
        <v>719</v>
      </c>
      <c r="L17" s="1255" t="s">
        <v>720</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681</v>
      </c>
      <c r="B18" s="294" t="s">
        <v>721</v>
      </c>
      <c r="C18" s="21">
        <f ca="1">ROUND(C14*F18,0)</f>
        <v>0</v>
      </c>
      <c r="D18" s="294" t="s">
        <v>710</v>
      </c>
      <c r="E18" s="294" t="s">
        <v>711</v>
      </c>
      <c r="F18" s="314">
        <f>'数据-取费表'!B36</f>
        <v>0.03</v>
      </c>
      <c r="G18" s="1302"/>
      <c r="H18" s="928"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724</v>
      </c>
      <c r="C19" s="21">
        <f ca="1">SUM(C14:C18)</f>
        <v>0</v>
      </c>
      <c r="D19" s="123" t="s">
        <v>725</v>
      </c>
      <c r="E19" s="1268"/>
      <c r="F19" s="23"/>
      <c r="G19" s="1291"/>
      <c r="H19" s="928" t="s">
        <v>399</v>
      </c>
      <c r="I19" s="294" t="s">
        <v>726</v>
      </c>
      <c r="J19" s="21">
        <f ca="1">IF(K19="按租金收入计税",ROUND(J6*M19/(1+'数据-取费表'!C42),0),ROUND(C29*M19*0.7,0))</f>
        <v>0</v>
      </c>
      <c r="K19" s="1277" t="s">
        <v>3333</v>
      </c>
      <c r="L19" s="294" t="s">
        <v>711</v>
      </c>
      <c r="M19" s="314">
        <f>IF(K19="按租金收入计税",'数据-取费表'!B51,'数据-取费表'!B50)</f>
        <v>0.12</v>
      </c>
    </row>
    <row r="20" spans="1:37" s="1303" customFormat="1" ht="18" customHeight="1">
      <c r="A20" s="928" t="s">
        <v>402</v>
      </c>
      <c r="B20" s="294" t="s">
        <v>727</v>
      </c>
      <c r="C20" s="21">
        <f ca="1">ROUND(C19*F20,0)</f>
        <v>0</v>
      </c>
      <c r="D20" s="315" t="s">
        <v>728</v>
      </c>
      <c r="E20" s="294" t="s">
        <v>711</v>
      </c>
      <c r="F20" s="314">
        <f>'数据-取费表'!B37</f>
        <v>0.03</v>
      </c>
      <c r="G20" s="1302"/>
      <c r="H20" s="928" t="s">
        <v>679</v>
      </c>
      <c r="I20" s="147" t="s">
        <v>729</v>
      </c>
      <c r="J20" s="22">
        <f ca="1">ROUND(M20*M21,0)</f>
        <v>0</v>
      </c>
      <c r="K20" s="316" t="s">
        <v>730</v>
      </c>
      <c r="L20" s="294" t="s">
        <v>731</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732</v>
      </c>
      <c r="C21" s="21" t="s">
        <v>0</v>
      </c>
      <c r="D21" s="315" t="s">
        <v>733</v>
      </c>
      <c r="E21" s="294" t="s">
        <v>734</v>
      </c>
      <c r="F21" s="314">
        <f>'数据-取费表'!B38</f>
        <v>0.03</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8"/>
      <c r="F22" s="23"/>
      <c r="G22" s="1291"/>
      <c r="H22" s="928" t="s">
        <v>402</v>
      </c>
      <c r="I22" s="294" t="s">
        <v>737</v>
      </c>
      <c r="J22" s="21">
        <f ca="1">ROUND(J14*M22,0)</f>
        <v>0</v>
      </c>
      <c r="K22" s="1255" t="s">
        <v>738</v>
      </c>
      <c r="L22" s="294" t="s">
        <v>711</v>
      </c>
      <c r="M22" s="320">
        <f ca="1">INDIRECT("'数据-取费表'!Ak"&amp;$G$1)</f>
        <v>0</v>
      </c>
    </row>
    <row r="23" spans="1:37" s="1303"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3</v>
      </c>
      <c r="G23" s="1302"/>
      <c r="H23" s="928" t="s">
        <v>437</v>
      </c>
      <c r="I23" s="294" t="s">
        <v>741</v>
      </c>
      <c r="J23" s="21">
        <f ca="1">ROUND(J13*M23,0)</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744</v>
      </c>
      <c r="B24" s="294" t="s">
        <v>745</v>
      </c>
      <c r="C24" s="21">
        <f ca="1">ROUND(IF('数据-取费表'!B22&lt;=1,F21*F24*F23/2,F21*(POWER((1+F24),F23/2)-1)),4)</f>
        <v>1.4E-3</v>
      </c>
      <c r="D24" s="138" t="str">
        <f>IF(F23&lt;=1,"销售费用×利率×(建设周期÷2)","销售费用×((1+利率)^(建设周期÷2)-1)")</f>
        <v>销售费用×((1+利率)^(建设周期÷2)-1)</v>
      </c>
      <c r="E24" s="294" t="s">
        <v>746</v>
      </c>
      <c r="F24" s="322">
        <f ca="1">'数据-取费表'!B40</f>
        <v>3.1E-2</v>
      </c>
      <c r="G24" s="1302"/>
      <c r="H24" s="1026" t="s">
        <v>683</v>
      </c>
      <c r="I24" s="1027" t="s">
        <v>727</v>
      </c>
      <c r="J24" s="1028">
        <f ca="1">ROUND(J5*M24,0)</f>
        <v>0</v>
      </c>
      <c r="K24" s="1029" t="s">
        <v>747</v>
      </c>
      <c r="L24" s="1027" t="s">
        <v>743</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748</v>
      </c>
      <c r="B25" s="294" t="s">
        <v>749</v>
      </c>
      <c r="C25" s="21"/>
      <c r="D25" s="123" t="s">
        <v>750</v>
      </c>
      <c r="E25" s="1268"/>
      <c r="F25" s="23"/>
      <c r="G25" s="1291"/>
      <c r="H25" s="1016" t="s">
        <v>394</v>
      </c>
      <c r="I25" s="1031" t="s">
        <v>751</v>
      </c>
      <c r="J25" s="302">
        <f ca="1">J5-J16</f>
        <v>0</v>
      </c>
      <c r="K25" s="1032" t="s">
        <v>752</v>
      </c>
      <c r="L25" s="1033"/>
      <c r="M25" s="1034"/>
    </row>
    <row r="26" spans="1:37" ht="18" customHeight="1">
      <c r="A26" s="928"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8"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766</v>
      </c>
      <c r="C29" s="1028">
        <f ca="1">ROUND((C19+C20+C23+C26)/(1-F21-C24-C27-C28),0)</f>
        <v>0</v>
      </c>
      <c r="D29" s="1029"/>
      <c r="E29" s="1027"/>
      <c r="F29" s="1030"/>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713</v>
      </c>
      <c r="C30" s="302">
        <f ca="1">ROUND(C31+C36+C37+C38,0)</f>
        <v>0</v>
      </c>
      <c r="D30" s="1024" t="s">
        <v>714</v>
      </c>
      <c r="E30" s="1025"/>
      <c r="F30" s="1009"/>
      <c r="G30" s="1291"/>
      <c r="H30" s="2470"/>
      <c r="I30" s="1304"/>
      <c r="J30" s="1305"/>
      <c r="K30" s="121"/>
      <c r="L30" s="2471"/>
      <c r="M30" s="2472"/>
    </row>
    <row r="31" spans="1:37" ht="18" customHeight="1">
      <c r="A31" s="928" t="s">
        <v>398</v>
      </c>
      <c r="B31" s="294" t="s">
        <v>718</v>
      </c>
      <c r="C31" s="2139">
        <f ca="1">ROUND(IF(AND(项目基本情况!B11="自然人",项目基本情况!B10="北京市"),C6*F31/(1+'数据-取费表'!C42),C32+C33+C34),0)</f>
        <v>0</v>
      </c>
      <c r="D31" s="1256" t="s">
        <v>719</v>
      </c>
      <c r="E31" s="1255" t="s">
        <v>769</v>
      </c>
      <c r="F31" s="2138" t="str">
        <f>IF(项目基本情况!B11="企业","——",IF(M47="住宅",IF(F6*F7*F8/12/(1+'数据-取费表'!F30)&gt;100000,4%,2.5%),IF(F6*F7*F8/12/(1+'数据-取费表'!F30)&gt;100000,12%,7%)))</f>
        <v>——</v>
      </c>
      <c r="G31" s="1291"/>
      <c r="H31" s="2569" t="s">
        <v>2303</v>
      </c>
      <c r="I31" s="1304"/>
      <c r="J31" s="1305"/>
      <c r="K31" s="121"/>
      <c r="L31" s="2471"/>
      <c r="M31" s="2472"/>
    </row>
    <row r="32" spans="1:37" ht="18" customHeight="1">
      <c r="A32" s="928" t="s">
        <v>397</v>
      </c>
      <c r="B32" s="294" t="s">
        <v>722</v>
      </c>
      <c r="C32" s="21">
        <f ca="1">IF(项目基本情况!B11="自然人","——",ROUND(C6*F32/(1+'数据-取费表'!C42),0))</f>
        <v>0</v>
      </c>
      <c r="D32" s="1255" t="s">
        <v>723</v>
      </c>
      <c r="E32" s="294" t="s">
        <v>711</v>
      </c>
      <c r="F32" s="322">
        <f>'数据-取费表'!B41</f>
        <v>5.6000000000000001E-2</v>
      </c>
      <c r="G32" s="1291"/>
      <c r="H32" s="2470"/>
      <c r="I32" s="1304"/>
      <c r="J32" s="1305"/>
      <c r="K32" s="121"/>
      <c r="L32" s="2471"/>
      <c r="M32" s="2472"/>
    </row>
    <row r="33" spans="1:18" ht="18" customHeight="1">
      <c r="A33" s="928" t="s">
        <v>399</v>
      </c>
      <c r="B33" s="294" t="s">
        <v>726</v>
      </c>
      <c r="C33" s="21">
        <f ca="1">IF(项目基本情况!B11="自然人","——",IF(D33="按租金收入计税",ROUND(C6*F33/(1+'数据-取费表'!C42),0),IF(D33="按房产原值计税",ROUND(C29*F33*0.7,0),INDIRECT("'数据-取费表'!Aj"&amp;$G$1))))</f>
        <v>0</v>
      </c>
      <c r="D33" s="1277" t="s">
        <v>3333</v>
      </c>
      <c r="E33" s="294" t="s">
        <v>711</v>
      </c>
      <c r="F33" s="314">
        <f>IF(D33="按票据","——",IF(D33="按租金收入计税",'数据-取费表'!B51,'数据-取费表'!B50))</f>
        <v>0.12</v>
      </c>
      <c r="G33" s="1291"/>
      <c r="H33" s="2473"/>
      <c r="I33" s="1304"/>
      <c r="J33" s="1305"/>
      <c r="K33" s="2474"/>
      <c r="L33" s="2473"/>
      <c r="M33" s="2473"/>
    </row>
    <row r="34" spans="1:18" ht="18" customHeight="1">
      <c r="A34" s="1006" t="s">
        <v>679</v>
      </c>
      <c r="B34" s="147" t="s">
        <v>729</v>
      </c>
      <c r="C34" s="22">
        <f ca="1">IF(项目基本情况!B11="自然人","——",ROUND(F34*F35,0))</f>
        <v>0</v>
      </c>
      <c r="D34" s="316" t="s">
        <v>730</v>
      </c>
      <c r="E34" s="294" t="s">
        <v>731</v>
      </c>
      <c r="F34" s="317">
        <f>'数据-取费表'!B52</f>
        <v>1.5</v>
      </c>
      <c r="G34" s="1291"/>
      <c r="H34" s="2470"/>
      <c r="I34" s="1304"/>
      <c r="J34" s="1305"/>
      <c r="K34" s="2475"/>
      <c r="L34" s="2476"/>
      <c r="M34" s="2476"/>
    </row>
    <row r="35" spans="1:18" ht="18" customHeight="1">
      <c r="A35" s="1040"/>
      <c r="B35" s="1038"/>
      <c r="C35" s="26"/>
      <c r="D35" s="319"/>
      <c r="E35" s="294" t="s">
        <v>735</v>
      </c>
      <c r="F35" s="295">
        <f ca="1">INDIRECT("'数据-取费表'!r"&amp;$G$1)</f>
        <v>0</v>
      </c>
      <c r="G35" s="1291"/>
      <c r="H35" s="2470"/>
      <c r="I35" s="1304"/>
      <c r="J35" s="1305"/>
      <c r="K35" s="2474"/>
      <c r="L35" s="2473"/>
      <c r="M35" s="2473"/>
    </row>
    <row r="36" spans="1:18" ht="18" customHeight="1">
      <c r="A36" s="1039" t="s">
        <v>402</v>
      </c>
      <c r="B36" s="294" t="s">
        <v>737</v>
      </c>
      <c r="C36" s="21">
        <f ca="1">ROUND(C29*F36,0)</f>
        <v>0</v>
      </c>
      <c r="D36" s="1255" t="s">
        <v>770</v>
      </c>
      <c r="E36" s="294" t="s">
        <v>711</v>
      </c>
      <c r="F36" s="320">
        <f ca="1">INDIRECT("'数据-取费表'!Ak"&amp;$G$1)</f>
        <v>0</v>
      </c>
      <c r="G36" s="1291"/>
      <c r="H36" s="2473"/>
      <c r="I36" s="1304"/>
      <c r="J36" s="1305"/>
      <c r="K36" s="2330"/>
      <c r="L36" s="2473"/>
      <c r="M36" s="2473"/>
    </row>
    <row r="37" spans="1:18" ht="18" customHeight="1">
      <c r="A37" s="928" t="s">
        <v>437</v>
      </c>
      <c r="B37" s="294" t="s">
        <v>741</v>
      </c>
      <c r="C37" s="21">
        <f ca="1">ROUND(C13*F37,0)</f>
        <v>0</v>
      </c>
      <c r="D37" s="1255" t="s">
        <v>742</v>
      </c>
      <c r="E37" s="294" t="s">
        <v>743</v>
      </c>
      <c r="F37" s="321">
        <f ca="1">INDIRECT("'数据-取费表'!Al"&amp;$G$1)</f>
        <v>0</v>
      </c>
      <c r="G37" s="1291"/>
      <c r="H37" s="2473"/>
      <c r="I37" s="1304"/>
      <c r="J37" s="1305"/>
      <c r="K37" s="2330"/>
      <c r="L37" s="2473"/>
      <c r="M37" s="2473"/>
    </row>
    <row r="38" spans="1:18" ht="18" customHeight="1" thickBot="1">
      <c r="A38" s="1026" t="s">
        <v>683</v>
      </c>
      <c r="B38" s="1027" t="s">
        <v>727</v>
      </c>
      <c r="C38" s="1028">
        <f ca="1">ROUND(C5*F38,0)</f>
        <v>0</v>
      </c>
      <c r="D38" s="1029" t="s">
        <v>747</v>
      </c>
      <c r="E38" s="1027" t="s">
        <v>743</v>
      </c>
      <c r="F38" s="1023">
        <f ca="1">INDIRECT("'数据-取费表'!Am"&amp;$G$1)</f>
        <v>0</v>
      </c>
      <c r="G38" s="1291"/>
      <c r="H38" s="2473"/>
      <c r="I38" s="1304"/>
      <c r="J38" s="1305"/>
      <c r="K38" s="2471"/>
      <c r="L38" s="2473"/>
      <c r="M38" s="2473"/>
    </row>
    <row r="39" spans="1:18" ht="24.6" customHeight="1" thickTop="1">
      <c r="A39" s="1016" t="s">
        <v>394</v>
      </c>
      <c r="B39" s="1031" t="s">
        <v>771</v>
      </c>
      <c r="C39" s="302">
        <f ca="1">C5-C30</f>
        <v>0</v>
      </c>
      <c r="D39" s="1032" t="s">
        <v>772</v>
      </c>
      <c r="E39" s="1033"/>
      <c r="F39" s="1034"/>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3349</v>
      </c>
      <c r="B45" s="1306"/>
      <c r="C45" s="1375" t="e">
        <f ca="1">ROUND((C68-C40)/10000,4)</f>
        <v>#DIV/0!</v>
      </c>
      <c r="D45" s="3130" t="s">
        <v>3350</v>
      </c>
      <c r="E45" s="1306"/>
      <c r="F45" s="1306"/>
      <c r="O45" s="1309" t="s">
        <v>807</v>
      </c>
      <c r="P45" s="1365"/>
      <c r="Q45" s="1365"/>
      <c r="R45" s="1365"/>
    </row>
    <row r="46" spans="1:18" s="1291" customFormat="1" ht="13.5" thickBot="1">
      <c r="A46" s="1310" t="s">
        <v>808</v>
      </c>
      <c r="C46" s="1311" t="e">
        <f ca="1">ROUND(C45,0)</f>
        <v>#DIV/0!</v>
      </c>
      <c r="D46" s="1312" t="str">
        <f>C2</f>
        <v>万元</v>
      </c>
      <c r="I46" s="1313" t="s">
        <v>809</v>
      </c>
      <c r="J46" s="1314"/>
      <c r="K46" s="1315"/>
      <c r="L46" s="1316" t="e">
        <f ca="1">IF(M47="住宅",0,IF(L48&gt;J51,L60,J60))</f>
        <v>#DIV/0!</v>
      </c>
      <c r="O46" s="1317" t="s">
        <v>810</v>
      </c>
      <c r="P46" s="1318" t="s">
        <v>811</v>
      </c>
      <c r="Q46" s="1319" t="s">
        <v>812</v>
      </c>
      <c r="R46" s="1319" t="s">
        <v>813</v>
      </c>
    </row>
    <row r="47" spans="1:18" s="1291" customFormat="1" ht="13.5" thickBot="1">
      <c r="A47" s="892" t="s">
        <v>686</v>
      </c>
      <c r="B47" s="924" t="s">
        <v>687</v>
      </c>
      <c r="C47" s="924" t="s">
        <v>688</v>
      </c>
      <c r="D47" s="924" t="s">
        <v>689</v>
      </c>
      <c r="E47" s="995" t="s">
        <v>690</v>
      </c>
      <c r="F47" s="996"/>
      <c r="G47" s="681"/>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7" t="s">
        <v>438</v>
      </c>
      <c r="B48" s="292" t="s">
        <v>691</v>
      </c>
      <c r="C48" s="1267">
        <f ca="1">C49+C53+C55</f>
        <v>0</v>
      </c>
      <c r="D48" s="1049"/>
      <c r="E48" s="1050"/>
      <c r="F48" s="908"/>
      <c r="G48" s="681"/>
      <c r="H48" s="682"/>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1" t="s">
        <v>439</v>
      </c>
      <c r="B49" s="1278" t="s">
        <v>778</v>
      </c>
      <c r="C49" s="1051">
        <f ca="1">ROUND(F49*F51*F50*(1-F52),0)</f>
        <v>0</v>
      </c>
      <c r="D49" s="992" t="s">
        <v>694</v>
      </c>
      <c r="E49" s="1279" t="s">
        <v>779</v>
      </c>
      <c r="F49" s="997"/>
      <c r="H49" s="682"/>
      <c r="I49" s="1327" t="s">
        <v>822</v>
      </c>
      <c r="J49" s="1331"/>
      <c r="K49" s="1329" t="s">
        <v>823</v>
      </c>
      <c r="L49" s="1332"/>
      <c r="O49" s="1333" t="s">
        <v>405</v>
      </c>
      <c r="P49" s="1325" t="s">
        <v>824</v>
      </c>
      <c r="Q49" s="1326">
        <f ca="1">C29</f>
        <v>0</v>
      </c>
      <c r="R49" s="1326" t="s">
        <v>817</v>
      </c>
    </row>
    <row r="50" spans="1:18" s="1291" customFormat="1" ht="13.5" thickBot="1">
      <c r="A50" s="922"/>
      <c r="B50" s="925"/>
      <c r="C50" s="926"/>
      <c r="D50" s="899"/>
      <c r="E50" s="993" t="s">
        <v>696</v>
      </c>
      <c r="F50" s="994">
        <f ca="1">F7</f>
        <v>0</v>
      </c>
      <c r="H50" s="682"/>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3"/>
      <c r="B51" s="925"/>
      <c r="C51" s="926"/>
      <c r="D51" s="899"/>
      <c r="E51" s="927"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3"/>
      <c r="B52" s="925"/>
      <c r="C52" s="926"/>
      <c r="D52" s="899"/>
      <c r="E52" s="927" t="s">
        <v>698</v>
      </c>
      <c r="F52" s="991"/>
      <c r="I52" s="1341" t="s">
        <v>831</v>
      </c>
      <c r="J52" s="1342"/>
      <c r="K52" s="1341" t="s">
        <v>832</v>
      </c>
      <c r="L52" s="1342"/>
      <c r="O52" s="1333" t="s">
        <v>408</v>
      </c>
      <c r="P52" s="1325" t="s">
        <v>833</v>
      </c>
      <c r="Q52" s="1326">
        <f ca="1">J53</f>
        <v>0</v>
      </c>
      <c r="R52" s="1326" t="s">
        <v>834</v>
      </c>
    </row>
    <row r="53" spans="1:18" s="1291" customFormat="1" ht="30.75" customHeight="1" thickBot="1">
      <c r="A53" s="1048" t="s">
        <v>440</v>
      </c>
      <c r="B53" s="315" t="s">
        <v>699</v>
      </c>
      <c r="C53" s="308">
        <f ca="1">ROUND(IF(F53="押一",C49/12*F11,IF(F53="押二",C49/12*2*F11,IF(F53="押三",C49/12*3*F11,C54*F11))),0)</f>
        <v>0</v>
      </c>
      <c r="D53" s="150" t="s">
        <v>2114</v>
      </c>
      <c r="E53" s="305" t="s">
        <v>700</v>
      </c>
      <c r="F53" s="1053"/>
      <c r="I53" s="1343" t="s">
        <v>835</v>
      </c>
      <c r="J53" s="2005">
        <f ca="1">IF(M47="住宅",IF(D1="——",MAX(J51,L48),MAX(J51,L48-'数据-取费表'!B24)),IF(D1="——",MIN(J51,L48),MIN(J51,L48-'数据-取费表'!B24)))</f>
        <v>0</v>
      </c>
      <c r="K53" s="3409" t="s">
        <v>836</v>
      </c>
      <c r="L53" s="3410"/>
      <c r="O53" s="1324" t="s">
        <v>409</v>
      </c>
      <c r="P53" s="1325" t="s">
        <v>837</v>
      </c>
      <c r="Q53" s="1326" t="e">
        <f ca="1">Q47+Q48</f>
        <v>#DIV/0!</v>
      </c>
      <c r="R53" s="1326" t="s">
        <v>410</v>
      </c>
    </row>
    <row r="54" spans="1:18" s="1291" customFormat="1" ht="13.5" thickBot="1">
      <c r="A54" s="921"/>
      <c r="B54" s="1376" t="s">
        <v>890</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20" t="s">
        <v>437</v>
      </c>
      <c r="B55" s="1276" t="s">
        <v>702</v>
      </c>
      <c r="C55" s="1021"/>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36" customHeight="1" thickTop="1" thickBot="1">
      <c r="A56" s="903">
        <v>2</v>
      </c>
      <c r="B56" s="904" t="s">
        <v>703</v>
      </c>
      <c r="C56" s="224">
        <f ca="1">C13</f>
        <v>0</v>
      </c>
      <c r="D56" s="1351"/>
      <c r="E56" s="1352"/>
      <c r="F56" s="1344"/>
      <c r="I56" s="1353" t="s">
        <v>841</v>
      </c>
      <c r="J56" s="1354"/>
      <c r="K56" s="1327" t="s">
        <v>842</v>
      </c>
      <c r="L56" s="1330">
        <f ca="1">IF(L48&lt;J51,"——",L48-J51)</f>
        <v>0</v>
      </c>
      <c r="O56" s="1324" t="s">
        <v>403</v>
      </c>
      <c r="P56" s="1325" t="s">
        <v>816</v>
      </c>
      <c r="Q56" s="1326" t="e">
        <f ca="1">C40+J29</f>
        <v>#DIV/0!</v>
      </c>
      <c r="R56" s="1326" t="s">
        <v>817</v>
      </c>
    </row>
    <row r="57" spans="1:18" s="1291" customFormat="1" ht="24.75" thickBot="1">
      <c r="A57" s="1355"/>
      <c r="B57" s="896" t="s">
        <v>766</v>
      </c>
      <c r="C57" s="230">
        <f ca="1">C29</f>
        <v>0</v>
      </c>
      <c r="D57" s="1356"/>
      <c r="E57" s="1357"/>
      <c r="F57" s="1358"/>
      <c r="I57" s="1359" t="s">
        <v>843</v>
      </c>
      <c r="J57" s="1360">
        <f ca="1">IF(OR(M47="住宅",J51&lt;L48,J56="是"),"——",J51-L48)</f>
        <v>0</v>
      </c>
      <c r="K57" s="1327" t="s">
        <v>891</v>
      </c>
      <c r="L57" s="1330">
        <f ca="1">IF(L48&lt;J51,"——",IF(L55="比较法",L49,IF(L55="基准地价",L50,L51)))</f>
        <v>0</v>
      </c>
      <c r="O57" s="1324" t="s">
        <v>404</v>
      </c>
      <c r="P57" s="1325" t="s">
        <v>892</v>
      </c>
      <c r="Q57" s="1326" t="e">
        <f ca="1">L60</f>
        <v>#DIV/0!</v>
      </c>
      <c r="R57" s="1326" t="s">
        <v>893</v>
      </c>
    </row>
    <row r="58" spans="1:18" s="1291" customFormat="1" ht="24.75" thickBot="1">
      <c r="A58" s="307" t="s">
        <v>393</v>
      </c>
      <c r="B58" s="904" t="s">
        <v>713</v>
      </c>
      <c r="C58" s="308">
        <f ca="1">ROUND(C59+C64+C65+C66,0)</f>
        <v>0</v>
      </c>
      <c r="D58" s="906" t="s">
        <v>714</v>
      </c>
      <c r="E58" s="907"/>
      <c r="F58" s="908"/>
      <c r="I58" s="1359" t="s">
        <v>847</v>
      </c>
      <c r="J58" s="1361" t="e">
        <f ca="1">IF(J55&lt;0.4,0.4,J55)</f>
        <v>#DIV/0!</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8" t="s">
        <v>398</v>
      </c>
      <c r="B59" s="896" t="s">
        <v>718</v>
      </c>
      <c r="C59" s="2139">
        <f ca="1">ROUND(IF(AND(项目基本情况!B11="自然人",项目基本情况!B10="北京市"),C49*F59/(1+'数据-取费表'!C42),C60+C61+C62),0)</f>
        <v>0</v>
      </c>
      <c r="D59" s="909" t="s">
        <v>719</v>
      </c>
      <c r="E59" s="910" t="s">
        <v>720</v>
      </c>
      <c r="F59" s="2138" t="str">
        <f>IF(项目基本情况!B11="企业","——",IF('数据-取费表'!B10="住宅",IF(F49*F50*F51/12/(1+'数据-取费表'!F30)&gt;100000,4%,2.5%),IF(F49*F50*F51/12/(1+'数据-取费表'!F30)&gt;100000,12%,7%)))</f>
        <v>——</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8" t="s">
        <v>780</v>
      </c>
      <c r="B61" s="896" t="s">
        <v>781</v>
      </c>
      <c r="C61" s="21">
        <f ca="1">IF(项目基本情况!B11="自然人","——",IF(D61="按租金收入计税",ROUND(C49*F61/(1+'数据-取费表'!C42),0),IF(D61="按房产原值计税",ROUND(C57*F61*0.7,0),INDIRECT("'数据-取费表'!Aj"&amp;$G$1))))</f>
        <v>0</v>
      </c>
      <c r="D61" s="1277" t="s">
        <v>3333</v>
      </c>
      <c r="E61" s="896"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8" t="s">
        <v>783</v>
      </c>
      <c r="B62" s="895" t="s">
        <v>784</v>
      </c>
      <c r="C62" s="22">
        <f ca="1">IF(项目基本情况!B11="自然人","——",ROUND(F62*F63,0))</f>
        <v>0</v>
      </c>
      <c r="D62" s="911" t="s">
        <v>785</v>
      </c>
      <c r="E62" s="896" t="s">
        <v>786</v>
      </c>
      <c r="F62" s="317">
        <f t="shared" si="0"/>
        <v>1.5</v>
      </c>
      <c r="I62" s="1366" t="s">
        <v>857</v>
      </c>
      <c r="J62" s="610" t="s">
        <v>858</v>
      </c>
      <c r="K62" s="610" t="s">
        <v>859</v>
      </c>
      <c r="L62" s="610" t="s">
        <v>860</v>
      </c>
      <c r="M62" s="1367" t="s">
        <v>861</v>
      </c>
      <c r="O62" s="1324" t="s">
        <v>409</v>
      </c>
      <c r="P62" s="1325" t="s">
        <v>862</v>
      </c>
      <c r="Q62" s="1326" t="e">
        <f ca="1">Q56+Q57</f>
        <v>#DIV/0!</v>
      </c>
      <c r="R62" s="1326" t="s">
        <v>410</v>
      </c>
    </row>
    <row r="63" spans="1:18" s="1291" customFormat="1" ht="13.5" thickBot="1">
      <c r="A63" s="318"/>
      <c r="B63" s="902"/>
      <c r="C63" s="26"/>
      <c r="D63" s="912"/>
      <c r="E63" s="896" t="s">
        <v>787</v>
      </c>
      <c r="F63" s="295">
        <f t="shared" ca="1" si="0"/>
        <v>0</v>
      </c>
      <c r="I63" s="1366" t="s">
        <v>863</v>
      </c>
      <c r="J63" s="610">
        <v>70</v>
      </c>
      <c r="K63" s="610">
        <v>50</v>
      </c>
      <c r="L63" s="610">
        <v>80</v>
      </c>
      <c r="M63" s="1368">
        <v>0.02</v>
      </c>
      <c r="O63" s="1309" t="s">
        <v>864</v>
      </c>
      <c r="P63" s="1288"/>
      <c r="Q63" s="1288"/>
      <c r="R63" s="1288"/>
    </row>
    <row r="64" spans="1:18" s="1291" customFormat="1" ht="13.5" thickBot="1">
      <c r="A64" s="928" t="s">
        <v>788</v>
      </c>
      <c r="B64" s="896" t="s">
        <v>789</v>
      </c>
      <c r="C64" s="21">
        <f ca="1">ROUND(C57*F64,0)</f>
        <v>0</v>
      </c>
      <c r="D64" s="910" t="s">
        <v>790</v>
      </c>
      <c r="E64" s="896" t="s">
        <v>782</v>
      </c>
      <c r="F64" s="320">
        <f t="shared" ca="1" si="0"/>
        <v>0</v>
      </c>
      <c r="I64" s="1366" t="s">
        <v>865</v>
      </c>
      <c r="J64" s="610">
        <v>50</v>
      </c>
      <c r="K64" s="610">
        <v>35</v>
      </c>
      <c r="L64" s="610">
        <v>60</v>
      </c>
      <c r="M64" s="1367">
        <v>0</v>
      </c>
      <c r="O64" s="1317" t="s">
        <v>810</v>
      </c>
      <c r="P64" s="1318" t="s">
        <v>811</v>
      </c>
      <c r="Q64" s="1319" t="s">
        <v>812</v>
      </c>
      <c r="R64" s="1319" t="s">
        <v>813</v>
      </c>
    </row>
    <row r="65" spans="1:18" s="1291" customFormat="1" ht="13.5" thickBot="1">
      <c r="A65" s="928" t="s">
        <v>791</v>
      </c>
      <c r="B65" s="896" t="s">
        <v>741</v>
      </c>
      <c r="C65" s="21">
        <f ca="1">ROUND(C56*F65,0)</f>
        <v>0</v>
      </c>
      <c r="D65" s="910" t="s">
        <v>742</v>
      </c>
      <c r="E65" s="896" t="s">
        <v>743</v>
      </c>
      <c r="F65" s="321">
        <f t="shared" ca="1" si="0"/>
        <v>0</v>
      </c>
      <c r="I65" s="1366" t="s">
        <v>866</v>
      </c>
      <c r="J65" s="610">
        <v>40</v>
      </c>
      <c r="K65" s="610">
        <v>30</v>
      </c>
      <c r="L65" s="610">
        <v>50</v>
      </c>
      <c r="M65" s="1368">
        <v>0.02</v>
      </c>
      <c r="O65" s="1324" t="s">
        <v>403</v>
      </c>
      <c r="P65" s="1325" t="s">
        <v>867</v>
      </c>
      <c r="Q65" s="1326" t="e">
        <f ca="1">C40+J29</f>
        <v>#DIV/0!</v>
      </c>
      <c r="R65" s="1326" t="s">
        <v>817</v>
      </c>
    </row>
    <row r="66" spans="1:18" s="1291" customFormat="1" ht="16.5" thickBot="1">
      <c r="A66" s="928" t="s">
        <v>792</v>
      </c>
      <c r="B66" s="896" t="s">
        <v>727</v>
      </c>
      <c r="C66" s="21">
        <f ca="1">ROUND(C48*F66,0)</f>
        <v>0</v>
      </c>
      <c r="D66" s="910" t="s">
        <v>793</v>
      </c>
      <c r="E66" s="896" t="s">
        <v>711</v>
      </c>
      <c r="F66" s="304">
        <f t="shared" ca="1" si="0"/>
        <v>0</v>
      </c>
      <c r="O66" s="1324" t="s">
        <v>404</v>
      </c>
      <c r="P66" s="1325" t="s">
        <v>845</v>
      </c>
      <c r="Q66" s="1326" t="e">
        <f ca="1">L60</f>
        <v>#DIV/0!</v>
      </c>
      <c r="R66" s="1326" t="s">
        <v>868</v>
      </c>
    </row>
    <row r="67" spans="1:18" s="1291" customFormat="1" ht="16.5" thickBot="1">
      <c r="A67" s="903" t="s">
        <v>394</v>
      </c>
      <c r="B67" s="913" t="s">
        <v>751</v>
      </c>
      <c r="C67" s="308">
        <f ca="1">C48-C58</f>
        <v>0</v>
      </c>
      <c r="D67" s="909" t="s">
        <v>752</v>
      </c>
      <c r="E67" s="914"/>
      <c r="F67" s="915"/>
      <c r="O67" s="1333" t="s">
        <v>405</v>
      </c>
      <c r="P67" s="1325" t="s">
        <v>849</v>
      </c>
      <c r="Q67" s="1369">
        <f ca="1">L51</f>
        <v>0</v>
      </c>
      <c r="R67" s="1326" t="s">
        <v>869</v>
      </c>
    </row>
    <row r="68" spans="1:18" s="1291" customFormat="1" ht="16.5" thickBot="1">
      <c r="A68" s="893" t="s">
        <v>395</v>
      </c>
      <c r="B68" s="894" t="s">
        <v>773</v>
      </c>
      <c r="C68" s="293" t="e">
        <f ca="1">ROUND(C67*(1-((1+F70)/(1+F68))^F69)/(F68-F70),0)</f>
        <v>#DIV/0!</v>
      </c>
      <c r="D68" s="911" t="s">
        <v>757</v>
      </c>
      <c r="E68" s="896" t="s">
        <v>758</v>
      </c>
      <c r="F68" s="304">
        <f ca="1">F40</f>
        <v>0</v>
      </c>
      <c r="O68" s="1333" t="s">
        <v>406</v>
      </c>
      <c r="P68" s="1370" t="s">
        <v>870</v>
      </c>
      <c r="Q68" s="1326">
        <f ca="1">ROUND(Q69-Q70*Q71,0)</f>
        <v>0</v>
      </c>
      <c r="R68" s="1326" t="s">
        <v>414</v>
      </c>
    </row>
    <row r="69" spans="1:18" s="1291" customFormat="1" ht="13.5" thickBot="1">
      <c r="A69" s="897"/>
      <c r="B69" s="898"/>
      <c r="C69" s="298"/>
      <c r="D69" s="916" t="s">
        <v>761</v>
      </c>
      <c r="E69" s="896" t="s">
        <v>762</v>
      </c>
      <c r="F69" s="324">
        <f ca="1">F41</f>
        <v>0</v>
      </c>
      <c r="O69" s="1333" t="s">
        <v>411</v>
      </c>
      <c r="P69" s="1370" t="s">
        <v>871</v>
      </c>
      <c r="Q69" s="1326">
        <f ca="1">C39</f>
        <v>0</v>
      </c>
      <c r="R69" s="1326" t="s">
        <v>817</v>
      </c>
    </row>
    <row r="70" spans="1:18" s="1291" customFormat="1" ht="13.5" thickBot="1">
      <c r="A70" s="900"/>
      <c r="B70" s="901"/>
      <c r="C70" s="302"/>
      <c r="D70" s="912"/>
      <c r="E70" s="896" t="s">
        <v>765</v>
      </c>
      <c r="F70" s="991"/>
      <c r="O70" s="1333" t="s">
        <v>412</v>
      </c>
      <c r="P70" s="1370" t="s">
        <v>872</v>
      </c>
      <c r="Q70" s="1326">
        <f ca="1">C13</f>
        <v>0</v>
      </c>
      <c r="R70" s="1326" t="s">
        <v>817</v>
      </c>
    </row>
    <row r="71" spans="1:18" s="1291" customFormat="1" ht="13.5" thickBot="1">
      <c r="A71" s="917" t="s">
        <v>396</v>
      </c>
      <c r="B71" s="918" t="s">
        <v>775</v>
      </c>
      <c r="C71" s="327" t="e">
        <f ca="1">ROUND(C68/F71,0)</f>
        <v>#DIV/0!</v>
      </c>
      <c r="D71" s="919" t="s">
        <v>776</v>
      </c>
      <c r="E71" s="920" t="s">
        <v>777</v>
      </c>
      <c r="F71" s="330">
        <f ca="1">F43</f>
        <v>0</v>
      </c>
      <c r="O71" s="1333" t="s">
        <v>413</v>
      </c>
      <c r="P71" s="1370" t="s">
        <v>873</v>
      </c>
      <c r="Q71" s="1336">
        <f ca="1">C76</f>
        <v>0</v>
      </c>
      <c r="R71" s="1326"/>
    </row>
    <row r="72" spans="1:18" s="1291" customFormat="1" ht="13.5" thickBot="1">
      <c r="B72" s="685"/>
      <c r="C72" s="685"/>
      <c r="O72" s="1333" t="s">
        <v>407</v>
      </c>
      <c r="P72" s="1325" t="s">
        <v>851</v>
      </c>
      <c r="Q72" s="1336">
        <f>L52</f>
        <v>0</v>
      </c>
      <c r="R72" s="1326"/>
    </row>
    <row r="73" spans="1:18" ht="16.5" thickBot="1">
      <c r="A73" s="1291"/>
      <c r="B73" s="685"/>
      <c r="C73" s="685"/>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2" t="s">
        <v>2312</v>
      </c>
      <c r="B2" s="2594" t="e">
        <f>IF(D2="——",C40,C40+E2)</f>
        <v>#DIV/0!</v>
      </c>
      <c r="C2" s="2595" t="s">
        <v>2313</v>
      </c>
      <c r="D2" s="3138" t="s">
        <v>3356</v>
      </c>
      <c r="E2" s="3139"/>
      <c r="F2" s="2597"/>
      <c r="G2" s="2598"/>
      <c r="H2" s="2599"/>
      <c r="I2" s="2600"/>
      <c r="J2" s="3414" t="s">
        <v>2314</v>
      </c>
      <c r="K2" s="3415"/>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416" t="s">
        <v>2324</v>
      </c>
      <c r="K3" s="3417"/>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416" t="s">
        <v>2326</v>
      </c>
      <c r="K4" s="3417"/>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418" t="s">
        <v>2330</v>
      </c>
      <c r="B6" s="3419"/>
      <c r="C6" s="3420"/>
      <c r="D6" s="2621"/>
      <c r="E6" s="2622"/>
      <c r="F6" s="2623"/>
      <c r="G6" s="2624"/>
      <c r="H6" s="2599"/>
      <c r="I6" s="2600"/>
      <c r="J6" s="3421">
        <v>1</v>
      </c>
      <c r="K6" s="3422"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421"/>
      <c r="K7" s="3423"/>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25" t="s">
        <v>2344</v>
      </c>
      <c r="C8" s="3426"/>
      <c r="D8" s="2640" t="s">
        <v>2345</v>
      </c>
      <c r="E8" s="2641" t="s">
        <v>2346</v>
      </c>
      <c r="F8" s="2642" t="s">
        <v>2347</v>
      </c>
      <c r="G8" s="2643"/>
      <c r="H8" s="2599"/>
      <c r="I8" s="2600"/>
      <c r="J8" s="3421"/>
      <c r="K8" s="3423"/>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25" t="s">
        <v>2350</v>
      </c>
      <c r="C9" s="3426"/>
      <c r="D9" s="2640">
        <f>ROUND(D6*E9,0)</f>
        <v>0</v>
      </c>
      <c r="E9" s="2644"/>
      <c r="F9" s="2645" t="s">
        <v>2351</v>
      </c>
      <c r="G9" s="2624"/>
      <c r="H9" s="2599"/>
      <c r="I9" s="2600"/>
      <c r="J9" s="3421"/>
      <c r="K9" s="3423"/>
      <c r="L9" s="2634" t="s">
        <v>2352</v>
      </c>
      <c r="M9" s="2635"/>
      <c r="N9" s="2611"/>
      <c r="O9" s="2636"/>
      <c r="P9" s="2636"/>
      <c r="Q9" s="2637">
        <v>365</v>
      </c>
      <c r="R9" s="2638">
        <f t="shared" si="0"/>
        <v>0</v>
      </c>
      <c r="S9" s="2592"/>
      <c r="T9" s="2592"/>
      <c r="U9" s="2592"/>
      <c r="V9" s="2600"/>
    </row>
    <row r="10" spans="1:22" s="2604" customFormat="1" ht="13.15" customHeight="1">
      <c r="A10" s="2639">
        <v>2</v>
      </c>
      <c r="B10" s="3425" t="s">
        <v>2353</v>
      </c>
      <c r="C10" s="3426"/>
      <c r="D10" s="2640">
        <f>ROUND(D6*E10,0)</f>
        <v>0</v>
      </c>
      <c r="E10" s="2644"/>
      <c r="F10" s="2645" t="s">
        <v>2354</v>
      </c>
      <c r="G10" s="2624"/>
      <c r="H10" s="2599"/>
      <c r="I10" s="2600"/>
      <c r="J10" s="3421"/>
      <c r="K10" s="3423"/>
      <c r="L10" s="2634" t="s">
        <v>2355</v>
      </c>
      <c r="M10" s="2635"/>
      <c r="N10" s="2611"/>
      <c r="O10" s="2636"/>
      <c r="P10" s="2636"/>
      <c r="Q10" s="2637">
        <v>365</v>
      </c>
      <c r="R10" s="2638">
        <f t="shared" si="0"/>
        <v>0</v>
      </c>
      <c r="S10" s="2592"/>
      <c r="T10" s="2592"/>
      <c r="U10" s="2592"/>
      <c r="V10" s="2600"/>
    </row>
    <row r="11" spans="1:22" s="2604" customFormat="1" ht="13.15" customHeight="1">
      <c r="A11" s="2639">
        <v>3</v>
      </c>
      <c r="B11" s="3425" t="s">
        <v>2356</v>
      </c>
      <c r="C11" s="3426"/>
      <c r="D11" s="2640">
        <f>D12+D14+D15+D16</f>
        <v>0</v>
      </c>
      <c r="E11" s="2646" t="e">
        <f>D11/D6</f>
        <v>#DIV/0!</v>
      </c>
      <c r="F11" s="2642"/>
      <c r="G11" s="2643"/>
      <c r="H11" s="2599"/>
      <c r="I11" s="2600"/>
      <c r="J11" s="3421"/>
      <c r="K11" s="3423"/>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27" t="s">
        <v>2359</v>
      </c>
      <c r="C12" s="3428"/>
      <c r="D12" s="2648">
        <f>ROUND(D13*1.2%*(1-30%),0)</f>
        <v>0</v>
      </c>
      <c r="E12" s="2649">
        <v>1.2E-2</v>
      </c>
      <c r="F12" s="2642" t="s">
        <v>2360</v>
      </c>
      <c r="G12" s="2643"/>
      <c r="H12" s="2599"/>
      <c r="I12" s="2600"/>
      <c r="J12" s="3421"/>
      <c r="K12" s="3423"/>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421"/>
      <c r="K13" s="3423"/>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27" t="s">
        <v>2365</v>
      </c>
      <c r="C14" s="3428"/>
      <c r="D14" s="2648">
        <f>ROUND(E14*B5/10000,0)</f>
        <v>0</v>
      </c>
      <c r="E14" s="2637"/>
      <c r="F14" s="2642" t="s">
        <v>2366</v>
      </c>
      <c r="G14" s="2643"/>
      <c r="H14" s="2599"/>
      <c r="I14" s="2600"/>
      <c r="J14" s="3421"/>
      <c r="K14" s="3424"/>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27" t="s">
        <v>2369</v>
      </c>
      <c r="C15" s="3428"/>
      <c r="D15" s="2648">
        <f>ROUND(D6*E15,0)</f>
        <v>0</v>
      </c>
      <c r="E15" s="2649">
        <v>5.5E-2</v>
      </c>
      <c r="F15" s="2642" t="s">
        <v>2370</v>
      </c>
      <c r="G15" s="2624"/>
      <c r="H15" s="2599"/>
      <c r="I15" s="2600"/>
      <c r="J15" s="3421">
        <v>2</v>
      </c>
      <c r="K15" s="3422"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27" t="s">
        <v>2378</v>
      </c>
      <c r="C16" s="3428"/>
      <c r="D16" s="2659">
        <f>D6*E16</f>
        <v>0</v>
      </c>
      <c r="E16" s="2660"/>
      <c r="F16" s="2645" t="s">
        <v>2379</v>
      </c>
      <c r="G16" s="2624"/>
      <c r="H16" s="2599"/>
      <c r="I16" s="2600"/>
      <c r="J16" s="3421"/>
      <c r="K16" s="3423"/>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29" t="s">
        <v>2381</v>
      </c>
      <c r="C17" s="3430"/>
      <c r="D17" s="2662">
        <f>ROUND(D6*E17,0)</f>
        <v>0</v>
      </c>
      <c r="E17" s="2663"/>
      <c r="F17" s="2664" t="s">
        <v>2382</v>
      </c>
      <c r="G17" s="2624"/>
      <c r="H17" s="2599"/>
      <c r="I17" s="2600"/>
      <c r="J17" s="3421"/>
      <c r="K17" s="3423"/>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421"/>
      <c r="K18" s="3423"/>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421"/>
      <c r="K19" s="3424"/>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1">
        <v>3</v>
      </c>
      <c r="K20" s="3422"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421"/>
      <c r="K21" s="3423"/>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421"/>
      <c r="K22" s="3423"/>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421"/>
      <c r="K23" s="3423"/>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421"/>
      <c r="K24" s="3424"/>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431">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4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414" t="s">
        <v>2314</v>
      </c>
      <c r="K32" s="3415"/>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416" t="s">
        <v>2324</v>
      </c>
      <c r="K33" s="3417"/>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416" t="s">
        <v>2326</v>
      </c>
      <c r="K34" s="341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421">
        <v>1</v>
      </c>
      <c r="K36" s="3422"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421"/>
      <c r="K37" s="3423"/>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1"/>
      <c r="K38" s="3423"/>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421"/>
      <c r="K39" s="3423"/>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421"/>
      <c r="K40" s="3424"/>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1">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4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1654</v>
      </c>
      <c r="B1" s="1725"/>
      <c r="C1" s="1725"/>
      <c r="D1" s="1725"/>
      <c r="E1" s="1726"/>
      <c r="F1" s="2479"/>
      <c r="G1" s="459"/>
      <c r="H1" s="459"/>
      <c r="I1" s="459"/>
      <c r="J1" s="459"/>
      <c r="K1" s="459"/>
      <c r="L1" s="459"/>
      <c r="M1" s="459"/>
      <c r="N1" s="459"/>
      <c r="O1" s="459"/>
      <c r="P1" s="459"/>
      <c r="Q1" s="459"/>
      <c r="R1" s="459"/>
      <c r="S1" s="459"/>
    </row>
    <row r="2" spans="1:22" ht="15.75">
      <c r="A2" s="1727" t="s">
        <v>1458</v>
      </c>
      <c r="B2" s="811">
        <f ca="1">SUMIF(B6:B13,"&lt;&gt;#ref!",B6:B13)</f>
        <v>99875</v>
      </c>
      <c r="C2" s="1728" t="s">
        <v>1647</v>
      </c>
      <c r="D2" s="1729" t="s">
        <v>1648</v>
      </c>
      <c r="E2" s="2392">
        <f>SUM(E6:E13)</f>
        <v>68049.77999999997</v>
      </c>
      <c r="F2" s="2479"/>
      <c r="G2" s="459"/>
      <c r="H2" s="459"/>
      <c r="I2" s="459"/>
      <c r="J2" s="459"/>
      <c r="K2" s="459"/>
      <c r="L2" s="459"/>
      <c r="M2" s="459"/>
      <c r="N2" s="459"/>
      <c r="O2" s="459"/>
      <c r="P2" s="459"/>
      <c r="Q2" s="459"/>
      <c r="R2" s="459"/>
      <c r="S2" s="459"/>
    </row>
    <row r="3" spans="1:22" ht="15.75">
      <c r="A3" s="1727" t="s">
        <v>685</v>
      </c>
      <c r="B3" s="2386">
        <f ca="1">ROUND(B2*10000/E2,0)</f>
        <v>14677</v>
      </c>
      <c r="C3" s="1728" t="s">
        <v>1655</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1649</v>
      </c>
      <c r="B5" s="3433" t="s">
        <v>1650</v>
      </c>
      <c r="C5" s="3434"/>
      <c r="D5" s="2480"/>
      <c r="E5" s="1730" t="s">
        <v>1651</v>
      </c>
      <c r="F5" s="129" t="s">
        <v>1652</v>
      </c>
      <c r="G5" s="459"/>
      <c r="H5" s="459"/>
      <c r="I5" s="459"/>
      <c r="J5" s="459"/>
      <c r="K5" s="459"/>
      <c r="L5" s="459"/>
      <c r="M5" s="459"/>
      <c r="N5" s="459"/>
      <c r="O5" s="459"/>
      <c r="P5" s="459"/>
      <c r="Q5" s="459"/>
      <c r="R5" s="459"/>
      <c r="S5" s="459"/>
    </row>
    <row r="6" spans="1:22">
      <c r="A6" s="2389" t="str">
        <f>'数据-取费表'!AN6</f>
        <v>收益法</v>
      </c>
      <c r="B6" s="2387">
        <f ca="1">IF(F6="是",'数据-取费表'!AO6,0)</f>
        <v>99875</v>
      </c>
      <c r="C6" s="1728" t="s">
        <v>1647</v>
      </c>
      <c r="D6" s="2479"/>
      <c r="E6" s="2391">
        <f>IF(OR(A6=0,F6="否"),0,'数据-取费表'!K6+'数据-取费表'!S6)</f>
        <v>68049.77999999997</v>
      </c>
      <c r="F6" s="1731" t="s">
        <v>1653</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1647</v>
      </c>
      <c r="D7" s="2479"/>
      <c r="E7" s="2391">
        <f>IF(OR(A7=0,F7="否"),0,'数据-取费表'!K7+'数据-取费表'!S7)</f>
        <v>0</v>
      </c>
      <c r="F7" s="1731" t="s">
        <v>1653</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1647</v>
      </c>
      <c r="D8" s="2479"/>
      <c r="E8" s="2391">
        <f>IF(OR(A8=0,F8="否"),0,'数据-取费表'!K8+'数据-取费表'!S8)</f>
        <v>0</v>
      </c>
      <c r="F8" s="1731" t="s">
        <v>1653</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1647</v>
      </c>
      <c r="D9" s="2479"/>
      <c r="E9" s="2391">
        <f>IF(OR(A9=0,F9="否"),0,'数据-取费表'!K9+'数据-取费表'!S9)</f>
        <v>0</v>
      </c>
      <c r="F9" s="1731" t="s">
        <v>1653</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1647</v>
      </c>
      <c r="D10" s="2479"/>
      <c r="E10" s="2391">
        <f>IF(OR(A10=0,F10="否"),0,'数据-取费表'!K10+'数据-取费表'!S10)</f>
        <v>0</v>
      </c>
      <c r="F10" s="1731" t="s">
        <v>1653</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1647</v>
      </c>
      <c r="D11" s="2479"/>
      <c r="E11" s="2391">
        <f>IF(OR(A11=0,F11="否"),0,'数据-取费表'!K11+'数据-取费表'!S11)</f>
        <v>0</v>
      </c>
      <c r="F11" s="1731" t="s">
        <v>1653</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1647</v>
      </c>
      <c r="D12" s="2479"/>
      <c r="E12" s="2391">
        <f>IF(OR(A12=0,F12="否"),0,'数据-取费表'!K12+'数据-取费表'!S12)</f>
        <v>0</v>
      </c>
      <c r="F12" s="1731" t="s">
        <v>1653</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1647</v>
      </c>
      <c r="D13" s="2481"/>
      <c r="E13" s="2391">
        <f>IF(OR(A13=0,F13="否"),0,'数据-取费表'!K13+'数据-取费表'!S13)</f>
        <v>0</v>
      </c>
      <c r="F13" s="1731"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估价对象为北京市房地产，为所有。根据《国有土地使用证》[]，估价对象（分摊）出让国有建设用地使用权面积为15742.02平方米，建筑面积为68049.78平方米。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估价对象为北京市房地产,属开发建设的商业项目，该项目尚在开发建设中。根据《国有土地使用证》[]，估价对象（分摊）出让国有建设用地使用权面积为15742.02平方米，规划建筑面积为68049.78平方米。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2024年11月8日（评估专业人员实地查勘之日）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895</v>
      </c>
    </row>
    <row r="24" spans="1:1" ht="18">
      <c r="A24" s="1386" t="str">
        <f>"本次评估采用的主估价方法为"&amp;结果表!K4&amp;"和"&amp;结果表!L4&amp;"。"</f>
        <v>本次评估采用的主估价方法为成本法和收益法。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1656</v>
      </c>
      <c r="B1" s="1733" t="s">
        <v>1657</v>
      </c>
      <c r="C1" s="1154" t="s">
        <v>1658</v>
      </c>
      <c r="D1" s="1141"/>
      <c r="E1" s="3124"/>
      <c r="F1" s="1734"/>
      <c r="G1" s="1151" t="s">
        <v>1659</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1660</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685</v>
      </c>
      <c r="B3" s="343">
        <f>IF(C2="——",C49,ROUND(B2*10000/D3,0))</f>
        <v>0</v>
      </c>
      <c r="C3" s="344" t="s">
        <v>1661</v>
      </c>
      <c r="D3" s="343">
        <f>IF(D1="",'数据-汇总表'!E3,SUMIF('数据-汇总表'!$C19:$C33,D1,'数据-汇总表'!$E19:$E33))</f>
        <v>68049.77999999997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1662</v>
      </c>
      <c r="B4" s="346"/>
      <c r="C4" s="3385" t="s">
        <v>1663</v>
      </c>
      <c r="D4" s="3386"/>
      <c r="E4" s="3387" t="s">
        <v>1664</v>
      </c>
      <c r="F4" s="3388"/>
      <c r="G4" s="3385" t="s">
        <v>1665</v>
      </c>
      <c r="H4" s="3386"/>
      <c r="I4" s="3385" t="s">
        <v>1666</v>
      </c>
      <c r="J4" s="3386"/>
      <c r="K4" s="1743" t="s">
        <v>1667</v>
      </c>
      <c r="L4" s="2486"/>
      <c r="M4" s="2487"/>
      <c r="N4" s="2487"/>
      <c r="O4" s="2487"/>
      <c r="P4" s="3389" t="s">
        <v>1668</v>
      </c>
      <c r="Q4" s="3390"/>
      <c r="R4" s="3372" t="s">
        <v>1664</v>
      </c>
      <c r="S4" s="3373"/>
      <c r="T4" s="3372" t="s">
        <v>1665</v>
      </c>
      <c r="U4" s="3373"/>
      <c r="V4" s="3397" t="s">
        <v>1666</v>
      </c>
      <c r="W4" s="3397"/>
      <c r="X4" s="1264"/>
      <c r="Y4" s="3372" t="s">
        <v>1668</v>
      </c>
      <c r="Z4" s="3373"/>
      <c r="AA4" s="3367" t="s">
        <v>1664</v>
      </c>
      <c r="AB4" s="3367" t="s">
        <v>1665</v>
      </c>
      <c r="AC4" s="3367" t="s">
        <v>1666</v>
      </c>
    </row>
    <row r="5" spans="1:29" ht="15">
      <c r="A5" s="348"/>
      <c r="B5" s="349"/>
      <c r="C5" s="3378" t="s">
        <v>1669</v>
      </c>
      <c r="D5" s="3379"/>
      <c r="E5" s="3376" t="s">
        <v>1670</v>
      </c>
      <c r="F5" s="3377"/>
      <c r="G5" s="3378" t="s">
        <v>1671</v>
      </c>
      <c r="H5" s="3379"/>
      <c r="I5" s="3378" t="s">
        <v>1672</v>
      </c>
      <c r="J5" s="3379"/>
      <c r="K5" s="1744"/>
      <c r="L5" s="2486"/>
      <c r="M5" s="2487"/>
      <c r="N5" s="2487"/>
      <c r="O5" s="2487"/>
      <c r="P5" s="3391"/>
      <c r="Q5" s="3392"/>
      <c r="R5" s="3374"/>
      <c r="S5" s="3375"/>
      <c r="T5" s="3374"/>
      <c r="U5" s="3375"/>
      <c r="V5" s="3397"/>
      <c r="W5" s="3397"/>
      <c r="X5" s="1264"/>
      <c r="Y5" s="3374"/>
      <c r="Z5" s="3375"/>
      <c r="AA5" s="3368"/>
      <c r="AB5" s="3368"/>
      <c r="AC5" s="3368"/>
    </row>
    <row r="6" spans="1:29" ht="15.75" thickBot="1">
      <c r="A6" s="350"/>
      <c r="B6" s="351"/>
      <c r="C6" s="3380" t="s">
        <v>1673</v>
      </c>
      <c r="D6" s="3381"/>
      <c r="E6" s="3382" t="s">
        <v>1673</v>
      </c>
      <c r="F6" s="3383"/>
      <c r="G6" s="3380" t="s">
        <v>1673</v>
      </c>
      <c r="H6" s="3381"/>
      <c r="I6" s="3380" t="s">
        <v>1673</v>
      </c>
      <c r="J6" s="3381"/>
      <c r="K6" s="1744" t="s">
        <v>1674</v>
      </c>
      <c r="L6" s="2486"/>
      <c r="M6" s="2487"/>
      <c r="N6" s="2487"/>
      <c r="O6" s="2487"/>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0" t="s">
        <v>1676</v>
      </c>
      <c r="Q7" s="3398"/>
      <c r="R7" s="664" t="s">
        <v>20</v>
      </c>
      <c r="S7" s="665">
        <f t="shared" ref="S7:S15" si="0">F7</f>
        <v>0</v>
      </c>
      <c r="T7" s="664" t="s">
        <v>20</v>
      </c>
      <c r="U7" s="665">
        <f t="shared" ref="U7:U15" si="1">H7</f>
        <v>0</v>
      </c>
      <c r="V7" s="664" t="s">
        <v>20</v>
      </c>
      <c r="W7" s="665">
        <f t="shared" ref="W7:W15" si="2">J7</f>
        <v>0</v>
      </c>
      <c r="X7" s="666"/>
      <c r="Y7" s="3370" t="s">
        <v>1676</v>
      </c>
      <c r="Z7" s="3371"/>
      <c r="AA7" s="50" t="e">
        <f>D7/F7</f>
        <v>#DIV/0!</v>
      </c>
      <c r="AB7" s="50" t="e">
        <f>D7/H7</f>
        <v>#DIV/0!</v>
      </c>
      <c r="AC7" s="50" t="e">
        <f>D7/J7</f>
        <v>#DIV/0!</v>
      </c>
    </row>
    <row r="8" spans="1:29" s="102" customFormat="1" ht="15.75" thickBot="1">
      <c r="A8" s="352" t="s">
        <v>1677</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0" t="s">
        <v>1679</v>
      </c>
      <c r="Q8" s="3371"/>
      <c r="R8" s="664" t="s">
        <v>20</v>
      </c>
      <c r="S8" s="665">
        <f t="shared" si="0"/>
        <v>100</v>
      </c>
      <c r="T8" s="664" t="s">
        <v>20</v>
      </c>
      <c r="U8" s="665">
        <f t="shared" si="1"/>
        <v>100</v>
      </c>
      <c r="V8" s="664" t="s">
        <v>20</v>
      </c>
      <c r="W8" s="665">
        <f t="shared" si="2"/>
        <v>100</v>
      </c>
      <c r="X8" s="666"/>
      <c r="Y8" s="3370" t="s">
        <v>1679</v>
      </c>
      <c r="Z8" s="3371"/>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8"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8"/>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8"/>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8"/>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8"/>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1686</v>
      </c>
      <c r="B15" s="58" t="s">
        <v>1256</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0" t="s">
        <v>1687</v>
      </c>
      <c r="Q15" s="1262" t="str">
        <f t="shared" si="6"/>
        <v>居住社区成熟度</v>
      </c>
      <c r="R15" s="667" t="s">
        <v>18</v>
      </c>
      <c r="S15" s="668">
        <f t="shared" si="0"/>
        <v>100</v>
      </c>
      <c r="T15" s="667" t="s">
        <v>18</v>
      </c>
      <c r="U15" s="668">
        <f t="shared" si="1"/>
        <v>100</v>
      </c>
      <c r="V15" s="667" t="s">
        <v>18</v>
      </c>
      <c r="W15" s="668">
        <f t="shared" si="2"/>
        <v>100</v>
      </c>
      <c r="X15" s="1264"/>
      <c r="Y15" s="3399" t="s">
        <v>1687</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41"/>
      <c r="Q16" s="1262"/>
      <c r="R16" s="667"/>
      <c r="S16" s="668"/>
      <c r="T16" s="667"/>
      <c r="U16" s="668"/>
      <c r="V16" s="667"/>
      <c r="W16" s="668"/>
      <c r="X16" s="1264"/>
      <c r="Y16" s="3400"/>
      <c r="Z16" s="1263"/>
      <c r="AA16" s="1263">
        <v>1</v>
      </c>
      <c r="AB16" s="1263">
        <v>1</v>
      </c>
      <c r="AC16" s="1263">
        <v>1</v>
      </c>
    </row>
    <row r="17" spans="1:29" ht="71.25">
      <c r="A17" s="367"/>
      <c r="B17" s="390" t="s">
        <v>1258</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1"/>
      <c r="Q17" s="1262" t="str">
        <f>B17</f>
        <v>交通便捷度</v>
      </c>
      <c r="R17" s="667" t="s">
        <v>18</v>
      </c>
      <c r="S17" s="668">
        <f>F17</f>
        <v>100</v>
      </c>
      <c r="T17" s="667" t="s">
        <v>18</v>
      </c>
      <c r="U17" s="668">
        <f>H17</f>
        <v>100</v>
      </c>
      <c r="V17" s="667" t="s">
        <v>18</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41"/>
      <c r="Q18" s="1262"/>
      <c r="R18" s="667"/>
      <c r="S18" s="668"/>
      <c r="T18" s="667"/>
      <c r="U18" s="668"/>
      <c r="V18" s="667"/>
      <c r="W18" s="668"/>
      <c r="X18" s="1264"/>
      <c r="Y18" s="3400"/>
      <c r="Z18" s="1263"/>
      <c r="AA18" s="1263">
        <v>1</v>
      </c>
      <c r="AB18" s="1263">
        <v>1</v>
      </c>
      <c r="AC18" s="1263">
        <v>1</v>
      </c>
    </row>
    <row r="19" spans="1:29" ht="42.75">
      <c r="A19" s="367"/>
      <c r="B19" s="390" t="s">
        <v>1257</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1"/>
      <c r="Q19" s="1262" t="str">
        <f>B19</f>
        <v>公共配套设施</v>
      </c>
      <c r="R19" s="667" t="s">
        <v>18</v>
      </c>
      <c r="S19" s="668">
        <f>F19</f>
        <v>100</v>
      </c>
      <c r="T19" s="667" t="s">
        <v>18</v>
      </c>
      <c r="U19" s="668">
        <f>H19</f>
        <v>100</v>
      </c>
      <c r="V19" s="667" t="s">
        <v>18</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41"/>
      <c r="Q20" s="1262"/>
      <c r="R20" s="667"/>
      <c r="S20" s="668"/>
      <c r="T20" s="667"/>
      <c r="U20" s="668"/>
      <c r="V20" s="667"/>
      <c r="W20" s="668"/>
      <c r="X20" s="1264"/>
      <c r="Y20" s="3400"/>
      <c r="Z20" s="1263"/>
      <c r="AA20" s="1263">
        <v>1</v>
      </c>
      <c r="AB20" s="1263">
        <v>1</v>
      </c>
      <c r="AC20" s="1263">
        <v>1</v>
      </c>
    </row>
    <row r="21" spans="1:29" ht="28.5">
      <c r="A21" s="367"/>
      <c r="B21" s="586" t="s">
        <v>1259</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1"/>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41"/>
      <c r="Q22" s="1262"/>
      <c r="R22" s="667"/>
      <c r="S22" s="668"/>
      <c r="T22" s="667"/>
      <c r="U22" s="668"/>
      <c r="V22" s="667"/>
      <c r="W22" s="668"/>
      <c r="X22" s="1264"/>
      <c r="Y22" s="3400"/>
      <c r="Z22" s="1263"/>
      <c r="AA22" s="1263">
        <v>1</v>
      </c>
      <c r="AB22" s="1263">
        <v>1</v>
      </c>
      <c r="AC22" s="1263">
        <v>1</v>
      </c>
    </row>
    <row r="23" spans="1:29" ht="42.75">
      <c r="A23" s="367"/>
      <c r="B23" s="390" t="s">
        <v>1260</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1"/>
      <c r="Q23" s="1262" t="str">
        <f>B23</f>
        <v>自然及人文环境</v>
      </c>
      <c r="R23" s="667" t="s">
        <v>18</v>
      </c>
      <c r="S23" s="668">
        <f>F23</f>
        <v>100</v>
      </c>
      <c r="T23" s="667" t="s">
        <v>18</v>
      </c>
      <c r="U23" s="668">
        <f>H23</f>
        <v>100</v>
      </c>
      <c r="V23" s="667" t="s">
        <v>18</v>
      </c>
      <c r="W23" s="668">
        <f>J23</f>
        <v>100</v>
      </c>
      <c r="X23" s="1264"/>
      <c r="Y23" s="340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41"/>
      <c r="Q24" s="1262"/>
      <c r="R24" s="667"/>
      <c r="S24" s="668"/>
      <c r="T24" s="667"/>
      <c r="U24" s="668"/>
      <c r="V24" s="667"/>
      <c r="W24" s="668"/>
      <c r="X24" s="1264"/>
      <c r="Y24" s="3400"/>
      <c r="Z24" s="1263"/>
      <c r="AA24" s="1263">
        <v>1</v>
      </c>
      <c r="AB24" s="1263">
        <v>1</v>
      </c>
      <c r="AC24" s="1263">
        <v>1</v>
      </c>
    </row>
    <row r="25" spans="1:29" ht="15">
      <c r="A25" s="367"/>
      <c r="B25" s="364" t="s">
        <v>1688</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4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0"/>
      <c r="Z25" s="1263" t="str">
        <f>Q25</f>
        <v>楼层-1</v>
      </c>
      <c r="AA25" s="1263">
        <f t="shared" ref="AA25:AA46" si="15">D25/F25</f>
        <v>1</v>
      </c>
      <c r="AB25" s="1263">
        <f t="shared" ref="AB25:AB46" si="16">D25/H25</f>
        <v>1</v>
      </c>
      <c r="AC25" s="1263">
        <f t="shared" ref="AC25:AC46" si="17">D25/J25</f>
        <v>1</v>
      </c>
    </row>
    <row r="26" spans="1:29" ht="15">
      <c r="A26" s="367"/>
      <c r="B26" s="364" t="s">
        <v>1689</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41"/>
      <c r="Q26" s="1262" t="str">
        <f t="shared" si="11"/>
        <v>朝向</v>
      </c>
      <c r="R26" s="667" t="s">
        <v>18</v>
      </c>
      <c r="S26" s="668">
        <f t="shared" si="12"/>
        <v>100</v>
      </c>
      <c r="T26" s="667" t="s">
        <v>18</v>
      </c>
      <c r="U26" s="668">
        <f t="shared" si="13"/>
        <v>100</v>
      </c>
      <c r="V26" s="667" t="s">
        <v>18</v>
      </c>
      <c r="W26" s="668">
        <f t="shared" si="14"/>
        <v>100</v>
      </c>
      <c r="X26" s="1264"/>
      <c r="Y26" s="3400"/>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41"/>
      <c r="Q27" s="530">
        <f t="shared" si="11"/>
        <v>111</v>
      </c>
      <c r="R27" s="664" t="s">
        <v>18</v>
      </c>
      <c r="S27" s="665">
        <f t="shared" si="12"/>
        <v>100</v>
      </c>
      <c r="T27" s="664" t="s">
        <v>18</v>
      </c>
      <c r="U27" s="665">
        <f t="shared" si="13"/>
        <v>100</v>
      </c>
      <c r="V27" s="664" t="s">
        <v>18</v>
      </c>
      <c r="W27" s="665">
        <f t="shared" si="14"/>
        <v>100</v>
      </c>
      <c r="X27" s="666"/>
      <c r="Y27" s="3400"/>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41"/>
      <c r="Q28" s="1262">
        <f t="shared" si="11"/>
        <v>111</v>
      </c>
      <c r="R28" s="667" t="s">
        <v>18</v>
      </c>
      <c r="S28" s="668">
        <f t="shared" si="12"/>
        <v>100</v>
      </c>
      <c r="T28" s="667" t="s">
        <v>18</v>
      </c>
      <c r="U28" s="668">
        <f t="shared" si="13"/>
        <v>100</v>
      </c>
      <c r="V28" s="667" t="s">
        <v>18</v>
      </c>
      <c r="W28" s="668">
        <f t="shared" si="14"/>
        <v>100</v>
      </c>
      <c r="X28" s="1264"/>
      <c r="Y28" s="340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41"/>
      <c r="Q29" s="1262">
        <f t="shared" si="11"/>
        <v>111</v>
      </c>
      <c r="R29" s="667" t="s">
        <v>18</v>
      </c>
      <c r="S29" s="668">
        <f t="shared" si="12"/>
        <v>100</v>
      </c>
      <c r="T29" s="667" t="s">
        <v>18</v>
      </c>
      <c r="U29" s="668">
        <f t="shared" si="13"/>
        <v>100</v>
      </c>
      <c r="V29" s="667" t="s">
        <v>18</v>
      </c>
      <c r="W29" s="668">
        <f t="shared" si="14"/>
        <v>100</v>
      </c>
      <c r="X29" s="1264"/>
      <c r="Y29" s="340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41"/>
      <c r="Q30" s="1262">
        <f t="shared" si="11"/>
        <v>111</v>
      </c>
      <c r="R30" s="667" t="s">
        <v>18</v>
      </c>
      <c r="S30" s="668">
        <f t="shared" si="12"/>
        <v>100</v>
      </c>
      <c r="T30" s="667" t="s">
        <v>18</v>
      </c>
      <c r="U30" s="668">
        <f t="shared" si="13"/>
        <v>100</v>
      </c>
      <c r="V30" s="667" t="s">
        <v>18</v>
      </c>
      <c r="W30" s="668">
        <f t="shared" si="14"/>
        <v>100</v>
      </c>
      <c r="X30" s="1264"/>
      <c r="Y30" s="340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41"/>
      <c r="Q31" s="1262">
        <f t="shared" si="11"/>
        <v>111</v>
      </c>
      <c r="R31" s="667" t="s">
        <v>18</v>
      </c>
      <c r="S31" s="668">
        <f t="shared" si="12"/>
        <v>100</v>
      </c>
      <c r="T31" s="667" t="s">
        <v>18</v>
      </c>
      <c r="U31" s="668">
        <f t="shared" si="13"/>
        <v>100</v>
      </c>
      <c r="V31" s="667" t="s">
        <v>18</v>
      </c>
      <c r="W31" s="668">
        <f t="shared" si="14"/>
        <v>100</v>
      </c>
      <c r="X31" s="1264"/>
      <c r="Y31" s="3400"/>
      <c r="Z31" s="1263">
        <f t="shared" si="18"/>
        <v>111</v>
      </c>
      <c r="AA31" s="1263">
        <f t="shared" si="15"/>
        <v>1</v>
      </c>
      <c r="AB31" s="1263">
        <f t="shared" si="16"/>
        <v>1</v>
      </c>
      <c r="AC31" s="1263">
        <f t="shared" si="17"/>
        <v>1</v>
      </c>
    </row>
    <row r="32" spans="1:29" ht="15">
      <c r="A32" s="379" t="s">
        <v>1690</v>
      </c>
      <c r="B32" s="60" t="s">
        <v>1691</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36" t="s">
        <v>1692</v>
      </c>
      <c r="Q32" s="1262" t="str">
        <f t="shared" si="11"/>
        <v>建筑类型</v>
      </c>
      <c r="R32" s="667" t="s">
        <v>18</v>
      </c>
      <c r="S32" s="668">
        <f t="shared" si="12"/>
        <v>100</v>
      </c>
      <c r="T32" s="667" t="s">
        <v>18</v>
      </c>
      <c r="U32" s="668">
        <f t="shared" si="13"/>
        <v>100</v>
      </c>
      <c r="V32" s="667" t="s">
        <v>18</v>
      </c>
      <c r="W32" s="668">
        <f t="shared" si="14"/>
        <v>100</v>
      </c>
      <c r="X32" s="1264"/>
      <c r="Y32" s="3402" t="s">
        <v>1692</v>
      </c>
      <c r="Z32" s="1263" t="str">
        <f t="shared" si="18"/>
        <v>建筑类型</v>
      </c>
      <c r="AA32" s="1263">
        <f t="shared" si="15"/>
        <v>1</v>
      </c>
      <c r="AB32" s="1263">
        <f t="shared" si="16"/>
        <v>1</v>
      </c>
      <c r="AC32" s="1263">
        <f t="shared" si="17"/>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37"/>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3" t="e">
        <f t="shared" si="15"/>
        <v>#N/A</v>
      </c>
      <c r="AB33" s="1263" t="e">
        <f t="shared" si="16"/>
        <v>#N/A</v>
      </c>
      <c r="AC33" s="1263" t="e">
        <f t="shared" si="17"/>
        <v>#N/A</v>
      </c>
    </row>
    <row r="34" spans="1:29" ht="15">
      <c r="A34" s="409"/>
      <c r="B34" s="364" t="s">
        <v>1694</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37"/>
      <c r="Q34" s="1262" t="str">
        <f t="shared" si="11"/>
        <v>建筑结构</v>
      </c>
      <c r="R34" s="667" t="s">
        <v>18</v>
      </c>
      <c r="S34" s="668">
        <f t="shared" si="12"/>
        <v>100</v>
      </c>
      <c r="T34" s="667" t="s">
        <v>18</v>
      </c>
      <c r="U34" s="668">
        <f t="shared" si="13"/>
        <v>100</v>
      </c>
      <c r="V34" s="667" t="s">
        <v>18</v>
      </c>
      <c r="W34" s="668">
        <f t="shared" si="14"/>
        <v>100</v>
      </c>
      <c r="X34" s="1264"/>
      <c r="Y34" s="3402"/>
      <c r="Z34" s="1263" t="str">
        <f t="shared" si="18"/>
        <v>建筑结构</v>
      </c>
      <c r="AA34" s="1263">
        <f t="shared" si="15"/>
        <v>1</v>
      </c>
      <c r="AB34" s="1263">
        <f t="shared" si="16"/>
        <v>1</v>
      </c>
      <c r="AC34" s="1263">
        <f t="shared" si="17"/>
        <v>1</v>
      </c>
    </row>
    <row r="35" spans="1:29" ht="15">
      <c r="A35" s="409"/>
      <c r="B35" s="364" t="s">
        <v>1695</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37"/>
      <c r="Q35" s="1262" t="str">
        <f t="shared" si="11"/>
        <v>建筑品质</v>
      </c>
      <c r="R35" s="667" t="s">
        <v>18</v>
      </c>
      <c r="S35" s="668">
        <f t="shared" si="12"/>
        <v>100</v>
      </c>
      <c r="T35" s="667" t="s">
        <v>18</v>
      </c>
      <c r="U35" s="668">
        <f t="shared" si="13"/>
        <v>100</v>
      </c>
      <c r="V35" s="667" t="s">
        <v>18</v>
      </c>
      <c r="W35" s="668">
        <f t="shared" si="14"/>
        <v>100</v>
      </c>
      <c r="X35" s="1264"/>
      <c r="Y35" s="3402"/>
      <c r="Z35" s="1263" t="str">
        <f t="shared" si="18"/>
        <v>建筑品质</v>
      </c>
      <c r="AA35" s="1263">
        <f t="shared" si="15"/>
        <v>1</v>
      </c>
      <c r="AB35" s="1263">
        <f t="shared" si="16"/>
        <v>1</v>
      </c>
      <c r="AC35" s="1263">
        <f t="shared" si="17"/>
        <v>1</v>
      </c>
    </row>
    <row r="36" spans="1:29" ht="15">
      <c r="A36" s="409"/>
      <c r="B36" s="364" t="s">
        <v>1696</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37"/>
      <c r="Q36" s="1262" t="str">
        <f t="shared" si="11"/>
        <v>公共部分装修</v>
      </c>
      <c r="R36" s="667" t="s">
        <v>18</v>
      </c>
      <c r="S36" s="668">
        <f t="shared" si="12"/>
        <v>100</v>
      </c>
      <c r="T36" s="667" t="s">
        <v>18</v>
      </c>
      <c r="U36" s="668">
        <f t="shared" si="13"/>
        <v>100</v>
      </c>
      <c r="V36" s="667" t="s">
        <v>18</v>
      </c>
      <c r="W36" s="668">
        <f t="shared" si="14"/>
        <v>100</v>
      </c>
      <c r="X36" s="1264"/>
      <c r="Y36" s="3402"/>
      <c r="Z36" s="1263" t="str">
        <f t="shared" si="18"/>
        <v>公共部分装修</v>
      </c>
      <c r="AA36" s="1263">
        <f t="shared" si="15"/>
        <v>1</v>
      </c>
      <c r="AB36" s="1263">
        <f t="shared" si="16"/>
        <v>1</v>
      </c>
      <c r="AC36" s="1263">
        <f t="shared" si="17"/>
        <v>1</v>
      </c>
    </row>
    <row r="37" spans="1:29" s="102" customFormat="1" ht="15">
      <c r="A37" s="410"/>
      <c r="B37" s="364" t="s">
        <v>1697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37"/>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1698</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37" t="s">
        <v>1692</v>
      </c>
      <c r="Q38" s="1262" t="str">
        <f t="shared" si="11"/>
        <v>物业管理</v>
      </c>
      <c r="R38" s="667" t="s">
        <v>18</v>
      </c>
      <c r="S38" s="668">
        <f t="shared" si="12"/>
        <v>100</v>
      </c>
      <c r="T38" s="667" t="s">
        <v>18</v>
      </c>
      <c r="U38" s="668">
        <f t="shared" si="13"/>
        <v>100</v>
      </c>
      <c r="V38" s="667" t="s">
        <v>18</v>
      </c>
      <c r="W38" s="668">
        <f t="shared" si="14"/>
        <v>100</v>
      </c>
      <c r="X38" s="1264"/>
      <c r="Y38" s="3402" t="s">
        <v>1692</v>
      </c>
      <c r="Z38" s="1263" t="str">
        <f t="shared" si="18"/>
        <v>物业管理</v>
      </c>
      <c r="AA38" s="1263">
        <f t="shared" si="15"/>
        <v>1</v>
      </c>
      <c r="AB38" s="1263">
        <f t="shared" si="16"/>
        <v>1</v>
      </c>
      <c r="AC38" s="1263">
        <f t="shared" si="17"/>
        <v>1</v>
      </c>
    </row>
    <row r="39" spans="1:29" ht="15">
      <c r="A39" s="409"/>
      <c r="B39" s="364" t="s">
        <v>1699</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37"/>
      <c r="Q39" s="1262" t="str">
        <f t="shared" si="11"/>
        <v>市政基础设施</v>
      </c>
      <c r="R39" s="667" t="s">
        <v>18</v>
      </c>
      <c r="S39" s="668">
        <f t="shared" si="12"/>
        <v>100</v>
      </c>
      <c r="T39" s="667" t="s">
        <v>18</v>
      </c>
      <c r="U39" s="668">
        <f t="shared" si="13"/>
        <v>100</v>
      </c>
      <c r="V39" s="667" t="s">
        <v>18</v>
      </c>
      <c r="W39" s="668">
        <f t="shared" si="14"/>
        <v>100</v>
      </c>
      <c r="X39" s="1264"/>
      <c r="Y39" s="3402"/>
      <c r="Z39" s="1263" t="str">
        <f t="shared" si="18"/>
        <v>市政基础设施</v>
      </c>
      <c r="AA39" s="1263">
        <f t="shared" si="15"/>
        <v>1</v>
      </c>
      <c r="AB39" s="1263">
        <f t="shared" si="16"/>
        <v>1</v>
      </c>
      <c r="AC39" s="1263">
        <f t="shared" si="17"/>
        <v>1</v>
      </c>
    </row>
    <row r="40" spans="1:29" ht="15">
      <c r="A40" s="409"/>
      <c r="B40" s="364" t="s">
        <v>1700</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37"/>
      <c r="Q40" s="1262" t="str">
        <f t="shared" si="11"/>
        <v>房型</v>
      </c>
      <c r="R40" s="667" t="s">
        <v>18</v>
      </c>
      <c r="S40" s="668">
        <f t="shared" si="12"/>
        <v>100</v>
      </c>
      <c r="T40" s="667" t="s">
        <v>18</v>
      </c>
      <c r="U40" s="668">
        <f t="shared" si="13"/>
        <v>100</v>
      </c>
      <c r="V40" s="667" t="s">
        <v>18</v>
      </c>
      <c r="W40" s="668">
        <f t="shared" si="14"/>
        <v>100</v>
      </c>
      <c r="X40" s="1264"/>
      <c r="Y40" s="3402"/>
      <c r="Z40" s="1263" t="str">
        <f t="shared" si="18"/>
        <v>房型</v>
      </c>
      <c r="AA40" s="1263">
        <f t="shared" si="15"/>
        <v>1</v>
      </c>
      <c r="AB40" s="1263">
        <f t="shared" si="16"/>
        <v>1</v>
      </c>
      <c r="AC40" s="1263">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37"/>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3">
        <f t="shared" si="15"/>
        <v>1</v>
      </c>
      <c r="AB41" s="1263">
        <f t="shared" si="16"/>
        <v>1</v>
      </c>
      <c r="AC41" s="1263">
        <f t="shared" si="17"/>
        <v>1</v>
      </c>
    </row>
    <row r="42" spans="1:29" ht="15">
      <c r="A42" s="409"/>
      <c r="B42" s="364" t="s">
        <v>1702</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37"/>
      <c r="Q42" s="1262" t="str">
        <f t="shared" si="11"/>
        <v>内部装修</v>
      </c>
      <c r="R42" s="667" t="s">
        <v>18</v>
      </c>
      <c r="S42" s="668">
        <f t="shared" si="12"/>
        <v>100</v>
      </c>
      <c r="T42" s="667" t="s">
        <v>18</v>
      </c>
      <c r="U42" s="668">
        <f t="shared" si="13"/>
        <v>100</v>
      </c>
      <c r="V42" s="667" t="s">
        <v>18</v>
      </c>
      <c r="W42" s="668">
        <f t="shared" si="14"/>
        <v>100</v>
      </c>
      <c r="X42" s="1264"/>
      <c r="Y42" s="3402"/>
      <c r="Z42" s="1263" t="str">
        <f t="shared" si="18"/>
        <v>内部装修</v>
      </c>
      <c r="AA42" s="1263">
        <f t="shared" si="15"/>
        <v>1</v>
      </c>
      <c r="AB42" s="1263">
        <f t="shared" si="16"/>
        <v>1</v>
      </c>
      <c r="AC42" s="1263">
        <f t="shared" si="17"/>
        <v>1</v>
      </c>
    </row>
    <row r="43" spans="1:29" ht="15">
      <c r="A43" s="409"/>
      <c r="B43" s="364" t="s">
        <v>1703</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37"/>
      <c r="Q43" s="1262" t="str">
        <f t="shared" si="11"/>
        <v>内部装修维护情况</v>
      </c>
      <c r="R43" s="667" t="s">
        <v>18</v>
      </c>
      <c r="S43" s="668">
        <f t="shared" si="12"/>
        <v>100</v>
      </c>
      <c r="T43" s="667" t="s">
        <v>18</v>
      </c>
      <c r="U43" s="668">
        <f t="shared" si="13"/>
        <v>100</v>
      </c>
      <c r="V43" s="667" t="s">
        <v>18</v>
      </c>
      <c r="W43" s="668">
        <f t="shared" si="14"/>
        <v>100</v>
      </c>
      <c r="X43" s="1264"/>
      <c r="Y43" s="3402"/>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37"/>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37"/>
      <c r="Q45" s="1262">
        <f t="shared" si="11"/>
        <v>111</v>
      </c>
      <c r="R45" s="667" t="s">
        <v>18</v>
      </c>
      <c r="S45" s="668">
        <f t="shared" si="12"/>
        <v>100</v>
      </c>
      <c r="T45" s="667" t="s">
        <v>18</v>
      </c>
      <c r="U45" s="668">
        <f t="shared" si="13"/>
        <v>100</v>
      </c>
      <c r="V45" s="667" t="s">
        <v>18</v>
      </c>
      <c r="W45" s="668">
        <f t="shared" si="14"/>
        <v>100</v>
      </c>
      <c r="X45" s="1264"/>
      <c r="Y45" s="340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8"/>
      <c r="Q46" s="1262">
        <f t="shared" si="11"/>
        <v>111</v>
      </c>
      <c r="R46" s="667" t="s">
        <v>17</v>
      </c>
      <c r="S46" s="668">
        <f t="shared" si="12"/>
        <v>100</v>
      </c>
      <c r="T46" s="667" t="s">
        <v>17</v>
      </c>
      <c r="U46" s="668">
        <f t="shared" si="13"/>
        <v>100</v>
      </c>
      <c r="V46" s="667" t="s">
        <v>17</v>
      </c>
      <c r="W46" s="668">
        <f t="shared" si="14"/>
        <v>100</v>
      </c>
      <c r="X46" s="1264"/>
      <c r="Y46" s="3439"/>
      <c r="Z46" s="1263">
        <f t="shared" si="18"/>
        <v>111</v>
      </c>
      <c r="AA46" s="1263">
        <f t="shared" si="15"/>
        <v>1</v>
      </c>
      <c r="AB46" s="1263">
        <f t="shared" si="16"/>
        <v>1</v>
      </c>
      <c r="AC46" s="1263">
        <f t="shared" si="17"/>
        <v>1</v>
      </c>
    </row>
    <row r="47" spans="1:29" ht="15">
      <c r="A47" s="416" t="s">
        <v>1704</v>
      </c>
      <c r="B47" s="417"/>
      <c r="C47" s="1081" t="s">
        <v>16</v>
      </c>
      <c r="D47" s="418"/>
      <c r="E47" s="419"/>
      <c r="F47" s="420"/>
      <c r="G47" s="421"/>
      <c r="H47" s="422"/>
      <c r="I47" s="419"/>
      <c r="J47" s="422"/>
      <c r="K47" s="1766"/>
      <c r="L47" s="2494"/>
      <c r="M47" s="2487"/>
      <c r="N47" s="2487"/>
      <c r="O47" s="2487"/>
      <c r="P47" s="3384" t="str">
        <f>A47</f>
        <v>成交单价（元/平方米）</v>
      </c>
      <c r="Q47" s="3384"/>
      <c r="R47" s="3397">
        <f>E47</f>
        <v>0</v>
      </c>
      <c r="S47" s="3397"/>
      <c r="T47" s="3397">
        <f>G47</f>
        <v>0</v>
      </c>
      <c r="U47" s="3397"/>
      <c r="V47" s="3397">
        <f>I47</f>
        <v>0</v>
      </c>
      <c r="W47" s="3397"/>
      <c r="X47" s="385"/>
      <c r="Y47" s="673"/>
      <c r="Z47" s="385"/>
      <c r="AA47" s="385"/>
      <c r="AB47" s="385"/>
      <c r="AC47" s="385"/>
    </row>
    <row r="48" spans="1:29" ht="15.75" thickBot="1">
      <c r="A48" s="423" t="s">
        <v>1705</v>
      </c>
      <c r="B48" s="424"/>
      <c r="C48" s="1082" t="e">
        <f>R49</f>
        <v>#DIV/0!</v>
      </c>
      <c r="D48" s="2140" t="s">
        <v>2133</v>
      </c>
      <c r="E48" s="1083" t="e">
        <f>R48</f>
        <v>#DIV/0!</v>
      </c>
      <c r="F48" s="2141"/>
      <c r="G48" s="1082" t="e">
        <f>T48</f>
        <v>#DIV/0!</v>
      </c>
      <c r="H48" s="2141"/>
      <c r="I48" s="1083" t="e">
        <f>V48</f>
        <v>#DIV/0!</v>
      </c>
      <c r="J48" s="2141"/>
      <c r="K48" s="2142">
        <f>F48+H48+J48</f>
        <v>0</v>
      </c>
      <c r="L48" s="2494"/>
      <c r="M48" s="2487"/>
      <c r="N48" s="2487"/>
      <c r="O48" s="2487"/>
      <c r="P48" s="3384" t="str">
        <f>A48</f>
        <v>比较价值（元/平方米）</v>
      </c>
      <c r="Q48" s="3384"/>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1706</v>
      </c>
      <c r="B49" s="428"/>
      <c r="C49" s="1084" t="e">
        <f>R49</f>
        <v>#DIV/0!</v>
      </c>
      <c r="D49" s="351"/>
      <c r="E49" s="351"/>
      <c r="F49" s="351"/>
      <c r="G49" s="351"/>
      <c r="H49" s="351"/>
      <c r="I49" s="351"/>
      <c r="J49" s="351"/>
      <c r="K49" s="1767"/>
      <c r="L49" s="2494"/>
      <c r="M49" s="2487"/>
      <c r="N49" s="2487"/>
      <c r="O49" s="2487"/>
      <c r="P49" s="3404" t="str">
        <f>A49</f>
        <v>估价对象XX用房的比较价值（楼面单价，元/平方米）</v>
      </c>
      <c r="Q49" s="3405"/>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1709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1710</v>
      </c>
      <c r="B57" s="385"/>
      <c r="C57" s="659"/>
      <c r="D57" s="659"/>
      <c r="E57" s="659"/>
      <c r="F57" s="660"/>
      <c r="G57" s="660"/>
      <c r="H57" s="659"/>
      <c r="I57" s="659"/>
      <c r="J57" s="659"/>
      <c r="K57" s="887"/>
      <c r="L57" s="888"/>
      <c r="M57" s="886"/>
      <c r="N57" s="886"/>
      <c r="O57" s="886"/>
      <c r="P57" s="1770"/>
      <c r="Q57" s="439"/>
    </row>
    <row r="58" spans="1:29" s="442" customFormat="1" ht="15">
      <c r="A58" s="440" t="s">
        <v>1711</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1712</v>
      </c>
      <c r="B60" s="450"/>
      <c r="C60" s="451"/>
      <c r="D60" s="452"/>
      <c r="E60" s="452"/>
      <c r="F60" s="452"/>
      <c r="G60" s="452"/>
      <c r="H60" s="452"/>
      <c r="I60" s="452"/>
      <c r="J60" s="452"/>
      <c r="K60" s="452"/>
      <c r="L60" s="452"/>
      <c r="M60" s="453"/>
      <c r="N60" s="452"/>
      <c r="O60" s="453"/>
      <c r="P60" s="1772"/>
      <c r="Q60" s="439"/>
    </row>
    <row r="61" spans="1:29" s="102" customFormat="1" ht="15">
      <c r="A61" s="455" t="s">
        <v>1713</v>
      </c>
      <c r="B61" s="444"/>
      <c r="C61" s="456" t="s">
        <v>1714</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1715</v>
      </c>
      <c r="B63" s="460" t="s">
        <v>1681</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1684</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1259</v>
      </c>
      <c r="C82" s="470" t="s">
        <v>1724</v>
      </c>
      <c r="D82" s="470" t="s">
        <v>1725</v>
      </c>
      <c r="E82" s="470" t="s">
        <v>1726</v>
      </c>
      <c r="F82" s="470" t="s">
        <v>1727</v>
      </c>
      <c r="G82" s="470" t="s">
        <v>1728</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1730</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1731</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1690</v>
      </c>
      <c r="B100" s="460" t="s">
        <v>1732</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1734</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1735</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1736</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1737</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1738</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1739</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1740</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1742</v>
      </c>
    </row>
    <row r="137" spans="1:17" ht="15">
      <c r="B137" s="1781" t="s">
        <v>1743</v>
      </c>
      <c r="C137" s="1782"/>
      <c r="D137" s="1782"/>
      <c r="E137" s="1782"/>
      <c r="F137" s="1782"/>
      <c r="G137" s="1783"/>
      <c r="H137" s="1784"/>
      <c r="I137" s="1785" t="s">
        <v>1744</v>
      </c>
      <c r="J137" s="1782"/>
      <c r="K137" s="1786"/>
    </row>
    <row r="138" spans="1:17" ht="15">
      <c r="B138" s="1787"/>
      <c r="C138" s="129" t="s">
        <v>1745</v>
      </c>
      <c r="D138" s="129" t="s">
        <v>1746</v>
      </c>
      <c r="E138" s="1788" t="s">
        <v>1747</v>
      </c>
      <c r="F138" s="1789" t="s">
        <v>1748</v>
      </c>
      <c r="G138" s="129" t="s">
        <v>1746</v>
      </c>
      <c r="H138" s="130" t="s">
        <v>1747</v>
      </c>
      <c r="I138" s="1790"/>
      <c r="J138" s="129" t="s">
        <v>1749</v>
      </c>
      <c r="K138" s="130" t="s">
        <v>1750</v>
      </c>
    </row>
    <row r="139" spans="1:17" ht="15">
      <c r="B139" s="814">
        <v>6</v>
      </c>
      <c r="C139" s="815">
        <v>96</v>
      </c>
      <c r="D139" s="1791" t="s">
        <v>1751</v>
      </c>
      <c r="E139" s="816">
        <v>100</v>
      </c>
      <c r="F139" s="817">
        <v>102.5</v>
      </c>
      <c r="G139" s="1791" t="s">
        <v>1751</v>
      </c>
      <c r="H139" s="818">
        <v>105</v>
      </c>
      <c r="I139" s="1792" t="s">
        <v>1752</v>
      </c>
      <c r="J139" s="815">
        <v>20</v>
      </c>
      <c r="K139" s="819">
        <f>C145/(J139-2)</f>
        <v>4.0555555555555553E-3</v>
      </c>
    </row>
    <row r="140" spans="1:17" ht="15">
      <c r="B140" s="820">
        <v>5</v>
      </c>
      <c r="C140" s="821">
        <v>100</v>
      </c>
      <c r="D140" s="821"/>
      <c r="E140" s="822"/>
      <c r="F140" s="823">
        <v>102</v>
      </c>
      <c r="G140" s="821"/>
      <c r="H140" s="824"/>
      <c r="I140" s="1793" t="s">
        <v>1753</v>
      </c>
      <c r="J140" s="263">
        <f>ROUNDUP((J139-1)/2,0)</f>
        <v>10</v>
      </c>
      <c r="K140" s="825">
        <v>100</v>
      </c>
    </row>
    <row r="141" spans="1:17" ht="15">
      <c r="B141" s="820">
        <v>4</v>
      </c>
      <c r="C141" s="821">
        <v>102</v>
      </c>
      <c r="D141" s="821"/>
      <c r="E141" s="822"/>
      <c r="F141" s="823">
        <v>101.5</v>
      </c>
      <c r="G141" s="821"/>
      <c r="H141" s="824"/>
      <c r="I141" s="1793" t="s">
        <v>1754</v>
      </c>
      <c r="J141" s="263">
        <v>1</v>
      </c>
      <c r="K141" s="826">
        <f>ROUND(100+(J141-J140)*K139*100,1)</f>
        <v>96.4</v>
      </c>
    </row>
    <row r="142" spans="1:17" ht="15">
      <c r="B142" s="820">
        <v>3</v>
      </c>
      <c r="C142" s="821">
        <v>103</v>
      </c>
      <c r="D142" s="821"/>
      <c r="E142" s="822"/>
      <c r="F142" s="823">
        <v>101</v>
      </c>
      <c r="G142" s="821"/>
      <c r="H142" s="824"/>
      <c r="I142" s="1793" t="s">
        <v>1755</v>
      </c>
      <c r="J142" s="263">
        <f>J139</f>
        <v>20</v>
      </c>
      <c r="K142" s="827">
        <v>95</v>
      </c>
    </row>
    <row r="143" spans="1:17" ht="15">
      <c r="B143" s="820">
        <v>2</v>
      </c>
      <c r="C143" s="821">
        <v>100</v>
      </c>
      <c r="D143" s="821"/>
      <c r="E143" s="822"/>
      <c r="F143" s="823">
        <v>100.5</v>
      </c>
      <c r="G143" s="821"/>
      <c r="H143" s="824"/>
      <c r="I143" s="1793" t="s">
        <v>1756</v>
      </c>
      <c r="J143" s="821">
        <v>15</v>
      </c>
      <c r="K143" s="826">
        <f>ROUND(100+(J143-J140)*K139*100,1)</f>
        <v>102</v>
      </c>
    </row>
    <row r="144" spans="1:17" ht="15">
      <c r="B144" s="820">
        <v>1</v>
      </c>
      <c r="C144" s="821">
        <v>98</v>
      </c>
      <c r="D144" s="1794" t="s">
        <v>1757</v>
      </c>
      <c r="E144" s="822">
        <v>102</v>
      </c>
      <c r="F144" s="828">
        <v>100</v>
      </c>
      <c r="G144" s="1794" t="s">
        <v>1757</v>
      </c>
      <c r="H144" s="824">
        <v>105</v>
      </c>
      <c r="I144" s="1793" t="s">
        <v>1756</v>
      </c>
      <c r="J144" s="821">
        <v>18</v>
      </c>
      <c r="K144" s="826">
        <f>ROUND(100+(J144-J140)*K139*100,1)</f>
        <v>103.2</v>
      </c>
    </row>
    <row r="145" spans="2:11" ht="15.75" thickBot="1">
      <c r="B145" s="1795" t="s">
        <v>1758</v>
      </c>
      <c r="C145" s="829">
        <f>ROUND(MAX(C139:C144)/MIN(C139:C144)-1,3)</f>
        <v>7.2999999999999995E-2</v>
      </c>
      <c r="D145" s="830"/>
      <c r="E145" s="830"/>
      <c r="F145" s="1796" t="s">
        <v>1759</v>
      </c>
      <c r="G145" s="1797"/>
      <c r="H145" s="1798"/>
      <c r="I145" s="1799" t="s">
        <v>1756</v>
      </c>
      <c r="J145" s="831">
        <v>8</v>
      </c>
      <c r="K145" s="832">
        <f>ROUND(100+(J145-J140)*K139*100,1)</f>
        <v>99.2</v>
      </c>
    </row>
    <row r="147" spans="2:11">
      <c r="B147" s="1780" t="s">
        <v>1760</v>
      </c>
    </row>
    <row r="148" spans="2:11">
      <c r="B148" s="1780"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1656</v>
      </c>
      <c r="B1" s="1733" t="s">
        <v>1762</v>
      </c>
      <c r="C1" s="1154" t="s">
        <v>1658</v>
      </c>
      <c r="D1" s="1141"/>
      <c r="E1" s="3124"/>
      <c r="F1" s="1734"/>
      <c r="G1" s="1151" t="s">
        <v>1763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1458</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1459</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1460</v>
      </c>
      <c r="B3" s="536">
        <f>IF(C2="——",C49,ROUND(B2*10000/D3,0))</f>
        <v>0</v>
      </c>
      <c r="C3" s="344" t="s">
        <v>1764</v>
      </c>
      <c r="D3" s="343">
        <f>IF(D1="",'数据-汇总表'!E3,SUMIF('数据-汇总表'!$C19:$C33,D1,'数据-汇总表'!$E19:$E33))</f>
        <v>68049.77999999997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389" t="s">
        <v>1771</v>
      </c>
      <c r="Q4" s="3390"/>
      <c r="R4" s="3372" t="s">
        <v>1767</v>
      </c>
      <c r="S4" s="3373"/>
      <c r="T4" s="3372" t="s">
        <v>1768</v>
      </c>
      <c r="U4" s="3373"/>
      <c r="V4" s="3397" t="s">
        <v>1769</v>
      </c>
      <c r="W4" s="3397"/>
      <c r="X4" s="1264"/>
      <c r="Y4" s="3372" t="s">
        <v>1771</v>
      </c>
      <c r="Z4" s="3373"/>
      <c r="AA4" s="3367" t="s">
        <v>1767</v>
      </c>
      <c r="AB4" s="3397" t="s">
        <v>1768</v>
      </c>
      <c r="AC4" s="3367" t="s">
        <v>1769</v>
      </c>
    </row>
    <row r="5" spans="1:29" ht="15">
      <c r="A5" s="348"/>
      <c r="B5" s="349"/>
      <c r="C5" s="3378" t="s">
        <v>1669</v>
      </c>
      <c r="D5" s="3379"/>
      <c r="E5" s="3376" t="s">
        <v>1670</v>
      </c>
      <c r="F5" s="3377"/>
      <c r="G5" s="3378" t="s">
        <v>1671</v>
      </c>
      <c r="H5" s="3379"/>
      <c r="I5" s="3378" t="s">
        <v>1672</v>
      </c>
      <c r="J5" s="3379"/>
      <c r="K5" s="537"/>
      <c r="L5" s="2486"/>
      <c r="M5" s="2487"/>
      <c r="N5" s="2487"/>
      <c r="O5" s="2487"/>
      <c r="P5" s="3391"/>
      <c r="Q5" s="3392"/>
      <c r="R5" s="3374"/>
      <c r="S5" s="3375"/>
      <c r="T5" s="3374"/>
      <c r="U5" s="3375"/>
      <c r="V5" s="3397"/>
      <c r="W5" s="3397"/>
      <c r="X5" s="1264"/>
      <c r="Y5" s="3374"/>
      <c r="Z5" s="3375"/>
      <c r="AA5" s="3368"/>
      <c r="AB5" s="3397"/>
      <c r="AC5" s="3368"/>
    </row>
    <row r="6" spans="1:29" ht="15.75" thickBot="1">
      <c r="A6" s="350"/>
      <c r="B6" s="351"/>
      <c r="C6" s="3380" t="s">
        <v>1673</v>
      </c>
      <c r="D6" s="3381"/>
      <c r="E6" s="3382" t="s">
        <v>1673</v>
      </c>
      <c r="F6" s="3383"/>
      <c r="G6" s="3380" t="s">
        <v>1673</v>
      </c>
      <c r="H6" s="3381"/>
      <c r="I6" s="3380" t="s">
        <v>1673</v>
      </c>
      <c r="J6" s="3381"/>
      <c r="K6" s="537" t="s">
        <v>1674</v>
      </c>
      <c r="L6" s="2486"/>
      <c r="M6" s="2487"/>
      <c r="N6" s="2487"/>
      <c r="O6" s="2487"/>
      <c r="P6" s="3393"/>
      <c r="Q6" s="3394"/>
      <c r="R6" s="3374"/>
      <c r="S6" s="3375"/>
      <c r="T6" s="3395"/>
      <c r="U6" s="3396"/>
      <c r="V6" s="3397"/>
      <c r="W6" s="3397"/>
      <c r="X6" s="1264"/>
      <c r="Y6" s="3395"/>
      <c r="Z6" s="3396"/>
      <c r="AA6" s="3369"/>
      <c r="AB6" s="3397"/>
      <c r="AC6" s="3369"/>
    </row>
    <row r="7" spans="1:29" s="102" customFormat="1" ht="15.75" thickBot="1">
      <c r="A7" s="352" t="s">
        <v>1675</v>
      </c>
      <c r="B7" s="353"/>
      <c r="C7" s="354">
        <f>'数据-取费表'!B2</f>
        <v>45604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0" t="s">
        <v>1676</v>
      </c>
      <c r="Q7" s="3398"/>
      <c r="R7" s="664" t="s">
        <v>14</v>
      </c>
      <c r="S7" s="665">
        <f t="shared" ref="S7:S15" si="0">F7</f>
        <v>0</v>
      </c>
      <c r="T7" s="664" t="s">
        <v>14</v>
      </c>
      <c r="U7" s="665">
        <f t="shared" ref="U7:U15" si="1">H7</f>
        <v>0</v>
      </c>
      <c r="V7" s="664" t="s">
        <v>14</v>
      </c>
      <c r="W7" s="665">
        <f t="shared" ref="W7:W15" si="2">J7</f>
        <v>0</v>
      </c>
      <c r="X7" s="666"/>
      <c r="Y7" s="3370" t="s">
        <v>1676</v>
      </c>
      <c r="Z7" s="3371"/>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0" t="s">
        <v>1679</v>
      </c>
      <c r="Q8" s="3371"/>
      <c r="R8" s="664" t="s">
        <v>14</v>
      </c>
      <c r="S8" s="665">
        <f t="shared" si="0"/>
        <v>100</v>
      </c>
      <c r="T8" s="664" t="s">
        <v>14</v>
      </c>
      <c r="U8" s="665">
        <f t="shared" si="1"/>
        <v>100</v>
      </c>
      <c r="V8" s="664" t="s">
        <v>14</v>
      </c>
      <c r="W8" s="665">
        <f t="shared" si="2"/>
        <v>100</v>
      </c>
      <c r="X8" s="666"/>
      <c r="Y8" s="3370" t="s">
        <v>1679</v>
      </c>
      <c r="Z8" s="3371"/>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8"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8"/>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1686</v>
      </c>
      <c r="B15" s="58" t="s">
        <v>1773</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0" t="s">
        <v>1687</v>
      </c>
      <c r="Q15" s="1262" t="str">
        <f t="shared" si="6"/>
        <v>商业繁华度</v>
      </c>
      <c r="R15" s="667" t="s">
        <v>14</v>
      </c>
      <c r="S15" s="668">
        <f t="shared" si="0"/>
        <v>100</v>
      </c>
      <c r="T15" s="667" t="s">
        <v>14</v>
      </c>
      <c r="U15" s="668">
        <f t="shared" si="1"/>
        <v>100</v>
      </c>
      <c r="V15" s="667" t="s">
        <v>14</v>
      </c>
      <c r="W15" s="668">
        <f t="shared" si="2"/>
        <v>100</v>
      </c>
      <c r="X15" s="1264"/>
      <c r="Y15" s="3399" t="s">
        <v>1687</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41"/>
      <c r="Q16" s="1262"/>
      <c r="R16" s="667"/>
      <c r="S16" s="668"/>
      <c r="T16" s="667"/>
      <c r="U16" s="668"/>
      <c r="V16" s="667"/>
      <c r="W16" s="668"/>
      <c r="X16" s="1264"/>
      <c r="Y16" s="3400"/>
      <c r="Z16" s="1263"/>
      <c r="AA16" s="1263">
        <v>1</v>
      </c>
      <c r="AB16" s="1263">
        <v>1</v>
      </c>
      <c r="AC16" s="1263">
        <v>1</v>
      </c>
    </row>
    <row r="17" spans="1:29" ht="85.5">
      <c r="A17" s="367"/>
      <c r="B17" s="390" t="s">
        <v>1258</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1"/>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41"/>
      <c r="Q18" s="1262"/>
      <c r="R18" s="667"/>
      <c r="S18" s="668"/>
      <c r="T18" s="667"/>
      <c r="U18" s="668"/>
      <c r="V18" s="667"/>
      <c r="W18" s="668"/>
      <c r="X18" s="1264"/>
      <c r="Y18" s="3400"/>
      <c r="Z18" s="1263"/>
      <c r="AA18" s="1263">
        <v>1</v>
      </c>
      <c r="AB18" s="1263">
        <v>1</v>
      </c>
      <c r="AC18" s="1263">
        <v>1</v>
      </c>
    </row>
    <row r="19" spans="1:29" ht="42.75">
      <c r="A19" s="367"/>
      <c r="B19" s="390" t="s">
        <v>1774</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1"/>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41"/>
      <c r="Q20" s="1262"/>
      <c r="R20" s="667"/>
      <c r="S20" s="668"/>
      <c r="T20" s="667"/>
      <c r="U20" s="668"/>
      <c r="V20" s="667"/>
      <c r="W20" s="668"/>
      <c r="X20" s="1264"/>
      <c r="Y20" s="3400"/>
      <c r="Z20" s="1263"/>
      <c r="AA20" s="1263">
        <v>1</v>
      </c>
      <c r="AB20" s="1263">
        <v>1</v>
      </c>
      <c r="AC20" s="1263">
        <v>1</v>
      </c>
    </row>
    <row r="21" spans="1:29" ht="28.5">
      <c r="A21" s="367"/>
      <c r="B21" s="586" t="s">
        <v>1775</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1"/>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41"/>
      <c r="Q22" s="1262"/>
      <c r="R22" s="667"/>
      <c r="S22" s="668"/>
      <c r="T22" s="667"/>
      <c r="U22" s="668"/>
      <c r="V22" s="667"/>
      <c r="W22" s="668"/>
      <c r="X22" s="1264"/>
      <c r="Y22" s="3400"/>
      <c r="Z22" s="1263"/>
      <c r="AA22" s="1263">
        <v>1</v>
      </c>
      <c r="AB22" s="1263">
        <v>1</v>
      </c>
      <c r="AC22" s="1263">
        <v>1</v>
      </c>
    </row>
    <row r="23" spans="1:29" ht="57">
      <c r="A23" s="367"/>
      <c r="B23" s="390" t="s">
        <v>1260</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1"/>
      <c r="Q23" s="1262" t="str">
        <f>B23</f>
        <v>自然及人文环境</v>
      </c>
      <c r="R23" s="667" t="s">
        <v>14</v>
      </c>
      <c r="S23" s="668">
        <f>F23</f>
        <v>100</v>
      </c>
      <c r="T23" s="667" t="s">
        <v>14</v>
      </c>
      <c r="U23" s="668">
        <f>H23</f>
        <v>100</v>
      </c>
      <c r="V23" s="667" t="s">
        <v>14</v>
      </c>
      <c r="W23" s="668">
        <f>J23</f>
        <v>100</v>
      </c>
      <c r="X23" s="1264"/>
      <c r="Y23" s="340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41"/>
      <c r="Q24" s="1262"/>
      <c r="R24" s="667"/>
      <c r="S24" s="668"/>
      <c r="T24" s="667"/>
      <c r="U24" s="668"/>
      <c r="V24" s="667"/>
      <c r="W24" s="668"/>
      <c r="X24" s="1264"/>
      <c r="Y24" s="3400"/>
      <c r="Z24" s="1263"/>
      <c r="AA24" s="1263">
        <v>1</v>
      </c>
      <c r="AB24" s="1263">
        <v>1</v>
      </c>
      <c r="AC24" s="1263">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1"/>
      <c r="Q25" s="1262" t="str">
        <f t="shared" ref="Q25:Q46" si="11">B25</f>
        <v>临街状况</v>
      </c>
      <c r="R25" s="667" t="s">
        <v>14</v>
      </c>
      <c r="S25" s="668">
        <f>F25</f>
        <v>100</v>
      </c>
      <c r="T25" s="667" t="s">
        <v>14</v>
      </c>
      <c r="U25" s="668">
        <f>H25</f>
        <v>100</v>
      </c>
      <c r="V25" s="667" t="s">
        <v>14</v>
      </c>
      <c r="W25" s="668">
        <f>J25</f>
        <v>100</v>
      </c>
      <c r="X25" s="1264"/>
      <c r="Y25" s="3400"/>
      <c r="Z25" s="1263" t="str">
        <f>Q25</f>
        <v>临街状况</v>
      </c>
      <c r="AA25" s="1263">
        <f t="shared" si="3"/>
        <v>1</v>
      </c>
      <c r="AB25" s="1263">
        <f t="shared" si="4"/>
        <v>1</v>
      </c>
      <c r="AC25" s="1263">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1"/>
      <c r="Q26" s="1262" t="str">
        <f t="shared" si="11"/>
        <v>平面位置/可视性</v>
      </c>
      <c r="R26" s="667" t="s">
        <v>14</v>
      </c>
      <c r="S26" s="668">
        <f>F26</f>
        <v>100</v>
      </c>
      <c r="T26" s="667" t="s">
        <v>14</v>
      </c>
      <c r="U26" s="668">
        <f>H26</f>
        <v>100</v>
      </c>
      <c r="V26" s="667" t="s">
        <v>14</v>
      </c>
      <c r="W26" s="668">
        <f>J26</f>
        <v>100</v>
      </c>
      <c r="X26" s="1264"/>
      <c r="Y26" s="3400"/>
      <c r="Z26" s="1263" t="str">
        <f>Q26</f>
        <v>平面位置/可视性</v>
      </c>
      <c r="AA26" s="1263">
        <f t="shared" si="3"/>
        <v>1</v>
      </c>
      <c r="AB26" s="1263">
        <f t="shared" si="4"/>
        <v>1</v>
      </c>
      <c r="AC26" s="1263">
        <f t="shared" si="5"/>
        <v>1</v>
      </c>
    </row>
    <row r="27" spans="1:29" s="102" customFormat="1" ht="15">
      <c r="A27" s="370"/>
      <c r="B27" s="390" t="s">
        <v>1778</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41"/>
      <c r="Q27" s="530" t="str">
        <f t="shared" si="11"/>
        <v>人流量</v>
      </c>
      <c r="R27" s="664" t="s">
        <v>14</v>
      </c>
      <c r="S27" s="665">
        <f>F27</f>
        <v>100</v>
      </c>
      <c r="T27" s="664" t="s">
        <v>14</v>
      </c>
      <c r="U27" s="665">
        <f>H27</f>
        <v>100</v>
      </c>
      <c r="V27" s="664" t="s">
        <v>14</v>
      </c>
      <c r="W27" s="665">
        <f>J27</f>
        <v>100</v>
      </c>
      <c r="X27" s="666"/>
      <c r="Y27" s="3400"/>
      <c r="Z27" s="50" t="str">
        <f>Q27</f>
        <v>人流量</v>
      </c>
      <c r="AA27" s="1263">
        <f>D27/F27</f>
        <v>1</v>
      </c>
      <c r="AB27" s="1263">
        <f>D27/H27</f>
        <v>1</v>
      </c>
      <c r="AC27" s="1263">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1"/>
      <c r="Q29" s="1262">
        <f t="shared" si="11"/>
        <v>111</v>
      </c>
      <c r="R29" s="667" t="s">
        <v>14</v>
      </c>
      <c r="S29" s="668">
        <f t="shared" si="12"/>
        <v>100</v>
      </c>
      <c r="T29" s="667" t="s">
        <v>14</v>
      </c>
      <c r="U29" s="668">
        <f t="shared" si="13"/>
        <v>100</v>
      </c>
      <c r="V29" s="667" t="s">
        <v>14</v>
      </c>
      <c r="W29" s="668">
        <f t="shared" si="14"/>
        <v>100</v>
      </c>
      <c r="X29" s="1264"/>
      <c r="Y29" s="340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1"/>
      <c r="Q30" s="1262">
        <f t="shared" si="11"/>
        <v>111</v>
      </c>
      <c r="R30" s="667" t="s">
        <v>14</v>
      </c>
      <c r="S30" s="668">
        <f t="shared" si="12"/>
        <v>100</v>
      </c>
      <c r="T30" s="667" t="s">
        <v>14</v>
      </c>
      <c r="U30" s="668">
        <f t="shared" si="13"/>
        <v>100</v>
      </c>
      <c r="V30" s="667" t="s">
        <v>14</v>
      </c>
      <c r="W30" s="668">
        <f t="shared" si="14"/>
        <v>100</v>
      </c>
      <c r="X30" s="1264"/>
      <c r="Y30" s="340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1"/>
      <c r="Q31" s="1262">
        <f t="shared" si="11"/>
        <v>111</v>
      </c>
      <c r="R31" s="667" t="s">
        <v>14</v>
      </c>
      <c r="S31" s="668">
        <f t="shared" si="12"/>
        <v>100</v>
      </c>
      <c r="T31" s="667" t="s">
        <v>14</v>
      </c>
      <c r="U31" s="668">
        <f t="shared" si="13"/>
        <v>100</v>
      </c>
      <c r="V31" s="667" t="s">
        <v>14</v>
      </c>
      <c r="W31" s="668">
        <f t="shared" si="14"/>
        <v>100</v>
      </c>
      <c r="X31" s="1264"/>
      <c r="Y31" s="3400"/>
      <c r="Z31" s="1263">
        <f t="shared" si="15"/>
        <v>111</v>
      </c>
      <c r="AA31" s="1263">
        <f t="shared" si="3"/>
        <v>1</v>
      </c>
      <c r="AB31" s="1263">
        <f t="shared" si="4"/>
        <v>1</v>
      </c>
      <c r="AC31" s="1263">
        <f t="shared" si="5"/>
        <v>1</v>
      </c>
    </row>
    <row r="32" spans="1:29" ht="15">
      <c r="A32" s="379" t="s">
        <v>1690</v>
      </c>
      <c r="B32" s="60" t="s">
        <v>1780</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36" t="s">
        <v>1692</v>
      </c>
      <c r="Q32" s="1262" t="str">
        <f t="shared" si="11"/>
        <v>商业类型</v>
      </c>
      <c r="R32" s="667" t="s">
        <v>14</v>
      </c>
      <c r="S32" s="668">
        <f t="shared" si="12"/>
        <v>100</v>
      </c>
      <c r="T32" s="667" t="s">
        <v>14</v>
      </c>
      <c r="U32" s="668">
        <f t="shared" si="13"/>
        <v>100</v>
      </c>
      <c r="V32" s="667" t="s">
        <v>14</v>
      </c>
      <c r="W32" s="668">
        <f t="shared" si="14"/>
        <v>100</v>
      </c>
      <c r="X32" s="1264"/>
      <c r="Y32" s="3402" t="s">
        <v>1692</v>
      </c>
      <c r="Z32" s="1263" t="str">
        <f t="shared" si="15"/>
        <v>商业类型</v>
      </c>
      <c r="AA32" s="1263">
        <f t="shared" si="3"/>
        <v>1</v>
      </c>
      <c r="AB32" s="1263">
        <f t="shared" si="4"/>
        <v>1</v>
      </c>
      <c r="AC32" s="1263">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7"/>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3" t="e">
        <f t="shared" si="3"/>
        <v>#N/A</v>
      </c>
      <c r="AB33" s="1263" t="e">
        <f t="shared" si="4"/>
        <v>#N/A</v>
      </c>
      <c r="AC33" s="1263"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7"/>
      <c r="Q34" s="1262" t="str">
        <f t="shared" si="11"/>
        <v>建筑结构</v>
      </c>
      <c r="R34" s="667" t="s">
        <v>14</v>
      </c>
      <c r="S34" s="668">
        <f t="shared" si="12"/>
        <v>100</v>
      </c>
      <c r="T34" s="667" t="s">
        <v>14</v>
      </c>
      <c r="U34" s="668">
        <f t="shared" si="13"/>
        <v>100</v>
      </c>
      <c r="V34" s="667" t="s">
        <v>14</v>
      </c>
      <c r="W34" s="668">
        <f t="shared" si="14"/>
        <v>100</v>
      </c>
      <c r="X34" s="1264"/>
      <c r="Y34" s="3402"/>
      <c r="Z34" s="1263" t="str">
        <f t="shared" si="15"/>
        <v>建筑结构</v>
      </c>
      <c r="AA34" s="1263">
        <f t="shared" si="3"/>
        <v>1</v>
      </c>
      <c r="AB34" s="1263">
        <f t="shared" si="4"/>
        <v>1</v>
      </c>
      <c r="AC34" s="1263">
        <f t="shared" si="5"/>
        <v>1</v>
      </c>
    </row>
    <row r="35" spans="1:29" ht="15">
      <c r="A35" s="409"/>
      <c r="B35" s="364" t="s">
        <v>1781</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37"/>
      <c r="Q35" s="1262" t="str">
        <f t="shared" si="11"/>
        <v>公共部分装修</v>
      </c>
      <c r="R35" s="667" t="s">
        <v>14</v>
      </c>
      <c r="S35" s="668">
        <f t="shared" si="12"/>
        <v>100</v>
      </c>
      <c r="T35" s="667" t="s">
        <v>14</v>
      </c>
      <c r="U35" s="668">
        <f t="shared" si="13"/>
        <v>100</v>
      </c>
      <c r="V35" s="667" t="s">
        <v>14</v>
      </c>
      <c r="W35" s="668">
        <f t="shared" si="14"/>
        <v>100</v>
      </c>
      <c r="X35" s="1264"/>
      <c r="Y35" s="3402"/>
      <c r="Z35" s="1263" t="str">
        <f t="shared" si="15"/>
        <v>公共部分装修</v>
      </c>
      <c r="AA35" s="1263">
        <f t="shared" si="3"/>
        <v>1</v>
      </c>
      <c r="AB35" s="1263">
        <f t="shared" si="4"/>
        <v>1</v>
      </c>
      <c r="AC35" s="1263">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7"/>
      <c r="Q36" s="1262" t="str">
        <f t="shared" si="11"/>
        <v>成新度</v>
      </c>
      <c r="R36" s="667" t="s">
        <v>14</v>
      </c>
      <c r="S36" s="668" t="e">
        <f t="shared" si="12"/>
        <v>#N/A</v>
      </c>
      <c r="T36" s="667" t="s">
        <v>14</v>
      </c>
      <c r="U36" s="668" t="e">
        <f t="shared" si="13"/>
        <v>#N/A</v>
      </c>
      <c r="V36" s="667" t="s">
        <v>14</v>
      </c>
      <c r="W36" s="668" t="e">
        <f t="shared" si="14"/>
        <v>#N/A</v>
      </c>
      <c r="X36" s="1264"/>
      <c r="Y36" s="3402"/>
      <c r="Z36" s="1263" t="str">
        <f t="shared" si="15"/>
        <v>成新度</v>
      </c>
      <c r="AA36" s="1263" t="e">
        <f t="shared" si="3"/>
        <v>#N/A</v>
      </c>
      <c r="AB36" s="1263" t="e">
        <f t="shared" si="4"/>
        <v>#N/A</v>
      </c>
      <c r="AC36" s="1263" t="e">
        <f t="shared" si="5"/>
        <v>#N/A</v>
      </c>
    </row>
    <row r="37" spans="1:29" s="102" customFormat="1" ht="15">
      <c r="A37" s="410"/>
      <c r="B37" s="364" t="s">
        <v>1783</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37"/>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1784</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37" t="s">
        <v>1692</v>
      </c>
      <c r="Q38" s="1262" t="str">
        <f t="shared" si="11"/>
        <v>业态</v>
      </c>
      <c r="R38" s="667" t="s">
        <v>14</v>
      </c>
      <c r="S38" s="668">
        <f t="shared" si="12"/>
        <v>100</v>
      </c>
      <c r="T38" s="667" t="s">
        <v>14</v>
      </c>
      <c r="U38" s="668">
        <f t="shared" si="13"/>
        <v>100</v>
      </c>
      <c r="V38" s="667" t="s">
        <v>14</v>
      </c>
      <c r="W38" s="668">
        <f t="shared" si="14"/>
        <v>100</v>
      </c>
      <c r="X38" s="1264"/>
      <c r="Y38" s="3402" t="s">
        <v>1692</v>
      </c>
      <c r="Z38" s="1263" t="str">
        <f t="shared" si="15"/>
        <v>业态</v>
      </c>
      <c r="AA38" s="1263">
        <f t="shared" si="3"/>
        <v>1</v>
      </c>
      <c r="AB38" s="1263">
        <f t="shared" si="4"/>
        <v>1</v>
      </c>
      <c r="AC38" s="1263">
        <f t="shared" si="5"/>
        <v>1</v>
      </c>
    </row>
    <row r="39" spans="1:29" ht="15">
      <c r="A39" s="409"/>
      <c r="B39" s="364" t="s">
        <v>1785</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37"/>
      <c r="Q39" s="1262" t="str">
        <f t="shared" si="11"/>
        <v>层高</v>
      </c>
      <c r="R39" s="667" t="s">
        <v>14</v>
      </c>
      <c r="S39" s="668">
        <f t="shared" si="12"/>
        <v>100</v>
      </c>
      <c r="T39" s="667" t="s">
        <v>14</v>
      </c>
      <c r="U39" s="668">
        <f t="shared" si="13"/>
        <v>100</v>
      </c>
      <c r="V39" s="667" t="s">
        <v>14</v>
      </c>
      <c r="W39" s="668">
        <f t="shared" si="14"/>
        <v>100</v>
      </c>
      <c r="X39" s="1264"/>
      <c r="Y39" s="3402"/>
      <c r="Z39" s="1263" t="str">
        <f t="shared" si="15"/>
        <v>层高</v>
      </c>
      <c r="AA39" s="1263">
        <f t="shared" si="3"/>
        <v>1</v>
      </c>
      <c r="AB39" s="1263">
        <f t="shared" si="4"/>
        <v>1</v>
      </c>
      <c r="AC39" s="1263">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7"/>
      <c r="Q40" s="1262" t="str">
        <f t="shared" si="11"/>
        <v>单套建筑面积</v>
      </c>
      <c r="R40" s="667" t="s">
        <v>14</v>
      </c>
      <c r="S40" s="668">
        <f t="shared" si="12"/>
        <v>100</v>
      </c>
      <c r="T40" s="667" t="s">
        <v>14</v>
      </c>
      <c r="U40" s="668">
        <f t="shared" si="13"/>
        <v>100</v>
      </c>
      <c r="V40" s="667" t="s">
        <v>14</v>
      </c>
      <c r="W40" s="668">
        <f t="shared" si="14"/>
        <v>100</v>
      </c>
      <c r="X40" s="1264"/>
      <c r="Y40" s="3402"/>
      <c r="Z40" s="1263" t="str">
        <f t="shared" si="15"/>
        <v>单套建筑面积</v>
      </c>
      <c r="AA40" s="1263">
        <f t="shared" si="3"/>
        <v>1</v>
      </c>
      <c r="AB40" s="1263">
        <f t="shared" si="4"/>
        <v>1</v>
      </c>
      <c r="AC40" s="1263">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7"/>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3">
        <f t="shared" si="3"/>
        <v>1</v>
      </c>
      <c r="AB41" s="1263">
        <f t="shared" si="4"/>
        <v>1</v>
      </c>
      <c r="AC41" s="1263">
        <f t="shared" si="5"/>
        <v>1</v>
      </c>
    </row>
    <row r="42" spans="1:29" ht="15">
      <c r="A42" s="409"/>
      <c r="B42" s="364" t="s">
        <v>1788</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37"/>
      <c r="Q42" s="1262" t="str">
        <f t="shared" si="11"/>
        <v>内部装修</v>
      </c>
      <c r="R42" s="667" t="s">
        <v>14</v>
      </c>
      <c r="S42" s="668">
        <f t="shared" si="12"/>
        <v>100</v>
      </c>
      <c r="T42" s="667" t="s">
        <v>14</v>
      </c>
      <c r="U42" s="668">
        <f t="shared" si="13"/>
        <v>100</v>
      </c>
      <c r="V42" s="667" t="s">
        <v>14</v>
      </c>
      <c r="W42" s="668">
        <f t="shared" si="14"/>
        <v>100</v>
      </c>
      <c r="X42" s="1264"/>
      <c r="Y42" s="3402"/>
      <c r="Z42" s="1263" t="str">
        <f t="shared" si="15"/>
        <v>内部装修</v>
      </c>
      <c r="AA42" s="1263">
        <f t="shared" si="3"/>
        <v>1</v>
      </c>
      <c r="AB42" s="1263">
        <f t="shared" si="4"/>
        <v>1</v>
      </c>
      <c r="AC42" s="1263">
        <f t="shared" si="5"/>
        <v>1</v>
      </c>
    </row>
    <row r="43" spans="1:29" ht="15">
      <c r="A43" s="409"/>
      <c r="B43" s="364" t="s">
        <v>1703</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37"/>
      <c r="Q43" s="1262" t="str">
        <f t="shared" si="11"/>
        <v>内部装修维护情况</v>
      </c>
      <c r="R43" s="667" t="s">
        <v>14</v>
      </c>
      <c r="S43" s="668">
        <f t="shared" si="12"/>
        <v>100</v>
      </c>
      <c r="T43" s="667" t="s">
        <v>14</v>
      </c>
      <c r="U43" s="668">
        <f t="shared" si="13"/>
        <v>100</v>
      </c>
      <c r="V43" s="667" t="s">
        <v>14</v>
      </c>
      <c r="W43" s="668">
        <f t="shared" si="14"/>
        <v>100</v>
      </c>
      <c r="X43" s="1264"/>
      <c r="Y43" s="340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7"/>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7"/>
      <c r="Q45" s="1262">
        <f t="shared" si="11"/>
        <v>111</v>
      </c>
      <c r="R45" s="667" t="s">
        <v>14</v>
      </c>
      <c r="S45" s="668">
        <f t="shared" si="12"/>
        <v>100</v>
      </c>
      <c r="T45" s="667" t="s">
        <v>14</v>
      </c>
      <c r="U45" s="668">
        <f t="shared" si="13"/>
        <v>100</v>
      </c>
      <c r="V45" s="667" t="s">
        <v>14</v>
      </c>
      <c r="W45" s="668">
        <f t="shared" si="14"/>
        <v>100</v>
      </c>
      <c r="X45" s="1264"/>
      <c r="Y45" s="340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8"/>
      <c r="Q46" s="1262">
        <f t="shared" si="11"/>
        <v>111</v>
      </c>
      <c r="R46" s="667" t="s">
        <v>14</v>
      </c>
      <c r="S46" s="668">
        <f t="shared" si="12"/>
        <v>100</v>
      </c>
      <c r="T46" s="667" t="s">
        <v>14</v>
      </c>
      <c r="U46" s="668">
        <f t="shared" si="13"/>
        <v>100</v>
      </c>
      <c r="V46" s="667" t="s">
        <v>14</v>
      </c>
      <c r="W46" s="668">
        <f t="shared" si="14"/>
        <v>100</v>
      </c>
      <c r="X46" s="1264"/>
      <c r="Y46" s="3439"/>
      <c r="Z46" s="1263">
        <f t="shared" si="15"/>
        <v>111</v>
      </c>
      <c r="AA46" s="1263">
        <f t="shared" si="3"/>
        <v>1</v>
      </c>
      <c r="AB46" s="1263">
        <f t="shared" si="4"/>
        <v>1</v>
      </c>
      <c r="AC46" s="1263">
        <f t="shared" si="5"/>
        <v>1</v>
      </c>
    </row>
    <row r="47" spans="1:29" ht="15">
      <c r="A47" s="416" t="s">
        <v>1704</v>
      </c>
      <c r="B47" s="417"/>
      <c r="C47" s="1081" t="s">
        <v>0</v>
      </c>
      <c r="D47" s="418"/>
      <c r="E47" s="419"/>
      <c r="F47" s="420"/>
      <c r="G47" s="421"/>
      <c r="H47" s="422"/>
      <c r="I47" s="419"/>
      <c r="J47" s="422"/>
      <c r="K47" s="674"/>
      <c r="L47" s="2494"/>
      <c r="M47" s="2487"/>
      <c r="N47" s="2487"/>
      <c r="O47" s="2487"/>
      <c r="P47" s="3384" t="str">
        <f>A47</f>
        <v>成交单价（元/平方米）</v>
      </c>
      <c r="Q47" s="3384"/>
      <c r="R47" s="3397">
        <f>E47</f>
        <v>0</v>
      </c>
      <c r="S47" s="3397"/>
      <c r="T47" s="3397">
        <f>G47</f>
        <v>0</v>
      </c>
      <c r="U47" s="3397"/>
      <c r="V47" s="3397">
        <f>I47</f>
        <v>0</v>
      </c>
      <c r="W47" s="3397"/>
      <c r="X47" s="385"/>
      <c r="Y47" s="673"/>
      <c r="Z47" s="385"/>
      <c r="AA47" s="385"/>
      <c r="AB47" s="385"/>
      <c r="AC47" s="385"/>
    </row>
    <row r="48" spans="1:29" ht="15.75" thickBot="1">
      <c r="A48" s="423" t="s">
        <v>1789</v>
      </c>
      <c r="B48" s="424"/>
      <c r="C48" s="1082" t="e">
        <f>R49</f>
        <v>#DIV/0!</v>
      </c>
      <c r="D48" s="2140" t="s">
        <v>2133</v>
      </c>
      <c r="E48" s="1083" t="e">
        <f>R48</f>
        <v>#DIV/0!</v>
      </c>
      <c r="F48" s="2141"/>
      <c r="G48" s="1082" t="e">
        <f>T48</f>
        <v>#DIV/0!</v>
      </c>
      <c r="H48" s="2141"/>
      <c r="I48" s="1083" t="e">
        <f>V48</f>
        <v>#DIV/0!</v>
      </c>
      <c r="J48" s="2141"/>
      <c r="K48" s="2143">
        <f>F48+H48+J48</f>
        <v>0</v>
      </c>
      <c r="L48" s="2494"/>
      <c r="M48" s="2487"/>
      <c r="N48" s="2487"/>
      <c r="O48" s="2487"/>
      <c r="P48" s="3384" t="str">
        <f>A48</f>
        <v>比较价值（元/平方米）</v>
      </c>
      <c r="Q48" s="3384"/>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4"/>
      <c r="M49" s="2487"/>
      <c r="N49" s="2487"/>
      <c r="O49" s="2487"/>
      <c r="P49" s="3404" t="str">
        <f>A49</f>
        <v>估价对象XX用房的比较价值（楼面单价，元/平方米）</v>
      </c>
      <c r="Q49" s="3405"/>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1794</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1675</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1712</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1677</v>
      </c>
      <c r="B61" s="444"/>
      <c r="C61" s="456" t="s">
        <v>1772</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1715</v>
      </c>
      <c r="B63" s="460" t="s">
        <v>1681</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1684</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1686</v>
      </c>
      <c r="B76" s="460" t="s">
        <v>1716</v>
      </c>
      <c r="C76" s="504" t="s">
        <v>1717</v>
      </c>
      <c r="D76" s="504" t="s">
        <v>1718</v>
      </c>
      <c r="E76" s="504" t="s">
        <v>1719</v>
      </c>
      <c r="F76" s="504" t="s">
        <v>1720</v>
      </c>
      <c r="G76" s="504" t="s">
        <v>1721</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1722</v>
      </c>
      <c r="C78" s="509" t="s">
        <v>1717</v>
      </c>
      <c r="D78" s="509" t="s">
        <v>1718</v>
      </c>
      <c r="E78" s="509" t="s">
        <v>1719</v>
      </c>
      <c r="F78" s="509" t="s">
        <v>1720</v>
      </c>
      <c r="G78" s="509" t="s">
        <v>1721</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1723</v>
      </c>
      <c r="C80" s="509" t="s">
        <v>1717</v>
      </c>
      <c r="D80" s="509" t="s">
        <v>1718</v>
      </c>
      <c r="E80" s="509" t="s">
        <v>1719</v>
      </c>
      <c r="F80" s="509" t="s">
        <v>1720</v>
      </c>
      <c r="G80" s="509" t="s">
        <v>1721</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1775</v>
      </c>
      <c r="C82" s="581" t="s">
        <v>1795</v>
      </c>
      <c r="D82" s="581" t="s">
        <v>1796</v>
      </c>
      <c r="E82" s="581" t="s">
        <v>1797</v>
      </c>
      <c r="F82" s="581" t="s">
        <v>1798</v>
      </c>
      <c r="G82" s="581" t="s">
        <v>1799</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1729</v>
      </c>
      <c r="C84" s="509" t="s">
        <v>1717</v>
      </c>
      <c r="D84" s="509" t="s">
        <v>1718</v>
      </c>
      <c r="E84" s="509" t="s">
        <v>1719</v>
      </c>
      <c r="F84" s="509" t="s">
        <v>1720</v>
      </c>
      <c r="G84" s="509" t="s">
        <v>1721</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1800</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1690</v>
      </c>
      <c r="B100" s="460" t="s">
        <v>1801</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1734</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1736</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1738</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1802</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1803</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1804</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1805</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1740</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1656</v>
      </c>
      <c r="B1" s="1807" t="s">
        <v>1806</v>
      </c>
      <c r="C1" s="1140" t="s">
        <v>1658</v>
      </c>
      <c r="D1" s="1141"/>
      <c r="E1" s="3131"/>
      <c r="F1" s="1734"/>
      <c r="G1" s="1151" t="s">
        <v>1763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1458</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1459</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68049.77999999997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448" t="s">
        <v>1771</v>
      </c>
      <c r="Q4" s="3449"/>
      <c r="R4" s="3443" t="s">
        <v>1767</v>
      </c>
      <c r="S4" s="3444"/>
      <c r="T4" s="3443" t="s">
        <v>1768</v>
      </c>
      <c r="U4" s="3444"/>
      <c r="V4" s="3452" t="s">
        <v>1769</v>
      </c>
      <c r="W4" s="3452"/>
      <c r="X4" s="1808"/>
      <c r="Y4" s="3443" t="s">
        <v>1771</v>
      </c>
      <c r="Z4" s="3444"/>
      <c r="AA4" s="3442" t="s">
        <v>1767</v>
      </c>
      <c r="AB4" s="3442" t="s">
        <v>1768</v>
      </c>
      <c r="AC4" s="3445" t="s">
        <v>1769</v>
      </c>
    </row>
    <row r="5" spans="1:29" ht="15">
      <c r="A5" s="348"/>
      <c r="B5" s="349"/>
      <c r="C5" s="3378" t="s">
        <v>1669</v>
      </c>
      <c r="D5" s="3379"/>
      <c r="E5" s="3376" t="s">
        <v>1670</v>
      </c>
      <c r="F5" s="3377"/>
      <c r="G5" s="3378" t="s">
        <v>1671</v>
      </c>
      <c r="H5" s="3379"/>
      <c r="I5" s="3378" t="s">
        <v>1672</v>
      </c>
      <c r="J5" s="3379"/>
      <c r="K5" s="537"/>
      <c r="L5" s="2486"/>
      <c r="M5" s="2487"/>
      <c r="N5" s="2487"/>
      <c r="O5" s="2487"/>
      <c r="P5" s="3450"/>
      <c r="Q5" s="3392"/>
      <c r="R5" s="3374"/>
      <c r="S5" s="3375"/>
      <c r="T5" s="3374"/>
      <c r="U5" s="3375"/>
      <c r="V5" s="3397"/>
      <c r="W5" s="3397"/>
      <c r="X5" s="1264"/>
      <c r="Y5" s="3374"/>
      <c r="Z5" s="3375"/>
      <c r="AA5" s="3368"/>
      <c r="AB5" s="3368"/>
      <c r="AC5" s="3446"/>
    </row>
    <row r="6" spans="1:29" ht="15.75" thickBot="1">
      <c r="A6" s="350"/>
      <c r="B6" s="351"/>
      <c r="C6" s="3380" t="s">
        <v>1673</v>
      </c>
      <c r="D6" s="3381"/>
      <c r="E6" s="3382" t="s">
        <v>1673</v>
      </c>
      <c r="F6" s="3383"/>
      <c r="G6" s="3380" t="s">
        <v>1673</v>
      </c>
      <c r="H6" s="3381"/>
      <c r="I6" s="3380" t="s">
        <v>1673</v>
      </c>
      <c r="J6" s="3381"/>
      <c r="K6" s="537" t="s">
        <v>1674</v>
      </c>
      <c r="L6" s="2486"/>
      <c r="M6" s="2487"/>
      <c r="N6" s="2487"/>
      <c r="O6" s="2487"/>
      <c r="P6" s="3451"/>
      <c r="Q6" s="3394"/>
      <c r="R6" s="3374"/>
      <c r="S6" s="3375"/>
      <c r="T6" s="3395"/>
      <c r="U6" s="3396"/>
      <c r="V6" s="3397"/>
      <c r="W6" s="3397"/>
      <c r="X6" s="1264"/>
      <c r="Y6" s="3395"/>
      <c r="Z6" s="3396"/>
      <c r="AA6" s="3369"/>
      <c r="AB6" s="3369"/>
      <c r="AC6" s="3447"/>
    </row>
    <row r="7" spans="1:29" s="102" customFormat="1" ht="15.75" thickBot="1">
      <c r="A7" s="352" t="s">
        <v>1675</v>
      </c>
      <c r="B7" s="353"/>
      <c r="C7" s="354">
        <f>'数据-取费表'!B2</f>
        <v>45604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1676</v>
      </c>
      <c r="Q7" s="3398"/>
      <c r="R7" s="664" t="s">
        <v>14</v>
      </c>
      <c r="S7" s="665">
        <f t="shared" ref="S7:S15" si="0">F7</f>
        <v>0</v>
      </c>
      <c r="T7" s="664" t="s">
        <v>14</v>
      </c>
      <c r="U7" s="665">
        <f t="shared" ref="U7:U15" si="1">H7</f>
        <v>0</v>
      </c>
      <c r="V7" s="664" t="s">
        <v>14</v>
      </c>
      <c r="W7" s="665">
        <f t="shared" ref="W7:W15" si="2">J7</f>
        <v>0</v>
      </c>
      <c r="X7" s="666"/>
      <c r="Y7" s="3370" t="s">
        <v>1676</v>
      </c>
      <c r="Z7" s="3371"/>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1679</v>
      </c>
      <c r="Q8" s="3371"/>
      <c r="R8" s="664" t="s">
        <v>14</v>
      </c>
      <c r="S8" s="665">
        <f t="shared" si="0"/>
        <v>100</v>
      </c>
      <c r="T8" s="664" t="s">
        <v>14</v>
      </c>
      <c r="U8" s="665">
        <f t="shared" si="1"/>
        <v>100</v>
      </c>
      <c r="V8" s="664" t="s">
        <v>14</v>
      </c>
      <c r="W8" s="665">
        <f t="shared" si="2"/>
        <v>100</v>
      </c>
      <c r="X8" s="666"/>
      <c r="Y8" s="3370" t="s">
        <v>1679</v>
      </c>
      <c r="Z8" s="3371"/>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8"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802">
        <f t="shared" si="5"/>
        <v>1</v>
      </c>
    </row>
    <row r="10" spans="1:29" s="366" customFormat="1" ht="27">
      <c r="A10" s="363"/>
      <c r="B10" s="364" t="s">
        <v>1684</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8"/>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8"/>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1.25">
      <c r="A15" s="379" t="s">
        <v>1686</v>
      </c>
      <c r="B15" s="554" t="s">
        <v>1807</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0" t="s">
        <v>1687</v>
      </c>
      <c r="Q15" s="1262" t="str">
        <f t="shared" si="6"/>
        <v>办公集聚程度</v>
      </c>
      <c r="R15" s="667" t="s">
        <v>14</v>
      </c>
      <c r="S15" s="668">
        <f t="shared" si="0"/>
        <v>100</v>
      </c>
      <c r="T15" s="667" t="s">
        <v>14</v>
      </c>
      <c r="U15" s="668">
        <f t="shared" si="1"/>
        <v>100</v>
      </c>
      <c r="V15" s="667" t="s">
        <v>14</v>
      </c>
      <c r="W15" s="668">
        <f t="shared" si="2"/>
        <v>100</v>
      </c>
      <c r="X15" s="1264"/>
      <c r="Y15" s="3399" t="s">
        <v>1687</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41"/>
      <c r="Q16" s="1262"/>
      <c r="R16" s="667"/>
      <c r="S16" s="668"/>
      <c r="T16" s="667"/>
      <c r="U16" s="668"/>
      <c r="V16" s="667"/>
      <c r="W16" s="668"/>
      <c r="X16" s="1264"/>
      <c r="Y16" s="3400"/>
      <c r="Z16" s="1263"/>
      <c r="AA16" s="1263">
        <v>1</v>
      </c>
      <c r="AB16" s="1263">
        <v>1</v>
      </c>
      <c r="AC16" s="1811">
        <v>1</v>
      </c>
    </row>
    <row r="17" spans="1:29" ht="71.25">
      <c r="A17" s="367"/>
      <c r="B17" s="556" t="s">
        <v>1258</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1"/>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41"/>
      <c r="Q18" s="1262"/>
      <c r="R18" s="667"/>
      <c r="S18" s="668"/>
      <c r="T18" s="667"/>
      <c r="U18" s="668"/>
      <c r="V18" s="667"/>
      <c r="W18" s="668"/>
      <c r="X18" s="1264"/>
      <c r="Y18" s="3400"/>
      <c r="Z18" s="1263"/>
      <c r="AA18" s="1263">
        <v>1</v>
      </c>
      <c r="AB18" s="1263">
        <v>1</v>
      </c>
      <c r="AC18" s="1811">
        <v>1</v>
      </c>
    </row>
    <row r="19" spans="1:29" ht="42.75">
      <c r="A19" s="367"/>
      <c r="B19" s="556" t="s">
        <v>1808</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1"/>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41"/>
      <c r="Q20" s="1262"/>
      <c r="R20" s="667"/>
      <c r="S20" s="668"/>
      <c r="T20" s="667"/>
      <c r="U20" s="668"/>
      <c r="V20" s="667"/>
      <c r="W20" s="668"/>
      <c r="X20" s="1264"/>
      <c r="Y20" s="3400"/>
      <c r="Z20" s="1263"/>
      <c r="AA20" s="1263">
        <v>1</v>
      </c>
      <c r="AB20" s="1263">
        <v>1</v>
      </c>
      <c r="AC20" s="1811">
        <v>1</v>
      </c>
    </row>
    <row r="21" spans="1:29" ht="28.5">
      <c r="A21" s="367"/>
      <c r="B21" s="557" t="s">
        <v>1809</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1"/>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41"/>
      <c r="Q22" s="1262"/>
      <c r="R22" s="667"/>
      <c r="S22" s="668"/>
      <c r="T22" s="667"/>
      <c r="U22" s="668"/>
      <c r="V22" s="667"/>
      <c r="W22" s="668"/>
      <c r="X22" s="1264"/>
      <c r="Y22" s="3400"/>
      <c r="Z22" s="1263"/>
      <c r="AA22" s="1263">
        <v>1</v>
      </c>
      <c r="AB22" s="1263">
        <v>1</v>
      </c>
      <c r="AC22" s="1811">
        <v>1</v>
      </c>
    </row>
    <row r="23" spans="1:29" ht="42.75">
      <c r="A23" s="367"/>
      <c r="B23" s="556" t="s">
        <v>1810</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1"/>
      <c r="Q23" s="1262" t="str">
        <f>B23</f>
        <v>环境质量</v>
      </c>
      <c r="R23" s="667" t="s">
        <v>14</v>
      </c>
      <c r="S23" s="668">
        <f>F23</f>
        <v>100</v>
      </c>
      <c r="T23" s="667" t="s">
        <v>14</v>
      </c>
      <c r="U23" s="668">
        <f>H23</f>
        <v>100</v>
      </c>
      <c r="V23" s="667" t="s">
        <v>14</v>
      </c>
      <c r="W23" s="668">
        <f>J23</f>
        <v>100</v>
      </c>
      <c r="X23" s="1264"/>
      <c r="Y23" s="340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41"/>
      <c r="Q24" s="1262"/>
      <c r="R24" s="667"/>
      <c r="S24" s="668"/>
      <c r="T24" s="667"/>
      <c r="U24" s="668"/>
      <c r="V24" s="667"/>
      <c r="W24" s="668"/>
      <c r="X24" s="1264"/>
      <c r="Y24" s="3400"/>
      <c r="Z24" s="1263"/>
      <c r="AA24" s="1263">
        <v>1</v>
      </c>
      <c r="AB24" s="1263">
        <v>1</v>
      </c>
      <c r="AC24" s="1811">
        <v>1</v>
      </c>
    </row>
    <row r="25" spans="1:29" ht="27">
      <c r="A25" s="348"/>
      <c r="B25" s="556" t="s">
        <v>1811</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41"/>
      <c r="Q25" s="1262" t="str">
        <f>B25</f>
        <v>毗邻道路的类型与等级</v>
      </c>
      <c r="R25" s="667" t="s">
        <v>14</v>
      </c>
      <c r="S25" s="668">
        <f>F25</f>
        <v>100</v>
      </c>
      <c r="T25" s="667" t="s">
        <v>14</v>
      </c>
      <c r="U25" s="668">
        <f>H25</f>
        <v>100</v>
      </c>
      <c r="V25" s="667" t="s">
        <v>14</v>
      </c>
      <c r="W25" s="668">
        <f>J25</f>
        <v>100</v>
      </c>
      <c r="X25" s="1264"/>
      <c r="Y25" s="340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41"/>
      <c r="Q26" s="1262"/>
      <c r="R26" s="667"/>
      <c r="S26" s="668"/>
      <c r="T26" s="667"/>
      <c r="U26" s="668"/>
      <c r="V26" s="667"/>
      <c r="W26" s="668"/>
      <c r="X26" s="1264"/>
      <c r="Y26" s="3400"/>
      <c r="Z26" s="1263"/>
      <c r="AA26" s="1263">
        <v>1</v>
      </c>
      <c r="AB26" s="1263">
        <v>1</v>
      </c>
      <c r="AC26" s="1811">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1"/>
      <c r="Q27" s="1262" t="str">
        <f t="shared" ref="Q27:Q47" si="11">B27</f>
        <v>楼层</v>
      </c>
      <c r="R27" s="667" t="s">
        <v>14</v>
      </c>
      <c r="S27" s="668">
        <f>F27</f>
        <v>100</v>
      </c>
      <c r="T27" s="667" t="s">
        <v>14</v>
      </c>
      <c r="U27" s="668">
        <f>H27</f>
        <v>100</v>
      </c>
      <c r="V27" s="667" t="s">
        <v>14</v>
      </c>
      <c r="W27" s="668">
        <f>J27</f>
        <v>100</v>
      </c>
      <c r="X27" s="1264"/>
      <c r="Y27" s="3400"/>
      <c r="Z27" s="1263" t="str">
        <f>Q27</f>
        <v>楼层</v>
      </c>
      <c r="AA27" s="1263">
        <f t="shared" si="3"/>
        <v>1</v>
      </c>
      <c r="AB27" s="1263">
        <f t="shared" si="4"/>
        <v>1</v>
      </c>
      <c r="AC27" s="1811">
        <f t="shared" si="5"/>
        <v>1</v>
      </c>
    </row>
    <row r="28" spans="1:29" s="102" customFormat="1" ht="15">
      <c r="A28" s="370"/>
      <c r="B28" s="556" t="s">
        <v>1812</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41"/>
      <c r="Q28" s="530" t="str">
        <f t="shared" si="11"/>
        <v>朝向</v>
      </c>
      <c r="R28" s="664" t="s">
        <v>14</v>
      </c>
      <c r="S28" s="665">
        <f>F28</f>
        <v>100</v>
      </c>
      <c r="T28" s="664" t="s">
        <v>14</v>
      </c>
      <c r="U28" s="665">
        <f>H28</f>
        <v>100</v>
      </c>
      <c r="V28" s="664" t="s">
        <v>14</v>
      </c>
      <c r="W28" s="665">
        <f>J28</f>
        <v>100</v>
      </c>
      <c r="X28" s="666"/>
      <c r="Y28" s="340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41"/>
      <c r="Q29" s="1262">
        <f t="shared" si="11"/>
        <v>111</v>
      </c>
      <c r="R29" s="667" t="s">
        <v>14</v>
      </c>
      <c r="S29" s="668">
        <f t="shared" ref="S29:S47" si="12">F29</f>
        <v>100</v>
      </c>
      <c r="T29" s="667" t="s">
        <v>14</v>
      </c>
      <c r="U29" s="668">
        <f t="shared" ref="U29:U47" si="13">H29</f>
        <v>100</v>
      </c>
      <c r="V29" s="667" t="s">
        <v>14</v>
      </c>
      <c r="W29" s="668">
        <f t="shared" ref="W29:W47" si="14">J29</f>
        <v>100</v>
      </c>
      <c r="X29" s="1264"/>
      <c r="Y29" s="340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41"/>
      <c r="Q30" s="1262">
        <f t="shared" si="11"/>
        <v>111</v>
      </c>
      <c r="R30" s="667" t="s">
        <v>14</v>
      </c>
      <c r="S30" s="668">
        <f t="shared" si="12"/>
        <v>100</v>
      </c>
      <c r="T30" s="667" t="s">
        <v>14</v>
      </c>
      <c r="U30" s="668">
        <f t="shared" si="13"/>
        <v>100</v>
      </c>
      <c r="V30" s="667" t="s">
        <v>14</v>
      </c>
      <c r="W30" s="668">
        <f t="shared" si="14"/>
        <v>100</v>
      </c>
      <c r="X30" s="1264"/>
      <c r="Y30" s="340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41"/>
      <c r="Q31" s="1262">
        <f t="shared" si="11"/>
        <v>111</v>
      </c>
      <c r="R31" s="667" t="s">
        <v>14</v>
      </c>
      <c r="S31" s="668">
        <f t="shared" si="12"/>
        <v>100</v>
      </c>
      <c r="T31" s="667" t="s">
        <v>14</v>
      </c>
      <c r="U31" s="668">
        <f t="shared" si="13"/>
        <v>100</v>
      </c>
      <c r="V31" s="667" t="s">
        <v>14</v>
      </c>
      <c r="W31" s="668">
        <f t="shared" si="14"/>
        <v>100</v>
      </c>
      <c r="X31" s="1264"/>
      <c r="Y31" s="340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41"/>
      <c r="Q32" s="1262">
        <f t="shared" si="11"/>
        <v>111</v>
      </c>
      <c r="R32" s="667" t="s">
        <v>14</v>
      </c>
      <c r="S32" s="668">
        <f t="shared" si="12"/>
        <v>100</v>
      </c>
      <c r="T32" s="667" t="s">
        <v>14</v>
      </c>
      <c r="U32" s="668">
        <f t="shared" si="13"/>
        <v>100</v>
      </c>
      <c r="V32" s="667" t="s">
        <v>14</v>
      </c>
      <c r="W32" s="668">
        <f t="shared" si="14"/>
        <v>100</v>
      </c>
      <c r="X32" s="1264"/>
      <c r="Y32" s="3400"/>
      <c r="Z32" s="1263">
        <f t="shared" si="15"/>
        <v>111</v>
      </c>
      <c r="AA32" s="1263">
        <f t="shared" si="3"/>
        <v>1</v>
      </c>
      <c r="AB32" s="1263">
        <f t="shared" si="4"/>
        <v>1</v>
      </c>
      <c r="AC32" s="1811">
        <f t="shared" si="5"/>
        <v>1</v>
      </c>
    </row>
    <row r="33" spans="1:29" ht="15">
      <c r="A33" s="379" t="s">
        <v>1690</v>
      </c>
      <c r="B33" s="60" t="s">
        <v>1813</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36" t="s">
        <v>1692</v>
      </c>
      <c r="Q33" s="1262" t="str">
        <f t="shared" si="11"/>
        <v>建筑类型</v>
      </c>
      <c r="R33" s="667" t="s">
        <v>14</v>
      </c>
      <c r="S33" s="668">
        <f t="shared" si="12"/>
        <v>100</v>
      </c>
      <c r="T33" s="667" t="s">
        <v>14</v>
      </c>
      <c r="U33" s="668">
        <f t="shared" si="13"/>
        <v>100</v>
      </c>
      <c r="V33" s="667" t="s">
        <v>14</v>
      </c>
      <c r="W33" s="668">
        <f t="shared" si="14"/>
        <v>100</v>
      </c>
      <c r="X33" s="1264"/>
      <c r="Y33" s="3402" t="s">
        <v>1692</v>
      </c>
      <c r="Z33" s="1263" t="str">
        <f t="shared" si="15"/>
        <v>建筑类型</v>
      </c>
      <c r="AA33" s="1263">
        <f t="shared" si="3"/>
        <v>1</v>
      </c>
      <c r="AB33" s="1263">
        <f t="shared" si="4"/>
        <v>1</v>
      </c>
      <c r="AC33" s="1811">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7"/>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3" t="e">
        <f t="shared" si="3"/>
        <v>#N/A</v>
      </c>
      <c r="AB34" s="1263" t="e">
        <f t="shared" si="4"/>
        <v>#N/A</v>
      </c>
      <c r="AC34" s="1811"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7"/>
      <c r="Q35" s="1262" t="str">
        <f t="shared" si="11"/>
        <v>建筑结构</v>
      </c>
      <c r="R35" s="667" t="s">
        <v>14</v>
      </c>
      <c r="S35" s="668">
        <f t="shared" si="12"/>
        <v>100</v>
      </c>
      <c r="T35" s="667" t="s">
        <v>14</v>
      </c>
      <c r="U35" s="668">
        <f t="shared" si="13"/>
        <v>100</v>
      </c>
      <c r="V35" s="667" t="s">
        <v>14</v>
      </c>
      <c r="W35" s="668">
        <f t="shared" si="14"/>
        <v>100</v>
      </c>
      <c r="X35" s="1264"/>
      <c r="Y35" s="3402"/>
      <c r="Z35" s="1263" t="str">
        <f t="shared" si="15"/>
        <v>建筑结构</v>
      </c>
      <c r="AA35" s="1263">
        <f t="shared" si="3"/>
        <v>1</v>
      </c>
      <c r="AB35" s="1263">
        <f t="shared" si="4"/>
        <v>1</v>
      </c>
      <c r="AC35" s="1811">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7"/>
      <c r="Q36" s="1262" t="str">
        <f t="shared" si="11"/>
        <v>公共部分装修</v>
      </c>
      <c r="R36" s="667" t="s">
        <v>14</v>
      </c>
      <c r="S36" s="668">
        <f t="shared" si="12"/>
        <v>100</v>
      </c>
      <c r="T36" s="667" t="s">
        <v>14</v>
      </c>
      <c r="U36" s="668">
        <f t="shared" si="13"/>
        <v>100</v>
      </c>
      <c r="V36" s="667" t="s">
        <v>14</v>
      </c>
      <c r="W36" s="668">
        <f t="shared" si="14"/>
        <v>100</v>
      </c>
      <c r="X36" s="1264"/>
      <c r="Y36" s="3402"/>
      <c r="Z36" s="1263" t="str">
        <f t="shared" si="15"/>
        <v>公共部分装修</v>
      </c>
      <c r="AA36" s="1263">
        <f t="shared" si="3"/>
        <v>1</v>
      </c>
      <c r="AB36" s="1263">
        <f t="shared" si="4"/>
        <v>1</v>
      </c>
      <c r="AC36" s="1811">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7"/>
      <c r="Q37" s="1262" t="str">
        <f t="shared" si="11"/>
        <v>成新度</v>
      </c>
      <c r="R37" s="667" t="s">
        <v>14</v>
      </c>
      <c r="S37" s="668" t="e">
        <f t="shared" si="12"/>
        <v>#N/A</v>
      </c>
      <c r="T37" s="667" t="s">
        <v>14</v>
      </c>
      <c r="U37" s="668" t="e">
        <f t="shared" si="13"/>
        <v>#N/A</v>
      </c>
      <c r="V37" s="667" t="s">
        <v>14</v>
      </c>
      <c r="W37" s="668" t="e">
        <f t="shared" si="14"/>
        <v>#N/A</v>
      </c>
      <c r="X37" s="1264"/>
      <c r="Y37" s="3402"/>
      <c r="Z37" s="1263" t="str">
        <f t="shared" si="15"/>
        <v>成新度</v>
      </c>
      <c r="AA37" s="1263" t="e">
        <f t="shared" si="3"/>
        <v>#N/A</v>
      </c>
      <c r="AB37" s="1263" t="e">
        <f t="shared" si="4"/>
        <v>#N/A</v>
      </c>
      <c r="AC37" s="1811"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7"/>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7" t="s">
        <v>1692</v>
      </c>
      <c r="Q39" s="1262" t="str">
        <f t="shared" si="11"/>
        <v>物业管理</v>
      </c>
      <c r="R39" s="667" t="s">
        <v>14</v>
      </c>
      <c r="S39" s="668">
        <f t="shared" si="12"/>
        <v>100</v>
      </c>
      <c r="T39" s="667" t="s">
        <v>14</v>
      </c>
      <c r="U39" s="668">
        <f t="shared" si="13"/>
        <v>100</v>
      </c>
      <c r="V39" s="667" t="s">
        <v>14</v>
      </c>
      <c r="W39" s="668">
        <f t="shared" si="14"/>
        <v>100</v>
      </c>
      <c r="X39" s="1264"/>
      <c r="Y39" s="3402" t="s">
        <v>1692</v>
      </c>
      <c r="Z39" s="1263" t="str">
        <f t="shared" si="15"/>
        <v>物业管理</v>
      </c>
      <c r="AA39" s="1263">
        <f t="shared" si="3"/>
        <v>1</v>
      </c>
      <c r="AB39" s="1263">
        <f t="shared" si="4"/>
        <v>1</v>
      </c>
      <c r="AC39" s="1811">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7"/>
      <c r="Q40" s="1262" t="str">
        <f t="shared" si="11"/>
        <v>市政基础设施</v>
      </c>
      <c r="R40" s="667" t="s">
        <v>14</v>
      </c>
      <c r="S40" s="668">
        <f t="shared" si="12"/>
        <v>100</v>
      </c>
      <c r="T40" s="667" t="s">
        <v>14</v>
      </c>
      <c r="U40" s="668">
        <f t="shared" si="13"/>
        <v>100</v>
      </c>
      <c r="V40" s="667" t="s">
        <v>14</v>
      </c>
      <c r="W40" s="668">
        <f t="shared" si="14"/>
        <v>100</v>
      </c>
      <c r="X40" s="1264"/>
      <c r="Y40" s="3402"/>
      <c r="Z40" s="1263" t="str">
        <f t="shared" si="15"/>
        <v>市政基础设施</v>
      </c>
      <c r="AA40" s="1263">
        <f t="shared" si="3"/>
        <v>1</v>
      </c>
      <c r="AB40" s="1263">
        <f t="shared" si="4"/>
        <v>1</v>
      </c>
      <c r="AC40" s="1811">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7"/>
      <c r="Q41" s="1262" t="str">
        <f t="shared" si="11"/>
        <v>层高</v>
      </c>
      <c r="R41" s="667" t="s">
        <v>14</v>
      </c>
      <c r="S41" s="668">
        <f t="shared" si="12"/>
        <v>100</v>
      </c>
      <c r="T41" s="667" t="s">
        <v>14</v>
      </c>
      <c r="U41" s="668">
        <f t="shared" si="13"/>
        <v>100</v>
      </c>
      <c r="V41" s="667" t="s">
        <v>14</v>
      </c>
      <c r="W41" s="668">
        <f t="shared" si="14"/>
        <v>100</v>
      </c>
      <c r="X41" s="1264"/>
      <c r="Y41" s="3402"/>
      <c r="Z41" s="1263" t="str">
        <f t="shared" si="15"/>
        <v>层高</v>
      </c>
      <c r="AA41" s="1263">
        <f t="shared" si="3"/>
        <v>1</v>
      </c>
      <c r="AB41" s="1263">
        <f t="shared" si="4"/>
        <v>1</v>
      </c>
      <c r="AC41" s="1811">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7"/>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3">
        <f t="shared" si="3"/>
        <v>1</v>
      </c>
      <c r="AB42" s="1263">
        <f t="shared" si="4"/>
        <v>1</v>
      </c>
      <c r="AC42" s="1811">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7"/>
      <c r="Q43" s="1262" t="str">
        <f t="shared" si="11"/>
        <v>内部装修</v>
      </c>
      <c r="R43" s="667" t="s">
        <v>14</v>
      </c>
      <c r="S43" s="668">
        <f t="shared" si="12"/>
        <v>100</v>
      </c>
      <c r="T43" s="667" t="s">
        <v>14</v>
      </c>
      <c r="U43" s="668">
        <f t="shared" si="13"/>
        <v>100</v>
      </c>
      <c r="V43" s="667" t="s">
        <v>14</v>
      </c>
      <c r="W43" s="668">
        <f t="shared" si="14"/>
        <v>100</v>
      </c>
      <c r="X43" s="1264"/>
      <c r="Y43" s="3402"/>
      <c r="Z43" s="1263" t="str">
        <f t="shared" si="15"/>
        <v>内部装修</v>
      </c>
      <c r="AA43" s="1263">
        <f t="shared" si="3"/>
        <v>1</v>
      </c>
      <c r="AB43" s="1263">
        <f t="shared" si="4"/>
        <v>1</v>
      </c>
      <c r="AC43" s="1811">
        <f t="shared" si="5"/>
        <v>1</v>
      </c>
    </row>
    <row r="44" spans="1:29" ht="15">
      <c r="A44" s="409"/>
      <c r="B44" s="364" t="s">
        <v>1703</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37"/>
      <c r="Q44" s="1262" t="str">
        <f t="shared" si="11"/>
        <v>内部装修维护情况</v>
      </c>
      <c r="R44" s="667" t="s">
        <v>14</v>
      </c>
      <c r="S44" s="668">
        <f t="shared" si="12"/>
        <v>100</v>
      </c>
      <c r="T44" s="667" t="s">
        <v>14</v>
      </c>
      <c r="U44" s="668">
        <f t="shared" si="13"/>
        <v>100</v>
      </c>
      <c r="V44" s="667" t="s">
        <v>14</v>
      </c>
      <c r="W44" s="668">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7"/>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7"/>
      <c r="Q46" s="1262">
        <f t="shared" si="11"/>
        <v>111</v>
      </c>
      <c r="R46" s="667" t="s">
        <v>14</v>
      </c>
      <c r="S46" s="668">
        <f t="shared" si="12"/>
        <v>100</v>
      </c>
      <c r="T46" s="667" t="s">
        <v>14</v>
      </c>
      <c r="U46" s="668">
        <f t="shared" si="13"/>
        <v>100</v>
      </c>
      <c r="V46" s="667" t="s">
        <v>14</v>
      </c>
      <c r="W46" s="668">
        <f t="shared" si="14"/>
        <v>100</v>
      </c>
      <c r="X46" s="1264"/>
      <c r="Y46" s="3402"/>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8"/>
      <c r="Q47" s="1262">
        <f t="shared" si="11"/>
        <v>111</v>
      </c>
      <c r="R47" s="667" t="s">
        <v>14</v>
      </c>
      <c r="S47" s="668">
        <f t="shared" si="12"/>
        <v>100</v>
      </c>
      <c r="T47" s="667" t="s">
        <v>14</v>
      </c>
      <c r="U47" s="668">
        <f t="shared" si="13"/>
        <v>100</v>
      </c>
      <c r="V47" s="667" t="s">
        <v>14</v>
      </c>
      <c r="W47" s="668">
        <f t="shared" si="14"/>
        <v>100</v>
      </c>
      <c r="X47" s="1264"/>
      <c r="Y47" s="3439"/>
      <c r="Z47" s="1263">
        <f t="shared" si="15"/>
        <v>111</v>
      </c>
      <c r="AA47" s="1263">
        <f t="shared" si="3"/>
        <v>1</v>
      </c>
      <c r="AB47" s="1263">
        <f t="shared" si="4"/>
        <v>1</v>
      </c>
      <c r="AC47" s="1811">
        <f t="shared" si="5"/>
        <v>1</v>
      </c>
    </row>
    <row r="48" spans="1:29" ht="15">
      <c r="A48" s="416" t="s">
        <v>1704</v>
      </c>
      <c r="B48" s="417"/>
      <c r="C48" s="1081" t="s">
        <v>0</v>
      </c>
      <c r="D48" s="418"/>
      <c r="E48" s="419"/>
      <c r="F48" s="420"/>
      <c r="G48" s="421"/>
      <c r="H48" s="422"/>
      <c r="I48" s="419"/>
      <c r="J48" s="422"/>
      <c r="K48" s="674"/>
      <c r="L48" s="2494"/>
      <c r="M48" s="2487"/>
      <c r="N48" s="2487"/>
      <c r="O48" s="2487"/>
      <c r="P48" s="3408" t="str">
        <f>A48</f>
        <v>成交单价（元/平方米）</v>
      </c>
      <c r="Q48" s="3384"/>
      <c r="R48" s="3397">
        <f>E48</f>
        <v>0</v>
      </c>
      <c r="S48" s="3397"/>
      <c r="T48" s="3397">
        <f>G48</f>
        <v>0</v>
      </c>
      <c r="U48" s="3397"/>
      <c r="V48" s="3397">
        <f>I48</f>
        <v>0</v>
      </c>
      <c r="W48" s="3397"/>
      <c r="X48" s="385"/>
      <c r="Y48" s="673"/>
      <c r="Z48" s="385"/>
      <c r="AA48" s="385"/>
      <c r="AB48" s="385"/>
      <c r="AC48" s="555"/>
    </row>
    <row r="49" spans="1:29" ht="15.75" thickBot="1">
      <c r="A49" s="423" t="s">
        <v>1789</v>
      </c>
      <c r="B49" s="424"/>
      <c r="C49" s="1082" t="e">
        <f>R50</f>
        <v>#DIV/0!</v>
      </c>
      <c r="D49" s="2140" t="s">
        <v>2133</v>
      </c>
      <c r="E49" s="1083" t="e">
        <f>R49</f>
        <v>#DIV/0!</v>
      </c>
      <c r="F49" s="2141"/>
      <c r="G49" s="1082" t="e">
        <f>T49</f>
        <v>#DIV/0!</v>
      </c>
      <c r="H49" s="2141"/>
      <c r="I49" s="1083" t="e">
        <f>V49</f>
        <v>#DIV/0!</v>
      </c>
      <c r="J49" s="2141"/>
      <c r="K49" s="2143">
        <f>F49+H49+J49</f>
        <v>0</v>
      </c>
      <c r="L49" s="2494"/>
      <c r="M49" s="2487"/>
      <c r="N49" s="2487"/>
      <c r="O49" s="2487"/>
      <c r="P49" s="3408" t="str">
        <f>A49</f>
        <v>比较价值（元/平方米）</v>
      </c>
      <c r="Q49" s="3384"/>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1675</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1712</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1677</v>
      </c>
      <c r="B62" s="444"/>
      <c r="C62" s="456" t="s">
        <v>1772</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1715</v>
      </c>
      <c r="B64" s="460" t="s">
        <v>1681</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1684</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1686</v>
      </c>
      <c r="B77" s="460" t="s">
        <v>1817</v>
      </c>
      <c r="C77" s="504" t="s">
        <v>1717</v>
      </c>
      <c r="D77" s="504" t="s">
        <v>1718</v>
      </c>
      <c r="E77" s="504" t="s">
        <v>1719</v>
      </c>
      <c r="F77" s="504" t="s">
        <v>1720</v>
      </c>
      <c r="G77" s="504" t="s">
        <v>1721</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1722</v>
      </c>
      <c r="C79" s="509" t="s">
        <v>1717</v>
      </c>
      <c r="D79" s="509" t="s">
        <v>1718</v>
      </c>
      <c r="E79" s="509" t="s">
        <v>1719</v>
      </c>
      <c r="F79" s="509" t="s">
        <v>1720</v>
      </c>
      <c r="G79" s="509" t="s">
        <v>1721</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1723</v>
      </c>
      <c r="C81" s="509" t="s">
        <v>1717</v>
      </c>
      <c r="D81" s="509" t="s">
        <v>1718</v>
      </c>
      <c r="E81" s="509" t="s">
        <v>1719</v>
      </c>
      <c r="F81" s="509" t="s">
        <v>1720</v>
      </c>
      <c r="G81" s="509" t="s">
        <v>1721</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1809</v>
      </c>
      <c r="C83" s="581" t="s">
        <v>1795</v>
      </c>
      <c r="D83" s="581" t="s">
        <v>1796</v>
      </c>
      <c r="E83" s="581" t="s">
        <v>1797</v>
      </c>
      <c r="F83" s="581" t="s">
        <v>1798</v>
      </c>
      <c r="G83" s="581" t="s">
        <v>1799</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1818</v>
      </c>
      <c r="C85" s="509" t="s">
        <v>1717</v>
      </c>
      <c r="D85" s="509" t="s">
        <v>1718</v>
      </c>
      <c r="E85" s="509" t="s">
        <v>1719</v>
      </c>
      <c r="F85" s="509" t="s">
        <v>1720</v>
      </c>
      <c r="G85" s="509" t="s">
        <v>1721</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1819</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1690</v>
      </c>
      <c r="B101" s="460" t="s">
        <v>1732</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1734</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1736</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1820</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1737</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1738</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1821</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1804</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1740</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1656</v>
      </c>
      <c r="B1" s="1807" t="s">
        <v>1822</v>
      </c>
      <c r="C1" s="1140" t="s">
        <v>1658</v>
      </c>
      <c r="D1" s="1141"/>
      <c r="E1" s="3131"/>
      <c r="F1" s="1734"/>
      <c r="G1" s="1151" t="s">
        <v>1763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1458</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1459</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68049.77999999997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385" t="s">
        <v>1766</v>
      </c>
      <c r="D4" s="3386"/>
      <c r="E4" s="3387" t="s">
        <v>1767</v>
      </c>
      <c r="F4" s="3388"/>
      <c r="G4" s="3385" t="s">
        <v>1768</v>
      </c>
      <c r="H4" s="3386"/>
      <c r="I4" s="3385" t="s">
        <v>1769</v>
      </c>
      <c r="J4" s="3386"/>
      <c r="K4" s="537" t="s">
        <v>1770</v>
      </c>
      <c r="L4" s="860"/>
      <c r="M4" s="861"/>
      <c r="N4" s="861"/>
      <c r="O4" s="861"/>
      <c r="P4" s="3389" t="s">
        <v>1771</v>
      </c>
      <c r="Q4" s="3390"/>
      <c r="R4" s="3372" t="s">
        <v>1767</v>
      </c>
      <c r="S4" s="3373"/>
      <c r="T4" s="3372" t="s">
        <v>1768</v>
      </c>
      <c r="U4" s="3373"/>
      <c r="V4" s="3397" t="s">
        <v>1769</v>
      </c>
      <c r="W4" s="3397"/>
      <c r="X4" s="1264"/>
      <c r="Y4" s="3372" t="s">
        <v>1771</v>
      </c>
      <c r="Z4" s="3373"/>
      <c r="AA4" s="3367" t="s">
        <v>1767</v>
      </c>
      <c r="AB4" s="3368" t="s">
        <v>1768</v>
      </c>
      <c r="AC4" s="3367" t="s">
        <v>1769</v>
      </c>
    </row>
    <row r="5" spans="1:29" ht="15">
      <c r="A5" s="348"/>
      <c r="B5" s="349"/>
      <c r="C5" s="3378" t="s">
        <v>1669</v>
      </c>
      <c r="D5" s="3379"/>
      <c r="E5" s="3376" t="s">
        <v>1670</v>
      </c>
      <c r="F5" s="3377"/>
      <c r="G5" s="3378" t="s">
        <v>1671</v>
      </c>
      <c r="H5" s="3379"/>
      <c r="I5" s="3378" t="s">
        <v>1672</v>
      </c>
      <c r="J5" s="3379"/>
      <c r="K5" s="537"/>
      <c r="L5" s="860"/>
      <c r="M5" s="861"/>
      <c r="N5" s="861"/>
      <c r="O5" s="861"/>
      <c r="P5" s="3391"/>
      <c r="Q5" s="3392"/>
      <c r="R5" s="3374"/>
      <c r="S5" s="3375"/>
      <c r="T5" s="3374"/>
      <c r="U5" s="3375"/>
      <c r="V5" s="3397"/>
      <c r="W5" s="3397"/>
      <c r="X5" s="1264"/>
      <c r="Y5" s="3374"/>
      <c r="Z5" s="3375"/>
      <c r="AA5" s="3368"/>
      <c r="AB5" s="3368"/>
      <c r="AC5" s="3368"/>
    </row>
    <row r="6" spans="1:29" ht="15.75" thickBot="1">
      <c r="A6" s="350"/>
      <c r="B6" s="351"/>
      <c r="C6" s="3380" t="s">
        <v>1673</v>
      </c>
      <c r="D6" s="3381"/>
      <c r="E6" s="3382" t="s">
        <v>1673</v>
      </c>
      <c r="F6" s="3383"/>
      <c r="G6" s="3380" t="s">
        <v>1673</v>
      </c>
      <c r="H6" s="3381"/>
      <c r="I6" s="3380" t="s">
        <v>1673</v>
      </c>
      <c r="J6" s="3381"/>
      <c r="K6" s="537" t="s">
        <v>1674</v>
      </c>
      <c r="L6" s="860"/>
      <c r="M6" s="861"/>
      <c r="N6" s="861"/>
      <c r="O6" s="861"/>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c r="F7" s="357">
        <f>SUMIF(52:52,YEAR(E7)&amp;"-"&amp;MONTH(E7),53:53)</f>
        <v>0</v>
      </c>
      <c r="G7" s="356"/>
      <c r="H7" s="355">
        <f>SUMIF(52:52,YEAR(G7)&amp;"-"&amp;MONTH(G7),53:53)</f>
        <v>0</v>
      </c>
      <c r="I7" s="356"/>
      <c r="J7" s="355">
        <f>SUMIF(52:52,YEAR(I7)&amp;"-"&amp;MONTH(I7),53:53)</f>
        <v>0</v>
      </c>
      <c r="K7" s="38"/>
      <c r="L7" s="862"/>
      <c r="M7" s="863"/>
      <c r="N7" s="863"/>
      <c r="O7" s="863"/>
      <c r="P7" s="3370" t="s">
        <v>1676</v>
      </c>
      <c r="Q7" s="3398"/>
      <c r="R7" s="664" t="s">
        <v>14</v>
      </c>
      <c r="S7" s="665">
        <f t="shared" ref="S7:S15" si="0">F7</f>
        <v>0</v>
      </c>
      <c r="T7" s="664" t="s">
        <v>14</v>
      </c>
      <c r="U7" s="665">
        <f t="shared" ref="U7:U15" si="1">H7</f>
        <v>0</v>
      </c>
      <c r="V7" s="664" t="s">
        <v>14</v>
      </c>
      <c r="W7" s="665">
        <f t="shared" ref="W7:W15" si="2">J7</f>
        <v>0</v>
      </c>
      <c r="X7" s="666"/>
      <c r="Y7" s="3370" t="s">
        <v>1676</v>
      </c>
      <c r="Z7" s="3371"/>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0" t="s">
        <v>1679</v>
      </c>
      <c r="Q8" s="3371"/>
      <c r="R8" s="664" t="s">
        <v>14</v>
      </c>
      <c r="S8" s="665">
        <f t="shared" si="0"/>
        <v>100</v>
      </c>
      <c r="T8" s="664" t="s">
        <v>14</v>
      </c>
      <c r="U8" s="665">
        <f t="shared" si="1"/>
        <v>100</v>
      </c>
      <c r="V8" s="664" t="s">
        <v>14</v>
      </c>
      <c r="W8" s="665">
        <f t="shared" si="2"/>
        <v>100</v>
      </c>
      <c r="X8" s="666"/>
      <c r="Y8" s="3370" t="s">
        <v>1679</v>
      </c>
      <c r="Z8" s="3371"/>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50">
        <f t="shared" si="5"/>
        <v>1</v>
      </c>
    </row>
    <row r="10" spans="1:29" s="366" customFormat="1" ht="27">
      <c r="A10" s="363"/>
      <c r="B10" s="364" t="s">
        <v>1684</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1686</v>
      </c>
      <c r="B15" s="58" t="s">
        <v>1823</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1687</v>
      </c>
      <c r="Q15" s="1262" t="str">
        <f t="shared" si="6"/>
        <v>产业集聚程度</v>
      </c>
      <c r="R15" s="667" t="s">
        <v>14</v>
      </c>
      <c r="S15" s="668">
        <f t="shared" si="0"/>
        <v>100</v>
      </c>
      <c r="T15" s="667" t="s">
        <v>14</v>
      </c>
      <c r="U15" s="668">
        <f t="shared" si="1"/>
        <v>100</v>
      </c>
      <c r="V15" s="667" t="s">
        <v>14</v>
      </c>
      <c r="W15" s="668">
        <f t="shared" si="2"/>
        <v>100</v>
      </c>
      <c r="X15" s="1264"/>
      <c r="Y15" s="3399" t="s">
        <v>1687</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0"/>
      <c r="Q16" s="1262"/>
      <c r="R16" s="667"/>
      <c r="S16" s="668"/>
      <c r="T16" s="667"/>
      <c r="U16" s="668"/>
      <c r="V16" s="667"/>
      <c r="W16" s="668"/>
      <c r="X16" s="1264"/>
      <c r="Y16" s="340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00"/>
      <c r="Q18" s="1262"/>
      <c r="R18" s="667"/>
      <c r="S18" s="668"/>
      <c r="T18" s="667"/>
      <c r="U18" s="668"/>
      <c r="V18" s="667"/>
      <c r="W18" s="668"/>
      <c r="X18" s="1264"/>
      <c r="Y18" s="3400"/>
      <c r="Z18" s="1263"/>
      <c r="AA18" s="1263">
        <v>1</v>
      </c>
      <c r="AB18" s="1263">
        <v>1</v>
      </c>
      <c r="AC18" s="1263">
        <v>1</v>
      </c>
    </row>
    <row r="19" spans="1:29" ht="42.75">
      <c r="A19" s="367"/>
      <c r="B19" s="390" t="s">
        <v>1808</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2" t="str">
        <f>B19</f>
        <v>公共配套设施</v>
      </c>
      <c r="R19" s="667" t="s">
        <v>14</v>
      </c>
      <c r="S19" s="668">
        <f>F19</f>
        <v>100</v>
      </c>
      <c r="T19" s="667" t="s">
        <v>14</v>
      </c>
      <c r="U19" s="668">
        <f>H19</f>
        <v>100</v>
      </c>
      <c r="V19" s="667" t="s">
        <v>14</v>
      </c>
      <c r="W19" s="668">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00"/>
      <c r="Q20" s="1262"/>
      <c r="R20" s="667"/>
      <c r="S20" s="668"/>
      <c r="T20" s="667"/>
      <c r="U20" s="668"/>
      <c r="V20" s="667"/>
      <c r="W20" s="668"/>
      <c r="X20" s="1264"/>
      <c r="Y20" s="3400"/>
      <c r="Z20" s="1263"/>
      <c r="AA20" s="1263">
        <v>1</v>
      </c>
      <c r="AB20" s="1263">
        <v>1</v>
      </c>
      <c r="AC20" s="1263">
        <v>1</v>
      </c>
    </row>
    <row r="21" spans="1:29" ht="28.5">
      <c r="A21" s="367"/>
      <c r="B21" s="586" t="s">
        <v>1809</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2" t="str">
        <f>B21</f>
        <v>基础设施水平</v>
      </c>
      <c r="R21" s="667" t="s">
        <v>14</v>
      </c>
      <c r="S21" s="668">
        <f>F21</f>
        <v>100</v>
      </c>
      <c r="T21" s="667" t="s">
        <v>14</v>
      </c>
      <c r="U21" s="668">
        <f>H21</f>
        <v>100</v>
      </c>
      <c r="V21" s="667" t="s">
        <v>14</v>
      </c>
      <c r="W21" s="668">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00"/>
      <c r="Q22" s="1262"/>
      <c r="R22" s="667"/>
      <c r="S22" s="668"/>
      <c r="T22" s="667"/>
      <c r="U22" s="668"/>
      <c r="V22" s="667"/>
      <c r="W22" s="668"/>
      <c r="X22" s="1264"/>
      <c r="Y22" s="3400"/>
      <c r="Z22" s="1263"/>
      <c r="AA22" s="1263">
        <v>1</v>
      </c>
      <c r="AB22" s="1263">
        <v>1</v>
      </c>
      <c r="AC22" s="1263">
        <v>1</v>
      </c>
    </row>
    <row r="23" spans="1:29" ht="71.25">
      <c r="A23" s="367"/>
      <c r="B23" s="390" t="s">
        <v>1810</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2" t="str">
        <f>B23</f>
        <v>环境质量</v>
      </c>
      <c r="R23" s="667" t="s">
        <v>14</v>
      </c>
      <c r="S23" s="668">
        <f>F23</f>
        <v>100</v>
      </c>
      <c r="T23" s="667" t="s">
        <v>14</v>
      </c>
      <c r="U23" s="668">
        <f>H23</f>
        <v>100</v>
      </c>
      <c r="V23" s="667" t="s">
        <v>14</v>
      </c>
      <c r="W23" s="668">
        <f>J23</f>
        <v>100</v>
      </c>
      <c r="X23" s="1264"/>
      <c r="Y23" s="340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00"/>
      <c r="Q24" s="1262"/>
      <c r="R24" s="667"/>
      <c r="S24" s="668"/>
      <c r="T24" s="667"/>
      <c r="U24" s="668"/>
      <c r="V24" s="667"/>
      <c r="W24" s="668"/>
      <c r="X24" s="1264"/>
      <c r="Y24" s="340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2">
        <f>B25</f>
        <v>111</v>
      </c>
      <c r="R25" s="667" t="s">
        <v>14</v>
      </c>
      <c r="S25" s="668">
        <f>F25</f>
        <v>100</v>
      </c>
      <c r="T25" s="667" t="s">
        <v>14</v>
      </c>
      <c r="U25" s="668">
        <f>H25</f>
        <v>100</v>
      </c>
      <c r="V25" s="667" t="s">
        <v>14</v>
      </c>
      <c r="W25" s="668">
        <f>J25</f>
        <v>100</v>
      </c>
      <c r="X25" s="1264"/>
      <c r="Y25" s="340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2">
        <f t="shared" ref="Q26:Q40" si="11">B26</f>
        <v>111</v>
      </c>
      <c r="R26" s="667" t="s">
        <v>14</v>
      </c>
      <c r="S26" s="668">
        <f>F26</f>
        <v>100</v>
      </c>
      <c r="T26" s="667" t="s">
        <v>14</v>
      </c>
      <c r="U26" s="668">
        <f>H26</f>
        <v>100</v>
      </c>
      <c r="V26" s="667" t="s">
        <v>14</v>
      </c>
      <c r="W26" s="668">
        <f>J26</f>
        <v>100</v>
      </c>
      <c r="X26" s="1264"/>
      <c r="Y26" s="340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2">
        <f t="shared" si="11"/>
        <v>111</v>
      </c>
      <c r="R28" s="667" t="s">
        <v>14</v>
      </c>
      <c r="S28" s="668">
        <f t="shared" ref="S28:S40" si="12">F28</f>
        <v>100</v>
      </c>
      <c r="T28" s="667" t="s">
        <v>14</v>
      </c>
      <c r="U28" s="668">
        <f t="shared" ref="U28:U40" si="13">H28</f>
        <v>100</v>
      </c>
      <c r="V28" s="667" t="s">
        <v>14</v>
      </c>
      <c r="W28" s="668">
        <f t="shared" ref="W28:W40" si="14">J28</f>
        <v>100</v>
      </c>
      <c r="X28" s="1264"/>
      <c r="Y28" s="3400"/>
      <c r="Z28" s="1263">
        <f t="shared" ref="Z28:Z40" si="15">Q28</f>
        <v>111</v>
      </c>
      <c r="AA28" s="1263">
        <f t="shared" si="3"/>
        <v>1</v>
      </c>
      <c r="AB28" s="1263">
        <f t="shared" si="4"/>
        <v>1</v>
      </c>
      <c r="AC28" s="1263">
        <f t="shared" si="5"/>
        <v>1</v>
      </c>
    </row>
    <row r="29" spans="1:29" ht="28.5">
      <c r="A29" s="404" t="s">
        <v>1690</v>
      </c>
      <c r="B29" s="60" t="s">
        <v>1813</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01" t="s">
        <v>1692</v>
      </c>
      <c r="Q29" s="1262" t="str">
        <f t="shared" si="11"/>
        <v>建筑类型</v>
      </c>
      <c r="R29" s="667" t="s">
        <v>14</v>
      </c>
      <c r="S29" s="668">
        <f t="shared" si="12"/>
        <v>100</v>
      </c>
      <c r="T29" s="667" t="s">
        <v>14</v>
      </c>
      <c r="U29" s="668">
        <f t="shared" si="13"/>
        <v>100</v>
      </c>
      <c r="V29" s="667" t="s">
        <v>14</v>
      </c>
      <c r="W29" s="668">
        <f t="shared" si="14"/>
        <v>100</v>
      </c>
      <c r="X29" s="1264"/>
      <c r="Y29" s="3402" t="s">
        <v>1692</v>
      </c>
      <c r="Z29" s="1263" t="str">
        <f t="shared" si="15"/>
        <v>建筑类型</v>
      </c>
      <c r="AA29" s="1263">
        <f t="shared" si="3"/>
        <v>1</v>
      </c>
      <c r="AB29" s="1263">
        <f t="shared" si="4"/>
        <v>1</v>
      </c>
      <c r="AC29" s="1263">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3" t="e">
        <f t="shared" si="3"/>
        <v>#N/A</v>
      </c>
      <c r="AB30" s="1263" t="e">
        <f t="shared" si="4"/>
        <v>#N/A</v>
      </c>
      <c r="AC30" s="1263"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2" t="str">
        <f t="shared" si="11"/>
        <v>建筑结构</v>
      </c>
      <c r="R31" s="667" t="s">
        <v>14</v>
      </c>
      <c r="S31" s="668">
        <f t="shared" si="12"/>
        <v>100</v>
      </c>
      <c r="T31" s="667" t="s">
        <v>14</v>
      </c>
      <c r="U31" s="668">
        <f t="shared" si="13"/>
        <v>100</v>
      </c>
      <c r="V31" s="667" t="s">
        <v>14</v>
      </c>
      <c r="W31" s="668">
        <f t="shared" si="14"/>
        <v>100</v>
      </c>
      <c r="X31" s="1264"/>
      <c r="Y31" s="3402"/>
      <c r="Z31" s="1263" t="str">
        <f t="shared" si="15"/>
        <v>建筑结构</v>
      </c>
      <c r="AA31" s="1263">
        <f t="shared" si="3"/>
        <v>1</v>
      </c>
      <c r="AB31" s="1263">
        <f t="shared" si="4"/>
        <v>1</v>
      </c>
      <c r="AC31" s="1263">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2" t="str">
        <f t="shared" si="11"/>
        <v>公共部分装修</v>
      </c>
      <c r="R32" s="667" t="s">
        <v>14</v>
      </c>
      <c r="S32" s="668">
        <f t="shared" si="12"/>
        <v>100</v>
      </c>
      <c r="T32" s="667" t="s">
        <v>14</v>
      </c>
      <c r="U32" s="668">
        <f t="shared" si="13"/>
        <v>100</v>
      </c>
      <c r="V32" s="667" t="s">
        <v>14</v>
      </c>
      <c r="W32" s="668">
        <f t="shared" si="14"/>
        <v>100</v>
      </c>
      <c r="X32" s="1264"/>
      <c r="Y32" s="3402"/>
      <c r="Z32" s="1263" t="str">
        <f t="shared" si="15"/>
        <v>公共部分装修</v>
      </c>
      <c r="AA32" s="1263">
        <f t="shared" si="3"/>
        <v>1</v>
      </c>
      <c r="AB32" s="1263">
        <f t="shared" si="4"/>
        <v>1</v>
      </c>
      <c r="AC32" s="1263">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2" t="str">
        <f t="shared" si="11"/>
        <v>成新度</v>
      </c>
      <c r="R33" s="667" t="s">
        <v>14</v>
      </c>
      <c r="S33" s="668" t="e">
        <f t="shared" si="12"/>
        <v>#N/A</v>
      </c>
      <c r="T33" s="667" t="s">
        <v>14</v>
      </c>
      <c r="U33" s="668" t="e">
        <f t="shared" si="13"/>
        <v>#N/A</v>
      </c>
      <c r="V33" s="667" t="s">
        <v>14</v>
      </c>
      <c r="W33" s="668" t="e">
        <f t="shared" si="14"/>
        <v>#N/A</v>
      </c>
      <c r="X33" s="1264"/>
      <c r="Y33" s="3402"/>
      <c r="Z33" s="1263" t="str">
        <f t="shared" si="15"/>
        <v>成新度</v>
      </c>
      <c r="AA33" s="1263" t="e">
        <f t="shared" si="3"/>
        <v>#N/A</v>
      </c>
      <c r="AB33" s="1263" t="e">
        <f t="shared" si="4"/>
        <v>#N/A</v>
      </c>
      <c r="AC33" s="1263"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1692</v>
      </c>
      <c r="Q35" s="1262" t="str">
        <f t="shared" si="11"/>
        <v>市政基础设施</v>
      </c>
      <c r="R35" s="667" t="s">
        <v>14</v>
      </c>
      <c r="S35" s="668">
        <f t="shared" si="12"/>
        <v>100</v>
      </c>
      <c r="T35" s="667" t="s">
        <v>14</v>
      </c>
      <c r="U35" s="668">
        <f t="shared" si="13"/>
        <v>100</v>
      </c>
      <c r="V35" s="667" t="s">
        <v>14</v>
      </c>
      <c r="W35" s="668">
        <f t="shared" si="14"/>
        <v>100</v>
      </c>
      <c r="X35" s="1264"/>
      <c r="Y35" s="3402" t="s">
        <v>1692</v>
      </c>
      <c r="Z35" s="1263" t="str">
        <f t="shared" si="15"/>
        <v>市政基础设施</v>
      </c>
      <c r="AA35" s="1263">
        <f t="shared" si="3"/>
        <v>1</v>
      </c>
      <c r="AB35" s="1263">
        <f t="shared" si="4"/>
        <v>1</v>
      </c>
      <c r="AC35" s="1263">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2" t="str">
        <f t="shared" si="11"/>
        <v>内部装修</v>
      </c>
      <c r="R36" s="667" t="s">
        <v>14</v>
      </c>
      <c r="S36" s="668">
        <f t="shared" si="12"/>
        <v>100</v>
      </c>
      <c r="T36" s="667" t="s">
        <v>14</v>
      </c>
      <c r="U36" s="668">
        <f t="shared" si="13"/>
        <v>100</v>
      </c>
      <c r="V36" s="667" t="s">
        <v>14</v>
      </c>
      <c r="W36" s="668">
        <f t="shared" si="14"/>
        <v>100</v>
      </c>
      <c r="X36" s="1264"/>
      <c r="Y36" s="3402"/>
      <c r="Z36" s="1263" t="str">
        <f t="shared" si="15"/>
        <v>内部装修</v>
      </c>
      <c r="AA36" s="1263">
        <f t="shared" si="3"/>
        <v>1</v>
      </c>
      <c r="AB36" s="1263">
        <f t="shared" si="4"/>
        <v>1</v>
      </c>
      <c r="AC36" s="1263">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2" t="str">
        <f t="shared" si="11"/>
        <v>内部装修状况</v>
      </c>
      <c r="R37" s="667" t="s">
        <v>14</v>
      </c>
      <c r="S37" s="668">
        <f t="shared" si="12"/>
        <v>100</v>
      </c>
      <c r="T37" s="667" t="s">
        <v>14</v>
      </c>
      <c r="U37" s="668">
        <f t="shared" si="13"/>
        <v>100</v>
      </c>
      <c r="V37" s="667" t="s">
        <v>14</v>
      </c>
      <c r="W37" s="668">
        <f t="shared" si="14"/>
        <v>100</v>
      </c>
      <c r="X37" s="1264"/>
      <c r="Y37" s="340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2">
        <f t="shared" si="11"/>
        <v>111</v>
      </c>
      <c r="R39" s="667" t="s">
        <v>14</v>
      </c>
      <c r="S39" s="668">
        <f t="shared" si="12"/>
        <v>100</v>
      </c>
      <c r="T39" s="667" t="s">
        <v>14</v>
      </c>
      <c r="U39" s="668">
        <f t="shared" si="13"/>
        <v>100</v>
      </c>
      <c r="V39" s="667" t="s">
        <v>14</v>
      </c>
      <c r="W39" s="668">
        <f t="shared" si="14"/>
        <v>100</v>
      </c>
      <c r="X39" s="1264"/>
      <c r="Y39" s="340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2">
        <f t="shared" si="11"/>
        <v>111</v>
      </c>
      <c r="R40" s="667" t="s">
        <v>14</v>
      </c>
      <c r="S40" s="668">
        <f t="shared" si="12"/>
        <v>100</v>
      </c>
      <c r="T40" s="667" t="s">
        <v>14</v>
      </c>
      <c r="U40" s="668">
        <f t="shared" si="13"/>
        <v>100</v>
      </c>
      <c r="V40" s="667" t="s">
        <v>14</v>
      </c>
      <c r="W40" s="668">
        <f t="shared" si="14"/>
        <v>100</v>
      </c>
      <c r="X40" s="1264"/>
      <c r="Y40" s="3439"/>
      <c r="Z40" s="1263">
        <f t="shared" si="15"/>
        <v>111</v>
      </c>
      <c r="AA40" s="1263">
        <f t="shared" si="3"/>
        <v>1</v>
      </c>
      <c r="AB40" s="1263">
        <f t="shared" si="4"/>
        <v>1</v>
      </c>
      <c r="AC40" s="1263">
        <f t="shared" si="5"/>
        <v>1</v>
      </c>
    </row>
    <row r="41" spans="1:29" ht="15">
      <c r="A41" s="416" t="s">
        <v>1704</v>
      </c>
      <c r="B41" s="417"/>
      <c r="C41" s="1081" t="s">
        <v>0</v>
      </c>
      <c r="D41" s="418"/>
      <c r="E41" s="419"/>
      <c r="F41" s="420"/>
      <c r="G41" s="421"/>
      <c r="H41" s="422"/>
      <c r="I41" s="419"/>
      <c r="J41" s="422"/>
      <c r="K41" s="674"/>
      <c r="L41" s="873"/>
      <c r="M41" s="861"/>
      <c r="N41" s="861"/>
      <c r="O41" s="861"/>
      <c r="P41" s="3384" t="str">
        <f>A41</f>
        <v>成交单价（元/平方米）</v>
      </c>
      <c r="Q41" s="3384"/>
      <c r="R41" s="3397">
        <f>E41</f>
        <v>0</v>
      </c>
      <c r="S41" s="3397"/>
      <c r="T41" s="3397">
        <f>G41</f>
        <v>0</v>
      </c>
      <c r="U41" s="3397"/>
      <c r="V41" s="3397">
        <f>I41</f>
        <v>0</v>
      </c>
      <c r="W41" s="3397"/>
      <c r="X41" s="385"/>
      <c r="Y41" s="673"/>
      <c r="Z41" s="385"/>
      <c r="AA41" s="385"/>
      <c r="AB41" s="385"/>
      <c r="AC41" s="385"/>
    </row>
    <row r="42" spans="1:29" ht="15.75" thickBot="1">
      <c r="A42" s="423" t="s">
        <v>1789</v>
      </c>
      <c r="B42" s="424"/>
      <c r="C42" s="1082" t="e">
        <f>R43</f>
        <v>#DIV/0!</v>
      </c>
      <c r="D42" s="2140" t="s">
        <v>2133</v>
      </c>
      <c r="E42" s="1083" t="e">
        <f>R42</f>
        <v>#DIV/0!</v>
      </c>
      <c r="F42" s="2141"/>
      <c r="G42" s="1082" t="e">
        <f>T42</f>
        <v>#DIV/0!</v>
      </c>
      <c r="H42" s="2141"/>
      <c r="I42" s="1083" t="e">
        <f>V42</f>
        <v>#DIV/0!</v>
      </c>
      <c r="J42" s="2141"/>
      <c r="K42" s="2143">
        <f>F42+H42+J42</f>
        <v>0</v>
      </c>
      <c r="L42" s="873"/>
      <c r="M42" s="861"/>
      <c r="N42" s="861"/>
      <c r="O42" s="861"/>
      <c r="P42" s="3384" t="str">
        <f>A42</f>
        <v>比较价值（元/平方米）</v>
      </c>
      <c r="Q42" s="3384"/>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8"/>
      <c r="O54" s="2539"/>
      <c r="P54" s="439"/>
      <c r="Q54" s="439"/>
    </row>
    <row r="55" spans="1:17" s="102" customFormat="1" ht="15">
      <c r="A55" s="455" t="s">
        <v>1677</v>
      </c>
      <c r="B55" s="444"/>
      <c r="C55" s="456" t="s">
        <v>1772</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1715</v>
      </c>
      <c r="B57" s="460" t="s">
        <v>1681</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1734</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1736</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1737</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1738</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1740</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1827</v>
      </c>
      <c r="B1" s="1139" t="s">
        <v>3330</v>
      </c>
      <c r="C1" s="1140" t="s">
        <v>1658</v>
      </c>
      <c r="D1" s="1141"/>
      <c r="E1" s="3131"/>
      <c r="F1" s="1734"/>
      <c r="G1" s="1143" t="s">
        <v>1763</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1459</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389" t="s">
        <v>1771</v>
      </c>
      <c r="Q4" s="3390"/>
      <c r="R4" s="3372" t="s">
        <v>1767</v>
      </c>
      <c r="S4" s="3373"/>
      <c r="T4" s="3372" t="s">
        <v>1768</v>
      </c>
      <c r="U4" s="3373"/>
      <c r="V4" s="3397" t="s">
        <v>1769</v>
      </c>
      <c r="W4" s="3397"/>
      <c r="X4" s="1264"/>
      <c r="Y4" s="3372" t="s">
        <v>1771</v>
      </c>
      <c r="Z4" s="3373"/>
      <c r="AA4" s="3367" t="s">
        <v>1767</v>
      </c>
      <c r="AB4" s="3368" t="s">
        <v>1768</v>
      </c>
      <c r="AC4" s="3367" t="s">
        <v>1769</v>
      </c>
    </row>
    <row r="5" spans="1:29" ht="15">
      <c r="A5" s="348"/>
      <c r="B5" s="349"/>
      <c r="C5" s="3378" t="s">
        <v>1669</v>
      </c>
      <c r="D5" s="3379"/>
      <c r="E5" s="3376" t="s">
        <v>1670</v>
      </c>
      <c r="F5" s="3377"/>
      <c r="G5" s="3378" t="s">
        <v>1671</v>
      </c>
      <c r="H5" s="3379"/>
      <c r="I5" s="3378" t="s">
        <v>1672</v>
      </c>
      <c r="J5" s="3379"/>
      <c r="K5" s="537"/>
      <c r="L5" s="2486"/>
      <c r="M5" s="2487"/>
      <c r="N5" s="2487"/>
      <c r="O5" s="2487"/>
      <c r="P5" s="3391"/>
      <c r="Q5" s="3392"/>
      <c r="R5" s="3374"/>
      <c r="S5" s="3375"/>
      <c r="T5" s="3374"/>
      <c r="U5" s="3375"/>
      <c r="V5" s="3397"/>
      <c r="W5" s="3397"/>
      <c r="X5" s="1264"/>
      <c r="Y5" s="3374"/>
      <c r="Z5" s="3375"/>
      <c r="AA5" s="3368"/>
      <c r="AB5" s="3368"/>
      <c r="AC5" s="3368"/>
    </row>
    <row r="6" spans="1:29" ht="15.75" thickBot="1">
      <c r="A6" s="350"/>
      <c r="B6" s="351"/>
      <c r="C6" s="3380" t="s">
        <v>1673</v>
      </c>
      <c r="D6" s="3381"/>
      <c r="E6" s="3382" t="s">
        <v>1673</v>
      </c>
      <c r="F6" s="3383"/>
      <c r="G6" s="3380" t="s">
        <v>1673</v>
      </c>
      <c r="H6" s="3381"/>
      <c r="I6" s="3380" t="s">
        <v>1673</v>
      </c>
      <c r="J6" s="3381"/>
      <c r="K6" s="537" t="s">
        <v>1674</v>
      </c>
      <c r="L6" s="2486"/>
      <c r="M6" s="2487"/>
      <c r="N6" s="2487"/>
      <c r="O6" s="2487"/>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0" t="s">
        <v>1676</v>
      </c>
      <c r="Q7" s="3398"/>
      <c r="R7" s="664" t="s">
        <v>14</v>
      </c>
      <c r="S7" s="665">
        <f t="shared" ref="S7:S14" si="0">F7</f>
        <v>0</v>
      </c>
      <c r="T7" s="664" t="s">
        <v>14</v>
      </c>
      <c r="U7" s="665">
        <f t="shared" ref="U7:U14" si="1">H7</f>
        <v>0</v>
      </c>
      <c r="V7" s="664" t="s">
        <v>14</v>
      </c>
      <c r="W7" s="665">
        <f t="shared" ref="W7:W14" si="2">J7</f>
        <v>0</v>
      </c>
      <c r="X7" s="666"/>
      <c r="Y7" s="3370" t="s">
        <v>1676</v>
      </c>
      <c r="Z7" s="3371"/>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0" t="s">
        <v>1679</v>
      </c>
      <c r="Q8" s="3371"/>
      <c r="R8" s="664" t="s">
        <v>14</v>
      </c>
      <c r="S8" s="665">
        <f t="shared" si="0"/>
        <v>100</v>
      </c>
      <c r="T8" s="664" t="s">
        <v>14</v>
      </c>
      <c r="U8" s="665">
        <f t="shared" si="1"/>
        <v>100</v>
      </c>
      <c r="V8" s="664" t="s">
        <v>14</v>
      </c>
      <c r="W8" s="665">
        <f t="shared" si="2"/>
        <v>100</v>
      </c>
      <c r="X8" s="666"/>
      <c r="Y8" s="3370" t="s">
        <v>1679</v>
      </c>
      <c r="Z8" s="3371"/>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4" t="s">
        <v>1682</v>
      </c>
      <c r="Q9" s="530" t="str">
        <f t="shared" ref="Q9:Q14" si="6">B9</f>
        <v>用途</v>
      </c>
      <c r="R9" s="664" t="s">
        <v>14</v>
      </c>
      <c r="S9" s="665">
        <f t="shared" si="0"/>
        <v>100</v>
      </c>
      <c r="T9" s="664" t="s">
        <v>14</v>
      </c>
      <c r="U9" s="665">
        <f t="shared" si="1"/>
        <v>100</v>
      </c>
      <c r="V9" s="664" t="s">
        <v>14</v>
      </c>
      <c r="W9" s="665">
        <f t="shared" si="2"/>
        <v>100</v>
      </c>
      <c r="X9" s="666"/>
      <c r="Y9" s="3340" t="s">
        <v>1683</v>
      </c>
      <c r="Z9" s="50" t="str">
        <f t="shared" ref="Z9:Z14" si="7">Q9</f>
        <v>用途</v>
      </c>
      <c r="AA9" s="50">
        <f t="shared" si="3"/>
        <v>1</v>
      </c>
      <c r="AB9" s="50">
        <f t="shared" si="4"/>
        <v>1</v>
      </c>
      <c r="AC9" s="50">
        <f t="shared" si="5"/>
        <v>1</v>
      </c>
    </row>
    <row r="10" spans="1:29" s="366" customFormat="1" ht="27">
      <c r="A10" s="565"/>
      <c r="B10" s="566" t="s">
        <v>1684</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1686</v>
      </c>
      <c r="B14" s="554" t="s">
        <v>1829</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9" t="s">
        <v>1687</v>
      </c>
      <c r="Q14" s="1262" t="str">
        <f t="shared" si="6"/>
        <v>交通便捷度</v>
      </c>
      <c r="R14" s="667" t="s">
        <v>14</v>
      </c>
      <c r="S14" s="668">
        <f t="shared" si="0"/>
        <v>100</v>
      </c>
      <c r="T14" s="667" t="s">
        <v>14</v>
      </c>
      <c r="U14" s="668">
        <f t="shared" si="1"/>
        <v>100</v>
      </c>
      <c r="V14" s="667" t="s">
        <v>14</v>
      </c>
      <c r="W14" s="668">
        <f t="shared" si="2"/>
        <v>100</v>
      </c>
      <c r="X14" s="1264"/>
      <c r="Y14" s="3399" t="s">
        <v>1687</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0"/>
      <c r="Q15" s="1262"/>
      <c r="R15" s="667"/>
      <c r="S15" s="668"/>
      <c r="T15" s="667"/>
      <c r="U15" s="668"/>
      <c r="V15" s="667"/>
      <c r="W15" s="668"/>
      <c r="X15" s="1264"/>
      <c r="Y15" s="3400"/>
      <c r="Z15" s="1263"/>
      <c r="AA15" s="1263">
        <v>1</v>
      </c>
      <c r="AB15" s="1263">
        <v>1</v>
      </c>
      <c r="AC15" s="1263">
        <v>1</v>
      </c>
    </row>
    <row r="16" spans="1:29" ht="42.75">
      <c r="A16" s="348"/>
      <c r="B16" s="556" t="s">
        <v>1808</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0"/>
      <c r="Q16" s="1262" t="str">
        <f>B16</f>
        <v>公共配套设施</v>
      </c>
      <c r="R16" s="667" t="s">
        <v>14</v>
      </c>
      <c r="S16" s="668">
        <f>F16</f>
        <v>100</v>
      </c>
      <c r="T16" s="667" t="s">
        <v>14</v>
      </c>
      <c r="U16" s="668">
        <f>H16</f>
        <v>100</v>
      </c>
      <c r="V16" s="667" t="s">
        <v>14</v>
      </c>
      <c r="W16" s="668">
        <f>J16</f>
        <v>100</v>
      </c>
      <c r="X16" s="1264"/>
      <c r="Y16" s="340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0"/>
      <c r="Q17" s="1262"/>
      <c r="R17" s="667"/>
      <c r="S17" s="668"/>
      <c r="T17" s="667"/>
      <c r="U17" s="668"/>
      <c r="V17" s="667"/>
      <c r="W17" s="668"/>
      <c r="X17" s="1264"/>
      <c r="Y17" s="3400"/>
      <c r="Z17" s="1263"/>
      <c r="AA17" s="1263">
        <v>1</v>
      </c>
      <c r="AB17" s="1263">
        <v>1</v>
      </c>
      <c r="AC17" s="1263">
        <v>1</v>
      </c>
    </row>
    <row r="18" spans="1:29" ht="28.5">
      <c r="A18" s="348"/>
      <c r="B18" s="557" t="s">
        <v>1809</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0"/>
      <c r="Q18" s="1262" t="str">
        <f>B18</f>
        <v>基础设施水平</v>
      </c>
      <c r="R18" s="667" t="s">
        <v>14</v>
      </c>
      <c r="S18" s="668">
        <f>F18</f>
        <v>100</v>
      </c>
      <c r="T18" s="667" t="s">
        <v>14</v>
      </c>
      <c r="U18" s="668">
        <f>H18</f>
        <v>100</v>
      </c>
      <c r="V18" s="667" t="s">
        <v>14</v>
      </c>
      <c r="W18" s="668">
        <f>J18</f>
        <v>100</v>
      </c>
      <c r="X18" s="1264"/>
      <c r="Y18" s="340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00"/>
      <c r="Q19" s="1262"/>
      <c r="R19" s="667"/>
      <c r="S19" s="668"/>
      <c r="T19" s="667"/>
      <c r="U19" s="668"/>
      <c r="V19" s="667"/>
      <c r="W19" s="668"/>
      <c r="X19" s="1264"/>
      <c r="Y19" s="3400"/>
      <c r="Z19" s="1263"/>
      <c r="AA19" s="1263">
        <v>1</v>
      </c>
      <c r="AB19" s="1263">
        <v>1</v>
      </c>
      <c r="AC19" s="1263">
        <v>1</v>
      </c>
    </row>
    <row r="20" spans="1:29" ht="57">
      <c r="A20" s="348"/>
      <c r="B20" s="556" t="s">
        <v>1830</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0"/>
      <c r="Q20" s="1262" t="str">
        <f>B20</f>
        <v>自然及人文环境</v>
      </c>
      <c r="R20" s="667" t="s">
        <v>14</v>
      </c>
      <c r="S20" s="668">
        <f>F20</f>
        <v>100</v>
      </c>
      <c r="T20" s="667" t="s">
        <v>14</v>
      </c>
      <c r="U20" s="668">
        <f>H20</f>
        <v>100</v>
      </c>
      <c r="V20" s="667" t="s">
        <v>14</v>
      </c>
      <c r="W20" s="668">
        <f>J20</f>
        <v>100</v>
      </c>
      <c r="X20" s="1264"/>
      <c r="Y20" s="340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0"/>
      <c r="Q21" s="1262"/>
      <c r="R21" s="667"/>
      <c r="S21" s="668"/>
      <c r="T21" s="667"/>
      <c r="U21" s="668"/>
      <c r="V21" s="667"/>
      <c r="W21" s="668"/>
      <c r="X21" s="1264"/>
      <c r="Y21" s="3400"/>
      <c r="Z21" s="1263"/>
      <c r="AA21" s="1263">
        <v>1</v>
      </c>
      <c r="AB21" s="1263">
        <v>1</v>
      </c>
      <c r="AC21" s="1263">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0"/>
      <c r="Q22" s="1262" t="str">
        <f>B22</f>
        <v>楼层</v>
      </c>
      <c r="R22" s="667" t="s">
        <v>14</v>
      </c>
      <c r="S22" s="668">
        <f>F22</f>
        <v>100</v>
      </c>
      <c r="T22" s="667" t="s">
        <v>14</v>
      </c>
      <c r="U22" s="668">
        <f>H22</f>
        <v>100</v>
      </c>
      <c r="V22" s="667" t="s">
        <v>14</v>
      </c>
      <c r="W22" s="668">
        <f>J22</f>
        <v>100</v>
      </c>
      <c r="X22" s="1264"/>
      <c r="Y22" s="340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0"/>
      <c r="Q23" s="1262">
        <f>B23</f>
        <v>111</v>
      </c>
      <c r="R23" s="667" t="s">
        <v>14</v>
      </c>
      <c r="S23" s="668">
        <f>F23</f>
        <v>100</v>
      </c>
      <c r="T23" s="667" t="s">
        <v>14</v>
      </c>
      <c r="U23" s="668">
        <f>H23</f>
        <v>100</v>
      </c>
      <c r="V23" s="667" t="s">
        <v>14</v>
      </c>
      <c r="W23" s="668">
        <f>J23</f>
        <v>100</v>
      </c>
      <c r="X23" s="1264"/>
      <c r="Y23" s="340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0"/>
      <c r="Q24" s="1262">
        <f t="shared" ref="Q24:Q36" si="11">B24</f>
        <v>111</v>
      </c>
      <c r="R24" s="667" t="s">
        <v>14</v>
      </c>
      <c r="S24" s="668">
        <f>F24</f>
        <v>100</v>
      </c>
      <c r="T24" s="667" t="s">
        <v>14</v>
      </c>
      <c r="U24" s="668">
        <f>H24</f>
        <v>100</v>
      </c>
      <c r="V24" s="667" t="s">
        <v>14</v>
      </c>
      <c r="W24" s="668">
        <f>J24</f>
        <v>100</v>
      </c>
      <c r="X24" s="1264"/>
      <c r="Y24" s="340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0"/>
      <c r="Q25" s="530">
        <f t="shared" si="11"/>
        <v>111</v>
      </c>
      <c r="R25" s="664" t="s">
        <v>14</v>
      </c>
      <c r="S25" s="665">
        <f>F25</f>
        <v>100</v>
      </c>
      <c r="T25" s="664" t="s">
        <v>14</v>
      </c>
      <c r="U25" s="665">
        <f>H25</f>
        <v>100</v>
      </c>
      <c r="V25" s="664" t="s">
        <v>14</v>
      </c>
      <c r="W25" s="665">
        <f>J25</f>
        <v>100</v>
      </c>
      <c r="X25" s="666"/>
      <c r="Y25" s="3400"/>
      <c r="Z25" s="50">
        <f>Q25</f>
        <v>111</v>
      </c>
      <c r="AA25" s="1263">
        <f>D25/F25</f>
        <v>1</v>
      </c>
      <c r="AB25" s="1263">
        <f>D25/H25</f>
        <v>1</v>
      </c>
      <c r="AC25" s="1263">
        <f>D25/J25</f>
        <v>1</v>
      </c>
    </row>
    <row r="26" spans="1:29" ht="28.5">
      <c r="A26" s="574" t="s">
        <v>1690</v>
      </c>
      <c r="B26" s="59" t="s">
        <v>1832</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01" t="s">
        <v>1692</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2" t="s">
        <v>1692</v>
      </c>
      <c r="Z26" s="1263" t="str">
        <f t="shared" ref="Z26:Z36" si="15">Q26</f>
        <v>配套类型</v>
      </c>
      <c r="AA26" s="1263" t="e">
        <f t="shared" si="3"/>
        <v>#DIV/0!</v>
      </c>
      <c r="AB26" s="1263" t="e">
        <f t="shared" si="4"/>
        <v>#DIV/0!</v>
      </c>
      <c r="AC26" s="1263"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3">
        <f t="shared" si="3"/>
        <v>1</v>
      </c>
      <c r="AB27" s="1263">
        <f t="shared" si="4"/>
        <v>1</v>
      </c>
      <c r="AC27" s="1263">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2"/>
      <c r="Q28" s="1262" t="str">
        <f t="shared" si="11"/>
        <v>公共部分装修</v>
      </c>
      <c r="R28" s="667" t="s">
        <v>14</v>
      </c>
      <c r="S28" s="668">
        <f t="shared" si="12"/>
        <v>100</v>
      </c>
      <c r="T28" s="667" t="s">
        <v>14</v>
      </c>
      <c r="U28" s="668">
        <f t="shared" si="13"/>
        <v>100</v>
      </c>
      <c r="V28" s="667" t="s">
        <v>14</v>
      </c>
      <c r="W28" s="668">
        <f t="shared" si="14"/>
        <v>100</v>
      </c>
      <c r="X28" s="1264"/>
      <c r="Y28" s="3402"/>
      <c r="Z28" s="1263" t="str">
        <f t="shared" si="15"/>
        <v>公共部分装修</v>
      </c>
      <c r="AA28" s="1263">
        <f t="shared" si="3"/>
        <v>1</v>
      </c>
      <c r="AB28" s="1263">
        <f t="shared" si="4"/>
        <v>1</v>
      </c>
      <c r="AC28" s="1263">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2"/>
      <c r="Q29" s="1262" t="str">
        <f t="shared" si="11"/>
        <v>成新率</v>
      </c>
      <c r="R29" s="667" t="s">
        <v>14</v>
      </c>
      <c r="S29" s="668" t="e">
        <f t="shared" si="12"/>
        <v>#N/A</v>
      </c>
      <c r="T29" s="667" t="s">
        <v>14</v>
      </c>
      <c r="U29" s="668" t="e">
        <f t="shared" si="13"/>
        <v>#N/A</v>
      </c>
      <c r="V29" s="667" t="s">
        <v>14</v>
      </c>
      <c r="W29" s="668" t="e">
        <f t="shared" si="14"/>
        <v>#N/A</v>
      </c>
      <c r="X29" s="1264"/>
      <c r="Y29" s="3402"/>
      <c r="Z29" s="1263" t="str">
        <f t="shared" si="15"/>
        <v>成新率</v>
      </c>
      <c r="AA29" s="1263" t="e">
        <f t="shared" si="3"/>
        <v>#N/A</v>
      </c>
      <c r="AB29" s="1263" t="e">
        <f t="shared" si="4"/>
        <v>#N/A</v>
      </c>
      <c r="AC29" s="1263"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2"/>
      <c r="Q30" s="1262" t="str">
        <f t="shared" si="11"/>
        <v>物业等级</v>
      </c>
      <c r="R30" s="667" t="s">
        <v>14</v>
      </c>
      <c r="S30" s="668">
        <f t="shared" si="12"/>
        <v>100</v>
      </c>
      <c r="T30" s="667" t="s">
        <v>14</v>
      </c>
      <c r="U30" s="668">
        <f t="shared" si="13"/>
        <v>100</v>
      </c>
      <c r="V30" s="667" t="s">
        <v>14</v>
      </c>
      <c r="W30" s="668">
        <f t="shared" si="14"/>
        <v>100</v>
      </c>
      <c r="X30" s="1264"/>
      <c r="Y30" s="3402"/>
      <c r="Z30" s="1263" t="str">
        <f t="shared" si="15"/>
        <v>物业等级</v>
      </c>
      <c r="AA30" s="1263">
        <f t="shared" si="3"/>
        <v>1</v>
      </c>
      <c r="AB30" s="1263">
        <f t="shared" si="4"/>
        <v>1</v>
      </c>
      <c r="AC30" s="1263">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2" t="s">
        <v>1692</v>
      </c>
      <c r="Q32" s="1262" t="str">
        <f t="shared" si="11"/>
        <v>车位类型</v>
      </c>
      <c r="R32" s="667" t="s">
        <v>14</v>
      </c>
      <c r="S32" s="668">
        <f t="shared" si="12"/>
        <v>100</v>
      </c>
      <c r="T32" s="667" t="s">
        <v>14</v>
      </c>
      <c r="U32" s="668">
        <f t="shared" si="13"/>
        <v>100</v>
      </c>
      <c r="V32" s="667" t="s">
        <v>14</v>
      </c>
      <c r="W32" s="668">
        <f t="shared" si="14"/>
        <v>100</v>
      </c>
      <c r="X32" s="1264"/>
      <c r="Y32" s="3402" t="s">
        <v>1692</v>
      </c>
      <c r="Z32" s="1263" t="str">
        <f t="shared" si="15"/>
        <v>车位类型</v>
      </c>
      <c r="AA32" s="1263">
        <f t="shared" si="3"/>
        <v>1</v>
      </c>
      <c r="AB32" s="1263">
        <f t="shared" si="4"/>
        <v>1</v>
      </c>
      <c r="AC32" s="1263">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2"/>
      <c r="Q33" s="1262" t="str">
        <f t="shared" si="11"/>
        <v>是否直接入户</v>
      </c>
      <c r="R33" s="667" t="s">
        <v>14</v>
      </c>
      <c r="S33" s="668">
        <f t="shared" si="12"/>
        <v>100</v>
      </c>
      <c r="T33" s="667" t="s">
        <v>14</v>
      </c>
      <c r="U33" s="668">
        <f t="shared" si="13"/>
        <v>100</v>
      </c>
      <c r="V33" s="667" t="s">
        <v>14</v>
      </c>
      <c r="W33" s="668">
        <f t="shared" si="14"/>
        <v>100</v>
      </c>
      <c r="X33" s="1264"/>
      <c r="Y33" s="340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2"/>
      <c r="Q34" s="1262">
        <f t="shared" si="11"/>
        <v>111</v>
      </c>
      <c r="R34" s="667" t="s">
        <v>14</v>
      </c>
      <c r="S34" s="668">
        <f t="shared" si="12"/>
        <v>100</v>
      </c>
      <c r="T34" s="667" t="s">
        <v>14</v>
      </c>
      <c r="U34" s="668">
        <f t="shared" si="13"/>
        <v>100</v>
      </c>
      <c r="V34" s="667" t="s">
        <v>14</v>
      </c>
      <c r="W34" s="668">
        <f t="shared" si="14"/>
        <v>100</v>
      </c>
      <c r="X34" s="1264"/>
      <c r="Y34" s="340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2"/>
      <c r="Q36" s="1262">
        <f t="shared" si="11"/>
        <v>111</v>
      </c>
      <c r="R36" s="667" t="s">
        <v>14</v>
      </c>
      <c r="S36" s="668">
        <f t="shared" si="12"/>
        <v>100</v>
      </c>
      <c r="T36" s="667" t="s">
        <v>14</v>
      </c>
      <c r="U36" s="668">
        <f t="shared" si="13"/>
        <v>100</v>
      </c>
      <c r="V36" s="667" t="s">
        <v>14</v>
      </c>
      <c r="W36" s="668">
        <f t="shared" si="14"/>
        <v>100</v>
      </c>
      <c r="X36" s="1264"/>
      <c r="Y36" s="3402"/>
      <c r="Z36" s="1263">
        <f t="shared" si="15"/>
        <v>111</v>
      </c>
      <c r="AA36" s="1263">
        <f t="shared" si="3"/>
        <v>1</v>
      </c>
      <c r="AB36" s="1263">
        <f t="shared" si="4"/>
        <v>1</v>
      </c>
      <c r="AC36" s="1263">
        <f t="shared" si="5"/>
        <v>1</v>
      </c>
    </row>
    <row r="37" spans="1:29" ht="15">
      <c r="A37" s="416" t="s">
        <v>1840</v>
      </c>
      <c r="B37" s="1820" t="s">
        <v>3351</v>
      </c>
      <c r="C37" s="1081" t="s">
        <v>0</v>
      </c>
      <c r="D37" s="418"/>
      <c r="E37" s="419"/>
      <c r="F37" s="420"/>
      <c r="G37" s="421"/>
      <c r="H37" s="422"/>
      <c r="I37" s="419"/>
      <c r="J37" s="422"/>
      <c r="K37" s="545"/>
      <c r="L37" s="2494"/>
      <c r="M37" s="2487"/>
      <c r="N37" s="2487"/>
      <c r="O37" s="2487"/>
      <c r="P37" s="3384" t="str">
        <f>A37</f>
        <v>成交单价</v>
      </c>
      <c r="Q37" s="3384"/>
      <c r="R37" s="3397">
        <f>E37</f>
        <v>0</v>
      </c>
      <c r="S37" s="3397"/>
      <c r="T37" s="3397">
        <f>G37</f>
        <v>0</v>
      </c>
      <c r="U37" s="3397"/>
      <c r="V37" s="3397">
        <f>I37</f>
        <v>0</v>
      </c>
      <c r="W37" s="3397"/>
      <c r="X37" s="385"/>
      <c r="Y37" s="673"/>
      <c r="Z37" s="385"/>
      <c r="AA37" s="385"/>
      <c r="AB37" s="385"/>
      <c r="AC37" s="385"/>
    </row>
    <row r="38" spans="1:29" ht="15.75" thickBot="1">
      <c r="A38" s="423" t="s">
        <v>1841</v>
      </c>
      <c r="B38" s="424" t="str">
        <f>B37</f>
        <v>元/平方米</v>
      </c>
      <c r="C38" s="1082" t="e">
        <f>R39</f>
        <v>#DIV/0!</v>
      </c>
      <c r="D38" s="2140" t="s">
        <v>2133</v>
      </c>
      <c r="E38" s="1083" t="e">
        <f>R38</f>
        <v>#DIV/0!</v>
      </c>
      <c r="F38" s="2141"/>
      <c r="G38" s="1082" t="e">
        <f>T38</f>
        <v>#DIV/0!</v>
      </c>
      <c r="H38" s="2141"/>
      <c r="I38" s="1083" t="e">
        <f>V38</f>
        <v>#DIV/0!</v>
      </c>
      <c r="J38" s="2141"/>
      <c r="K38" s="2143">
        <f>F38+H38+J38</f>
        <v>0</v>
      </c>
      <c r="L38" s="2494"/>
      <c r="M38" s="2487"/>
      <c r="N38" s="2487"/>
      <c r="O38" s="2487"/>
      <c r="P38" s="3384" t="str">
        <f>A38</f>
        <v>比较价值（元/平方米）</v>
      </c>
      <c r="Q38" s="3384"/>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4"/>
      <c r="M39" s="2487"/>
      <c r="N39" s="2487"/>
      <c r="O39" s="2487"/>
      <c r="P39" s="3404" t="str">
        <f>A39</f>
        <v>估价对象XX用房的比较价值（楼面单价，元/平方米）</v>
      </c>
      <c r="Q39" s="3405"/>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1846</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1847</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1712</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1677</v>
      </c>
      <c r="B51" s="444"/>
      <c r="C51" s="456" t="s">
        <v>1772</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1715</v>
      </c>
      <c r="B53" s="460" t="s">
        <v>1681</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1684</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1723</v>
      </c>
      <c r="C65" s="509" t="s">
        <v>1717</v>
      </c>
      <c r="D65" s="509" t="s">
        <v>1718</v>
      </c>
      <c r="E65" s="509" t="s">
        <v>1719</v>
      </c>
      <c r="F65" s="509" t="s">
        <v>1720</v>
      </c>
      <c r="G65" s="509" t="s">
        <v>1721</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1809</v>
      </c>
      <c r="C67" s="581" t="s">
        <v>1795</v>
      </c>
      <c r="D67" s="581" t="s">
        <v>1796</v>
      </c>
      <c r="E67" s="581" t="s">
        <v>1797</v>
      </c>
      <c r="F67" s="581" t="s">
        <v>1798</v>
      </c>
      <c r="G67" s="581" t="s">
        <v>1799</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1729</v>
      </c>
      <c r="C69" s="509" t="s">
        <v>1717</v>
      </c>
      <c r="D69" s="509" t="s">
        <v>1718</v>
      </c>
      <c r="E69" s="509" t="s">
        <v>1719</v>
      </c>
      <c r="F69" s="509" t="s">
        <v>1720</v>
      </c>
      <c r="G69" s="509" t="s">
        <v>1721</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1848</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1690</v>
      </c>
      <c r="B79" s="460" t="s">
        <v>1849</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1850</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1736</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1852</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1854</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1855</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1827</v>
      </c>
      <c r="B1" s="1139" t="s">
        <v>3331</v>
      </c>
      <c r="C1" s="1140" t="s">
        <v>1658</v>
      </c>
      <c r="D1" s="1141"/>
      <c r="E1" s="3131"/>
      <c r="F1" s="1734"/>
      <c r="G1" s="1151" t="s">
        <v>1763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1458</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1459</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389" t="s">
        <v>1771</v>
      </c>
      <c r="Q4" s="3390"/>
      <c r="R4" s="3372" t="s">
        <v>1767</v>
      </c>
      <c r="S4" s="3373"/>
      <c r="T4" s="3372" t="s">
        <v>1768</v>
      </c>
      <c r="U4" s="3373"/>
      <c r="V4" s="3397" t="s">
        <v>1769</v>
      </c>
      <c r="W4" s="3397"/>
      <c r="X4" s="1264"/>
      <c r="Y4" s="3372" t="s">
        <v>1771</v>
      </c>
      <c r="Z4" s="3373"/>
      <c r="AA4" s="3367" t="s">
        <v>1767</v>
      </c>
      <c r="AB4" s="3368" t="s">
        <v>1768</v>
      </c>
      <c r="AC4" s="3367" t="s">
        <v>1769</v>
      </c>
    </row>
    <row r="5" spans="1:29" ht="15">
      <c r="A5" s="348"/>
      <c r="B5" s="349"/>
      <c r="C5" s="3378" t="s">
        <v>1669</v>
      </c>
      <c r="D5" s="3379"/>
      <c r="E5" s="3376" t="s">
        <v>1670</v>
      </c>
      <c r="F5" s="3377"/>
      <c r="G5" s="3378" t="s">
        <v>1671</v>
      </c>
      <c r="H5" s="3379"/>
      <c r="I5" s="3378" t="s">
        <v>1672</v>
      </c>
      <c r="J5" s="3379"/>
      <c r="K5" s="537"/>
      <c r="L5" s="2486"/>
      <c r="M5" s="2487"/>
      <c r="N5" s="2487"/>
      <c r="O5" s="2487"/>
      <c r="P5" s="3391"/>
      <c r="Q5" s="3392"/>
      <c r="R5" s="3374"/>
      <c r="S5" s="3375"/>
      <c r="T5" s="3374"/>
      <c r="U5" s="3375"/>
      <c r="V5" s="3397"/>
      <c r="W5" s="3397"/>
      <c r="X5" s="1264"/>
      <c r="Y5" s="3374"/>
      <c r="Z5" s="3375"/>
      <c r="AA5" s="3368"/>
      <c r="AB5" s="3368"/>
      <c r="AC5" s="3368"/>
    </row>
    <row r="6" spans="1:29" ht="15.75" thickBot="1">
      <c r="A6" s="350"/>
      <c r="B6" s="351"/>
      <c r="C6" s="3380" t="s">
        <v>1673</v>
      </c>
      <c r="D6" s="3381"/>
      <c r="E6" s="3382" t="s">
        <v>1673</v>
      </c>
      <c r="F6" s="3383"/>
      <c r="G6" s="3380" t="s">
        <v>1673</v>
      </c>
      <c r="H6" s="3381"/>
      <c r="I6" s="3380" t="s">
        <v>1673</v>
      </c>
      <c r="J6" s="3381"/>
      <c r="K6" s="537" t="s">
        <v>1674</v>
      </c>
      <c r="L6" s="2486"/>
      <c r="M6" s="2487"/>
      <c r="N6" s="2487"/>
      <c r="O6" s="2487"/>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0" t="s">
        <v>1676</v>
      </c>
      <c r="Q7" s="3398"/>
      <c r="R7" s="664" t="s">
        <v>14</v>
      </c>
      <c r="S7" s="665">
        <f t="shared" ref="S7:S14" si="0">F7</f>
        <v>0</v>
      </c>
      <c r="T7" s="664" t="s">
        <v>14</v>
      </c>
      <c r="U7" s="665">
        <f t="shared" ref="U7:U14" si="1">H7</f>
        <v>0</v>
      </c>
      <c r="V7" s="664" t="s">
        <v>14</v>
      </c>
      <c r="W7" s="665">
        <f t="shared" ref="W7:W14" si="2">J7</f>
        <v>0</v>
      </c>
      <c r="X7" s="666"/>
      <c r="Y7" s="3370" t="s">
        <v>1676</v>
      </c>
      <c r="Z7" s="3371"/>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0" t="s">
        <v>1679</v>
      </c>
      <c r="Q8" s="3371"/>
      <c r="R8" s="664" t="s">
        <v>14</v>
      </c>
      <c r="S8" s="665">
        <f t="shared" si="0"/>
        <v>100</v>
      </c>
      <c r="T8" s="664" t="s">
        <v>14</v>
      </c>
      <c r="U8" s="665">
        <f t="shared" si="1"/>
        <v>100</v>
      </c>
      <c r="V8" s="664" t="s">
        <v>14</v>
      </c>
      <c r="W8" s="665">
        <f t="shared" si="2"/>
        <v>100</v>
      </c>
      <c r="X8" s="666"/>
      <c r="Y8" s="3370" t="s">
        <v>1679</v>
      </c>
      <c r="Z8" s="3371"/>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4" t="s">
        <v>1682</v>
      </c>
      <c r="Q9" s="530" t="str">
        <f t="shared" ref="Q9:Q14" si="6">B9</f>
        <v>用途</v>
      </c>
      <c r="R9" s="664" t="s">
        <v>14</v>
      </c>
      <c r="S9" s="665">
        <f t="shared" si="0"/>
        <v>100</v>
      </c>
      <c r="T9" s="664" t="s">
        <v>14</v>
      </c>
      <c r="U9" s="665">
        <f t="shared" si="1"/>
        <v>100</v>
      </c>
      <c r="V9" s="664" t="s">
        <v>14</v>
      </c>
      <c r="W9" s="665">
        <f t="shared" si="2"/>
        <v>100</v>
      </c>
      <c r="X9" s="666"/>
      <c r="Y9" s="3340" t="s">
        <v>1683</v>
      </c>
      <c r="Z9" s="50" t="str">
        <f t="shared" ref="Z9:Z14" si="7">Q9</f>
        <v>用途</v>
      </c>
      <c r="AA9" s="50">
        <f t="shared" si="3"/>
        <v>1</v>
      </c>
      <c r="AB9" s="50">
        <f t="shared" si="4"/>
        <v>1</v>
      </c>
      <c r="AC9" s="50">
        <f t="shared" si="5"/>
        <v>1</v>
      </c>
    </row>
    <row r="10" spans="1:29" s="366" customFormat="1" ht="27">
      <c r="A10" s="363"/>
      <c r="B10" s="364" t="s">
        <v>1684</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1686</v>
      </c>
      <c r="B14" s="58" t="s">
        <v>1829</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9" t="s">
        <v>1687</v>
      </c>
      <c r="Q14" s="1262" t="str">
        <f t="shared" si="6"/>
        <v>交通便捷度</v>
      </c>
      <c r="R14" s="667" t="s">
        <v>14</v>
      </c>
      <c r="S14" s="668">
        <f t="shared" si="0"/>
        <v>100</v>
      </c>
      <c r="T14" s="667" t="s">
        <v>14</v>
      </c>
      <c r="U14" s="668">
        <f t="shared" si="1"/>
        <v>100</v>
      </c>
      <c r="V14" s="667" t="s">
        <v>14</v>
      </c>
      <c r="W14" s="668">
        <f t="shared" si="2"/>
        <v>100</v>
      </c>
      <c r="X14" s="1264"/>
      <c r="Y14" s="3399" t="s">
        <v>1687</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0"/>
      <c r="Q15" s="1262"/>
      <c r="R15" s="667"/>
      <c r="S15" s="668"/>
      <c r="T15" s="667"/>
      <c r="U15" s="668"/>
      <c r="V15" s="667"/>
      <c r="W15" s="668"/>
      <c r="X15" s="1264"/>
      <c r="Y15" s="3400"/>
      <c r="Z15" s="1263"/>
      <c r="AA15" s="1263">
        <v>1</v>
      </c>
      <c r="AB15" s="1263">
        <v>1</v>
      </c>
      <c r="AC15" s="1263">
        <v>1</v>
      </c>
    </row>
    <row r="16" spans="1:29" ht="42.75">
      <c r="A16" s="367"/>
      <c r="B16" s="390" t="s">
        <v>1808</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0"/>
      <c r="Q16" s="1262" t="str">
        <f>B16</f>
        <v>公共配套设施</v>
      </c>
      <c r="R16" s="667" t="s">
        <v>14</v>
      </c>
      <c r="S16" s="668">
        <f>F16</f>
        <v>100</v>
      </c>
      <c r="T16" s="667" t="s">
        <v>14</v>
      </c>
      <c r="U16" s="668">
        <f>H16</f>
        <v>100</v>
      </c>
      <c r="V16" s="667" t="s">
        <v>14</v>
      </c>
      <c r="W16" s="668">
        <f>J16</f>
        <v>100</v>
      </c>
      <c r="X16" s="1264"/>
      <c r="Y16" s="340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0"/>
      <c r="Q17" s="1262"/>
      <c r="R17" s="667"/>
      <c r="S17" s="668"/>
      <c r="T17" s="667"/>
      <c r="U17" s="668"/>
      <c r="V17" s="667"/>
      <c r="W17" s="668"/>
      <c r="X17" s="1264"/>
      <c r="Y17" s="3400"/>
      <c r="Z17" s="1263"/>
      <c r="AA17" s="1263">
        <v>1</v>
      </c>
      <c r="AB17" s="1263">
        <v>1</v>
      </c>
      <c r="AC17" s="1263">
        <v>1</v>
      </c>
    </row>
    <row r="18" spans="1:29" ht="28.5">
      <c r="A18" s="367"/>
      <c r="B18" s="586" t="s">
        <v>1809</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0"/>
      <c r="Q18" s="1262" t="str">
        <f>B18</f>
        <v>基础设施水平</v>
      </c>
      <c r="R18" s="667" t="s">
        <v>14</v>
      </c>
      <c r="S18" s="668">
        <f>F18</f>
        <v>100</v>
      </c>
      <c r="T18" s="667" t="s">
        <v>14</v>
      </c>
      <c r="U18" s="668">
        <f>H18</f>
        <v>100</v>
      </c>
      <c r="V18" s="667" t="s">
        <v>14</v>
      </c>
      <c r="W18" s="668">
        <f>J18</f>
        <v>100</v>
      </c>
      <c r="X18" s="1264"/>
      <c r="Y18" s="340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00"/>
      <c r="Q19" s="1262"/>
      <c r="R19" s="667"/>
      <c r="S19" s="668"/>
      <c r="T19" s="667"/>
      <c r="U19" s="668"/>
      <c r="V19" s="667"/>
      <c r="W19" s="668"/>
      <c r="X19" s="1264"/>
      <c r="Y19" s="3400"/>
      <c r="Z19" s="1263"/>
      <c r="AA19" s="1263">
        <v>1</v>
      </c>
      <c r="AB19" s="1263">
        <v>1</v>
      </c>
      <c r="AC19" s="1263">
        <v>1</v>
      </c>
    </row>
    <row r="20" spans="1:29" ht="57">
      <c r="A20" s="367"/>
      <c r="B20" s="390" t="s">
        <v>1830</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0"/>
      <c r="Q20" s="1262" t="str">
        <f>B20</f>
        <v>自然及人文环境</v>
      </c>
      <c r="R20" s="667" t="s">
        <v>14</v>
      </c>
      <c r="S20" s="668">
        <f>F20</f>
        <v>100</v>
      </c>
      <c r="T20" s="667" t="s">
        <v>14</v>
      </c>
      <c r="U20" s="668">
        <f>H20</f>
        <v>100</v>
      </c>
      <c r="V20" s="667" t="s">
        <v>14</v>
      </c>
      <c r="W20" s="668">
        <f>J20</f>
        <v>100</v>
      </c>
      <c r="X20" s="1264"/>
      <c r="Y20" s="340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0"/>
      <c r="Q21" s="1262"/>
      <c r="R21" s="667"/>
      <c r="S21" s="668"/>
      <c r="T21" s="667"/>
      <c r="U21" s="668"/>
      <c r="V21" s="667"/>
      <c r="W21" s="668"/>
      <c r="X21" s="1264"/>
      <c r="Y21" s="3400"/>
      <c r="Z21" s="1263"/>
      <c r="AA21" s="1263">
        <v>1</v>
      </c>
      <c r="AB21" s="1263">
        <v>1</v>
      </c>
      <c r="AC21" s="1263">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0"/>
      <c r="Q22" s="1262" t="str">
        <f>B22</f>
        <v>楼层</v>
      </c>
      <c r="R22" s="667" t="s">
        <v>14</v>
      </c>
      <c r="S22" s="668">
        <f>F22</f>
        <v>100</v>
      </c>
      <c r="T22" s="667" t="s">
        <v>14</v>
      </c>
      <c r="U22" s="668">
        <f>H22</f>
        <v>100</v>
      </c>
      <c r="V22" s="667" t="s">
        <v>14</v>
      </c>
      <c r="W22" s="668">
        <f>J22</f>
        <v>100</v>
      </c>
      <c r="X22" s="1264"/>
      <c r="Y22" s="340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0"/>
      <c r="Q23" s="1262">
        <f>B23</f>
        <v>111</v>
      </c>
      <c r="R23" s="667" t="s">
        <v>14</v>
      </c>
      <c r="S23" s="668">
        <f>F23</f>
        <v>100</v>
      </c>
      <c r="T23" s="667" t="s">
        <v>14</v>
      </c>
      <c r="U23" s="668">
        <f>H23</f>
        <v>100</v>
      </c>
      <c r="V23" s="667" t="s">
        <v>14</v>
      </c>
      <c r="W23" s="668">
        <f>J23</f>
        <v>100</v>
      </c>
      <c r="X23" s="1264"/>
      <c r="Y23" s="340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0"/>
      <c r="Q24" s="1262">
        <f t="shared" ref="Q24:Q34" si="11">B24</f>
        <v>111</v>
      </c>
      <c r="R24" s="667" t="s">
        <v>14</v>
      </c>
      <c r="S24" s="668">
        <f>F24</f>
        <v>100</v>
      </c>
      <c r="T24" s="667" t="s">
        <v>14</v>
      </c>
      <c r="U24" s="668">
        <f>H24</f>
        <v>100</v>
      </c>
      <c r="V24" s="667" t="s">
        <v>14</v>
      </c>
      <c r="W24" s="668">
        <f>J24</f>
        <v>100</v>
      </c>
      <c r="X24" s="1264"/>
      <c r="Y24" s="340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0"/>
      <c r="Q25" s="530">
        <f t="shared" si="11"/>
        <v>111</v>
      </c>
      <c r="R25" s="664" t="s">
        <v>14</v>
      </c>
      <c r="S25" s="665">
        <f>F25</f>
        <v>100</v>
      </c>
      <c r="T25" s="664" t="s">
        <v>14</v>
      </c>
      <c r="U25" s="665">
        <f>H25</f>
        <v>100</v>
      </c>
      <c r="V25" s="664" t="s">
        <v>14</v>
      </c>
      <c r="W25" s="665">
        <f>J25</f>
        <v>100</v>
      </c>
      <c r="X25" s="666"/>
      <c r="Y25" s="3400"/>
      <c r="Z25" s="50">
        <f>Q25</f>
        <v>111</v>
      </c>
      <c r="AA25" s="1263">
        <f>D25/F25</f>
        <v>1</v>
      </c>
      <c r="AB25" s="1263">
        <f>D25/H25</f>
        <v>1</v>
      </c>
      <c r="AC25" s="1263">
        <f>D25/J25</f>
        <v>1</v>
      </c>
    </row>
    <row r="26" spans="1:29" ht="28.5">
      <c r="A26" s="404" t="s">
        <v>1690</v>
      </c>
      <c r="B26" s="60" t="s">
        <v>1834</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01" t="s">
        <v>1692</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2" t="s">
        <v>1692</v>
      </c>
      <c r="Z26" s="1263" t="str">
        <f t="shared" ref="Z26:Z34" si="15">Q26</f>
        <v>公共部分装修</v>
      </c>
      <c r="AA26" s="1263">
        <f t="shared" si="3"/>
        <v>1</v>
      </c>
      <c r="AB26" s="1263">
        <f t="shared" si="4"/>
        <v>1</v>
      </c>
      <c r="AC26" s="1263">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3" t="e">
        <f t="shared" si="3"/>
        <v>#N/A</v>
      </c>
      <c r="AB27" s="1263" t="e">
        <f t="shared" si="4"/>
        <v>#N/A</v>
      </c>
      <c r="AC27" s="1263"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2"/>
      <c r="Q28" s="1262" t="str">
        <f t="shared" si="11"/>
        <v>物业等级</v>
      </c>
      <c r="R28" s="667" t="s">
        <v>14</v>
      </c>
      <c r="S28" s="668">
        <f t="shared" si="12"/>
        <v>100</v>
      </c>
      <c r="T28" s="667" t="s">
        <v>14</v>
      </c>
      <c r="U28" s="668">
        <f t="shared" si="13"/>
        <v>100</v>
      </c>
      <c r="V28" s="667" t="s">
        <v>14</v>
      </c>
      <c r="W28" s="668">
        <f t="shared" si="14"/>
        <v>100</v>
      </c>
      <c r="X28" s="1264"/>
      <c r="Y28" s="3402"/>
      <c r="Z28" s="1263" t="str">
        <f t="shared" si="15"/>
        <v>物业等级</v>
      </c>
      <c r="AA28" s="1263">
        <f t="shared" si="3"/>
        <v>1</v>
      </c>
      <c r="AB28" s="1263">
        <f t="shared" si="4"/>
        <v>1</v>
      </c>
      <c r="AC28" s="1263">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2"/>
      <c r="Q29" s="1262" t="str">
        <f t="shared" si="11"/>
        <v>有无电梯</v>
      </c>
      <c r="R29" s="667" t="s">
        <v>14</v>
      </c>
      <c r="S29" s="668">
        <f t="shared" si="12"/>
        <v>100</v>
      </c>
      <c r="T29" s="667" t="s">
        <v>14</v>
      </c>
      <c r="U29" s="668">
        <f t="shared" si="13"/>
        <v>100</v>
      </c>
      <c r="V29" s="667" t="s">
        <v>14</v>
      </c>
      <c r="W29" s="668">
        <f t="shared" si="14"/>
        <v>100</v>
      </c>
      <c r="X29" s="1264"/>
      <c r="Y29" s="3402"/>
      <c r="Z29" s="1263" t="str">
        <f t="shared" si="15"/>
        <v>有无电梯</v>
      </c>
      <c r="AA29" s="1263">
        <f t="shared" si="3"/>
        <v>1</v>
      </c>
      <c r="AB29" s="1263">
        <f t="shared" si="4"/>
        <v>1</v>
      </c>
      <c r="AC29" s="1263">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2"/>
      <c r="Q30" s="1262" t="str">
        <f t="shared" si="11"/>
        <v>建筑面积</v>
      </c>
      <c r="R30" s="667" t="s">
        <v>14</v>
      </c>
      <c r="S30" s="668" t="e">
        <f t="shared" si="12"/>
        <v>#N/A</v>
      </c>
      <c r="T30" s="667" t="s">
        <v>14</v>
      </c>
      <c r="U30" s="668" t="e">
        <f t="shared" si="13"/>
        <v>#N/A</v>
      </c>
      <c r="V30" s="667" t="s">
        <v>14</v>
      </c>
      <c r="W30" s="668" t="e">
        <f t="shared" si="14"/>
        <v>#N/A</v>
      </c>
      <c r="X30" s="1264"/>
      <c r="Y30" s="3402"/>
      <c r="Z30" s="1263" t="str">
        <f t="shared" si="15"/>
        <v>建筑面积</v>
      </c>
      <c r="AA30" s="1263" t="e">
        <f t="shared" si="3"/>
        <v>#N/A</v>
      </c>
      <c r="AB30" s="1263" t="e">
        <f t="shared" si="4"/>
        <v>#N/A</v>
      </c>
      <c r="AC30" s="1263"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2" t="s">
        <v>1692</v>
      </c>
      <c r="Q32" s="1262">
        <f t="shared" si="11"/>
        <v>111</v>
      </c>
      <c r="R32" s="667" t="s">
        <v>14</v>
      </c>
      <c r="S32" s="668">
        <f t="shared" si="12"/>
        <v>100</v>
      </c>
      <c r="T32" s="667" t="s">
        <v>14</v>
      </c>
      <c r="U32" s="668">
        <f t="shared" si="13"/>
        <v>100</v>
      </c>
      <c r="V32" s="667" t="s">
        <v>14</v>
      </c>
      <c r="W32" s="668">
        <f t="shared" si="14"/>
        <v>100</v>
      </c>
      <c r="X32" s="1264"/>
      <c r="Y32" s="3402" t="s">
        <v>1692</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2"/>
      <c r="Q33" s="1262">
        <f t="shared" si="11"/>
        <v>111</v>
      </c>
      <c r="R33" s="667" t="s">
        <v>14</v>
      </c>
      <c r="S33" s="668">
        <f t="shared" si="12"/>
        <v>100</v>
      </c>
      <c r="T33" s="667" t="s">
        <v>14</v>
      </c>
      <c r="U33" s="668">
        <f t="shared" si="13"/>
        <v>100</v>
      </c>
      <c r="V33" s="667" t="s">
        <v>14</v>
      </c>
      <c r="W33" s="668">
        <f t="shared" si="14"/>
        <v>100</v>
      </c>
      <c r="X33" s="1264"/>
      <c r="Y33" s="340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2"/>
      <c r="Q34" s="1262">
        <f t="shared" si="11"/>
        <v>111</v>
      </c>
      <c r="R34" s="667" t="s">
        <v>14</v>
      </c>
      <c r="S34" s="668">
        <f t="shared" si="12"/>
        <v>100</v>
      </c>
      <c r="T34" s="667" t="s">
        <v>14</v>
      </c>
      <c r="U34" s="668">
        <f t="shared" si="13"/>
        <v>100</v>
      </c>
      <c r="V34" s="667" t="s">
        <v>14</v>
      </c>
      <c r="W34" s="668">
        <f t="shared" si="14"/>
        <v>100</v>
      </c>
      <c r="X34" s="1264"/>
      <c r="Y34" s="3402"/>
      <c r="Z34" s="1263">
        <f t="shared" si="15"/>
        <v>111</v>
      </c>
      <c r="AA34" s="1263">
        <f t="shared" si="3"/>
        <v>1</v>
      </c>
      <c r="AB34" s="1263">
        <f t="shared" si="4"/>
        <v>1</v>
      </c>
      <c r="AC34" s="1263">
        <f t="shared" si="5"/>
        <v>1</v>
      </c>
    </row>
    <row r="35" spans="1:30" ht="15">
      <c r="A35" s="416" t="s">
        <v>1704</v>
      </c>
      <c r="B35" s="417"/>
      <c r="C35" s="1081" t="s">
        <v>0</v>
      </c>
      <c r="D35" s="418"/>
      <c r="E35" s="419"/>
      <c r="F35" s="420"/>
      <c r="G35" s="421"/>
      <c r="H35" s="422"/>
      <c r="I35" s="419"/>
      <c r="J35" s="422"/>
      <c r="K35" s="674"/>
      <c r="L35" s="2494"/>
      <c r="M35" s="2487"/>
      <c r="N35" s="2487"/>
      <c r="O35" s="2487"/>
      <c r="P35" s="3384" t="str">
        <f>A35</f>
        <v>成交单价（元/平方米）</v>
      </c>
      <c r="Q35" s="3384"/>
      <c r="R35" s="3397">
        <f>E35</f>
        <v>0</v>
      </c>
      <c r="S35" s="3397"/>
      <c r="T35" s="3397">
        <f>G35</f>
        <v>0</v>
      </c>
      <c r="U35" s="3397"/>
      <c r="V35" s="3397">
        <f>I35</f>
        <v>0</v>
      </c>
      <c r="W35" s="3397"/>
      <c r="X35" s="385"/>
      <c r="Y35" s="673"/>
      <c r="Z35" s="385"/>
      <c r="AA35" s="385"/>
      <c r="AB35" s="385"/>
      <c r="AC35" s="385"/>
    </row>
    <row r="36" spans="1:30" ht="15.75" thickBot="1">
      <c r="A36" s="423" t="s">
        <v>1789</v>
      </c>
      <c r="B36" s="424"/>
      <c r="C36" s="1082" t="e">
        <f>R37</f>
        <v>#DIV/0!</v>
      </c>
      <c r="D36" s="2140" t="s">
        <v>2133</v>
      </c>
      <c r="E36" s="1083" t="e">
        <f>R36</f>
        <v>#DIV/0!</v>
      </c>
      <c r="F36" s="2141"/>
      <c r="G36" s="1082" t="e">
        <f>T36</f>
        <v>#DIV/0!</v>
      </c>
      <c r="H36" s="2141"/>
      <c r="I36" s="1083" t="e">
        <f>V36</f>
        <v>#DIV/0!</v>
      </c>
      <c r="J36" s="2141"/>
      <c r="K36" s="2143">
        <f>F36+H36+J36</f>
        <v>0</v>
      </c>
      <c r="L36" s="2494"/>
      <c r="M36" s="2487"/>
      <c r="N36" s="2487"/>
      <c r="O36" s="2487"/>
      <c r="P36" s="3384" t="str">
        <f>A36</f>
        <v>比较价值（元/平方米）</v>
      </c>
      <c r="Q36" s="3384"/>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94"/>
      <c r="M37" s="2487"/>
      <c r="N37" s="2487"/>
      <c r="O37" s="2487"/>
      <c r="P37" s="3404" t="str">
        <f>A37</f>
        <v>估价对象XX用房的比较价值（楼面单价，元/平方米）</v>
      </c>
      <c r="Q37" s="3405"/>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1794</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1675</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1712</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1677</v>
      </c>
      <c r="B49" s="444"/>
      <c r="C49" s="456" t="s">
        <v>1772</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1715</v>
      </c>
      <c r="B51" s="460" t="s">
        <v>1681</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1684</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1859</v>
      </c>
      <c r="C63" s="509" t="s">
        <v>1717</v>
      </c>
      <c r="D63" s="509" t="s">
        <v>1718</v>
      </c>
      <c r="E63" s="509" t="s">
        <v>1719</v>
      </c>
      <c r="F63" s="509" t="s">
        <v>1720</v>
      </c>
      <c r="G63" s="509" t="s">
        <v>1721</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1809</v>
      </c>
      <c r="C65" s="581" t="s">
        <v>1795</v>
      </c>
      <c r="D65" s="581" t="s">
        <v>1796</v>
      </c>
      <c r="E65" s="581" t="s">
        <v>1797</v>
      </c>
      <c r="F65" s="581" t="s">
        <v>1798</v>
      </c>
      <c r="G65" s="581" t="s">
        <v>1799</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1729</v>
      </c>
      <c r="C67" s="509" t="s">
        <v>1717</v>
      </c>
      <c r="D67" s="509" t="s">
        <v>1718</v>
      </c>
      <c r="E67" s="509" t="s">
        <v>1719</v>
      </c>
      <c r="F67" s="509" t="s">
        <v>1720</v>
      </c>
      <c r="G67" s="509" t="s">
        <v>1721</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1848</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1690</v>
      </c>
      <c r="B77" s="460" t="s">
        <v>1736</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1852</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1860</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1862</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1913</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1765</v>
      </c>
      <c r="B4" s="346"/>
      <c r="C4" s="3385" t="s">
        <v>1766</v>
      </c>
      <c r="D4" s="3386"/>
      <c r="E4" s="3387" t="s">
        <v>1767</v>
      </c>
      <c r="F4" s="3388"/>
      <c r="G4" s="3385" t="s">
        <v>1768</v>
      </c>
      <c r="H4" s="3386"/>
      <c r="I4" s="3385" t="s">
        <v>1769</v>
      </c>
      <c r="J4" s="3386"/>
      <c r="K4" s="537" t="s">
        <v>1770</v>
      </c>
      <c r="L4" s="2486"/>
      <c r="M4" s="2487"/>
      <c r="N4" s="2487"/>
      <c r="O4" s="2487"/>
      <c r="P4" s="3389" t="s">
        <v>1771</v>
      </c>
      <c r="Q4" s="3390"/>
      <c r="R4" s="3372" t="s">
        <v>1767</v>
      </c>
      <c r="S4" s="3373"/>
      <c r="T4" s="3372" t="s">
        <v>1768</v>
      </c>
      <c r="U4" s="3373"/>
      <c r="V4" s="3397" t="s">
        <v>1769</v>
      </c>
      <c r="W4" s="3397"/>
      <c r="X4" s="1264"/>
      <c r="Y4" s="3372" t="s">
        <v>1771</v>
      </c>
      <c r="Z4" s="3373"/>
      <c r="AA4" s="3367" t="s">
        <v>1767</v>
      </c>
      <c r="AB4" s="3368" t="s">
        <v>1768</v>
      </c>
      <c r="AC4" s="3367" t="s">
        <v>1769</v>
      </c>
    </row>
    <row r="5" spans="1:29" ht="15">
      <c r="A5" s="348"/>
      <c r="B5" s="349"/>
      <c r="C5" s="3378" t="s">
        <v>1669</v>
      </c>
      <c r="D5" s="3379"/>
      <c r="E5" s="3376" t="s">
        <v>1670</v>
      </c>
      <c r="F5" s="3377"/>
      <c r="G5" s="3378" t="s">
        <v>1671</v>
      </c>
      <c r="H5" s="3379"/>
      <c r="I5" s="3378" t="s">
        <v>1672</v>
      </c>
      <c r="J5" s="3379"/>
      <c r="K5" s="537"/>
      <c r="L5" s="2486"/>
      <c r="M5" s="2487"/>
      <c r="N5" s="2487"/>
      <c r="O5" s="2487"/>
      <c r="P5" s="3391"/>
      <c r="Q5" s="3392"/>
      <c r="R5" s="3374"/>
      <c r="S5" s="3375"/>
      <c r="T5" s="3374"/>
      <c r="U5" s="3375"/>
      <c r="V5" s="3397"/>
      <c r="W5" s="3397"/>
      <c r="X5" s="1264"/>
      <c r="Y5" s="3374"/>
      <c r="Z5" s="3375"/>
      <c r="AA5" s="3368"/>
      <c r="AB5" s="3368"/>
      <c r="AC5" s="3368"/>
    </row>
    <row r="6" spans="1:29" ht="15.75" thickBot="1">
      <c r="A6" s="350"/>
      <c r="B6" s="351"/>
      <c r="C6" s="3458" t="s">
        <v>1914</v>
      </c>
      <c r="D6" s="3459"/>
      <c r="E6" s="3460" t="s">
        <v>1914</v>
      </c>
      <c r="F6" s="3461"/>
      <c r="G6" s="3458" t="s">
        <v>1914</v>
      </c>
      <c r="H6" s="3459"/>
      <c r="I6" s="3458" t="s">
        <v>1914</v>
      </c>
      <c r="J6" s="3459"/>
      <c r="K6" s="537" t="s">
        <v>1674</v>
      </c>
      <c r="L6" s="2486"/>
      <c r="M6" s="2487"/>
      <c r="N6" s="2487"/>
      <c r="O6" s="2487"/>
      <c r="P6" s="3393"/>
      <c r="Q6" s="3394"/>
      <c r="R6" s="3374"/>
      <c r="S6" s="3375"/>
      <c r="T6" s="3395"/>
      <c r="U6" s="3396"/>
      <c r="V6" s="3397"/>
      <c r="W6" s="3397"/>
      <c r="X6" s="1264"/>
      <c r="Y6" s="3395"/>
      <c r="Z6" s="3396"/>
      <c r="AA6" s="3369"/>
      <c r="AB6" s="3369"/>
      <c r="AC6" s="3369"/>
    </row>
    <row r="7" spans="1:29" s="102" customFormat="1" ht="15.75" thickBot="1">
      <c r="A7" s="352" t="s">
        <v>1675</v>
      </c>
      <c r="B7" s="353"/>
      <c r="C7" s="354">
        <f>'数据-取费表'!B2</f>
        <v>45604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0" t="s">
        <v>1676</v>
      </c>
      <c r="Q7" s="3398"/>
      <c r="R7" s="664" t="s">
        <v>14</v>
      </c>
      <c r="S7" s="665">
        <f t="shared" ref="S7:S15" si="0">F7</f>
        <v>0</v>
      </c>
      <c r="T7" s="664" t="s">
        <v>14</v>
      </c>
      <c r="U7" s="665">
        <f t="shared" ref="U7:U15" si="1">H7</f>
        <v>0</v>
      </c>
      <c r="V7" s="664" t="s">
        <v>14</v>
      </c>
      <c r="W7" s="665">
        <f t="shared" ref="W7:W15" si="2">J7</f>
        <v>0</v>
      </c>
      <c r="X7" s="666"/>
      <c r="Y7" s="3370" t="s">
        <v>1676</v>
      </c>
      <c r="Z7" s="3371"/>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0" t="s">
        <v>1679</v>
      </c>
      <c r="Q8" s="3371"/>
      <c r="R8" s="664" t="s">
        <v>14</v>
      </c>
      <c r="S8" s="665">
        <f t="shared" si="0"/>
        <v>0</v>
      </c>
      <c r="T8" s="664" t="s">
        <v>14</v>
      </c>
      <c r="U8" s="665">
        <f t="shared" si="1"/>
        <v>0</v>
      </c>
      <c r="V8" s="664" t="s">
        <v>14</v>
      </c>
      <c r="W8" s="665">
        <f t="shared" si="2"/>
        <v>0</v>
      </c>
      <c r="X8" s="666"/>
      <c r="Y8" s="3370" t="s">
        <v>1679</v>
      </c>
      <c r="Z8" s="3371"/>
      <c r="AA8" s="50" t="e">
        <f t="shared" ref="AA8:AA40" si="3">D8/F8</f>
        <v>#DIV/0!</v>
      </c>
      <c r="AB8" s="50" t="e">
        <f t="shared" ref="AB8:AB40" si="4">D8/H8</f>
        <v>#DIV/0!</v>
      </c>
      <c r="AC8" s="50" t="e">
        <f t="shared" ref="AC8:AC40" si="5">D8/J8</f>
        <v>#DIV/0!</v>
      </c>
    </row>
    <row r="9" spans="1:29" s="102" customFormat="1">
      <c r="A9" s="359" t="s">
        <v>1680</v>
      </c>
      <c r="B9" s="60" t="s">
        <v>1681</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4" t="s">
        <v>1682</v>
      </c>
      <c r="Q9" s="530" t="str">
        <f t="shared" ref="Q9:Q15" si="6">B9</f>
        <v>用途</v>
      </c>
      <c r="R9" s="664" t="s">
        <v>14</v>
      </c>
      <c r="S9" s="665">
        <f t="shared" si="0"/>
        <v>100</v>
      </c>
      <c r="T9" s="664" t="s">
        <v>14</v>
      </c>
      <c r="U9" s="665">
        <f t="shared" si="1"/>
        <v>100</v>
      </c>
      <c r="V9" s="664" t="s">
        <v>14</v>
      </c>
      <c r="W9" s="665">
        <f t="shared" si="2"/>
        <v>100</v>
      </c>
      <c r="X9" s="666"/>
      <c r="Y9" s="3340"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384"/>
      <c r="Q10" s="530" t="str">
        <f t="shared" si="6"/>
        <v>土地使用年限（年）</v>
      </c>
      <c r="R10" s="664" t="s">
        <v>14</v>
      </c>
      <c r="S10" s="665">
        <f t="shared" si="0"/>
        <v>108</v>
      </c>
      <c r="T10" s="664" t="s">
        <v>14</v>
      </c>
      <c r="U10" s="665">
        <f t="shared" si="1"/>
        <v>108</v>
      </c>
      <c r="V10" s="664" t="s">
        <v>14</v>
      </c>
      <c r="W10" s="665">
        <f t="shared" si="2"/>
        <v>108</v>
      </c>
      <c r="X10" s="666"/>
      <c r="Y10" s="3340"/>
      <c r="Z10" s="50" t="str">
        <f t="shared" si="7"/>
        <v>土地使用年限（年）</v>
      </c>
      <c r="AA10" s="50">
        <f t="shared" si="3"/>
        <v>0.92592592592592593</v>
      </c>
      <c r="AB10" s="50">
        <f t="shared" si="4"/>
        <v>0.92592592592592593</v>
      </c>
      <c r="AC10" s="50">
        <f t="shared" si="5"/>
        <v>0.92592592592592593</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4"/>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1686</v>
      </c>
      <c r="B15" s="554" t="s">
        <v>1915</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9" t="s">
        <v>1687</v>
      </c>
      <c r="Q15" s="1262" t="str">
        <f t="shared" si="6"/>
        <v>产业集聚程度</v>
      </c>
      <c r="R15" s="667" t="s">
        <v>14</v>
      </c>
      <c r="S15" s="668">
        <f t="shared" si="0"/>
        <v>100</v>
      </c>
      <c r="T15" s="667" t="s">
        <v>14</v>
      </c>
      <c r="U15" s="668">
        <f t="shared" si="1"/>
        <v>100</v>
      </c>
      <c r="V15" s="667" t="s">
        <v>14</v>
      </c>
      <c r="W15" s="668">
        <f t="shared" si="2"/>
        <v>100</v>
      </c>
      <c r="X15" s="1264"/>
      <c r="Y15" s="3399" t="s">
        <v>1687</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0"/>
      <c r="Q16" s="1262"/>
      <c r="R16" s="667"/>
      <c r="S16" s="668"/>
      <c r="T16" s="667"/>
      <c r="U16" s="668"/>
      <c r="V16" s="667"/>
      <c r="W16" s="668"/>
      <c r="X16" s="1264"/>
      <c r="Y16" s="3400"/>
      <c r="Z16" s="1263"/>
      <c r="AA16" s="1263">
        <v>1</v>
      </c>
      <c r="AB16" s="1263">
        <v>1</v>
      </c>
      <c r="AC16" s="1263">
        <v>1</v>
      </c>
    </row>
    <row r="17" spans="1:29" ht="85.5">
      <c r="A17" s="367"/>
      <c r="B17" s="556" t="s">
        <v>1829</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0"/>
      <c r="Q17" s="1262" t="str">
        <f>B17</f>
        <v>交通便捷度</v>
      </c>
      <c r="R17" s="667" t="s">
        <v>14</v>
      </c>
      <c r="S17" s="668">
        <f>F17</f>
        <v>100</v>
      </c>
      <c r="T17" s="667" t="s">
        <v>14</v>
      </c>
      <c r="U17" s="668">
        <f>H17</f>
        <v>100</v>
      </c>
      <c r="V17" s="667" t="s">
        <v>14</v>
      </c>
      <c r="W17" s="668">
        <f>J17</f>
        <v>100</v>
      </c>
      <c r="X17" s="1264"/>
      <c r="Y17" s="340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0"/>
      <c r="Q18" s="1262"/>
      <c r="R18" s="667"/>
      <c r="S18" s="668"/>
      <c r="T18" s="667"/>
      <c r="U18" s="668"/>
      <c r="V18" s="667"/>
      <c r="W18" s="668"/>
      <c r="X18" s="1264"/>
      <c r="Y18" s="3400"/>
      <c r="Z18" s="1263"/>
      <c r="AA18" s="1263">
        <v>1</v>
      </c>
      <c r="AB18" s="1263">
        <v>1</v>
      </c>
      <c r="AC18" s="1263">
        <v>1</v>
      </c>
    </row>
    <row r="19" spans="1:29" ht="15">
      <c r="A19" s="367"/>
      <c r="B19" s="556" t="s">
        <v>1867</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0"/>
      <c r="Q19" s="1262" t="str">
        <f t="shared" ref="Q19:Q33" si="8">B19</f>
        <v>区域土地利用方向</v>
      </c>
      <c r="R19" s="667" t="s">
        <v>14</v>
      </c>
      <c r="S19" s="668">
        <f>F19</f>
        <v>100</v>
      </c>
      <c r="T19" s="667" t="s">
        <v>14</v>
      </c>
      <c r="U19" s="668">
        <f>H19</f>
        <v>100</v>
      </c>
      <c r="V19" s="667" t="s">
        <v>14</v>
      </c>
      <c r="W19" s="668">
        <f>J19</f>
        <v>100</v>
      </c>
      <c r="X19" s="1264"/>
      <c r="Y19" s="340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00"/>
      <c r="Q20" s="1262"/>
      <c r="R20" s="667"/>
      <c r="S20" s="668"/>
      <c r="T20" s="667"/>
      <c r="U20" s="668"/>
      <c r="V20" s="667"/>
      <c r="W20" s="668"/>
      <c r="X20" s="1264"/>
      <c r="Y20" s="3400"/>
      <c r="Z20" s="1263"/>
      <c r="AA20" s="1263"/>
      <c r="AB20" s="1263"/>
      <c r="AC20" s="1263"/>
    </row>
    <row r="21" spans="1:29" ht="71.25">
      <c r="A21" s="348"/>
      <c r="B21" s="556" t="s">
        <v>1916</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0"/>
      <c r="Q21" s="1262" t="str">
        <f t="shared" si="8"/>
        <v>环境状况</v>
      </c>
      <c r="R21" s="667" t="s">
        <v>14</v>
      </c>
      <c r="S21" s="668">
        <f>F21</f>
        <v>100</v>
      </c>
      <c r="T21" s="667" t="s">
        <v>14</v>
      </c>
      <c r="U21" s="668">
        <f>H21</f>
        <v>100</v>
      </c>
      <c r="V21" s="667" t="s">
        <v>14</v>
      </c>
      <c r="W21" s="668">
        <f>J21</f>
        <v>100</v>
      </c>
      <c r="X21" s="1264"/>
      <c r="Y21" s="340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0"/>
      <c r="Q22" s="1262"/>
      <c r="R22" s="667"/>
      <c r="S22" s="668"/>
      <c r="T22" s="667"/>
      <c r="U22" s="668"/>
      <c r="V22" s="667"/>
      <c r="W22" s="668"/>
      <c r="X22" s="1264"/>
      <c r="Y22" s="3400"/>
      <c r="Z22" s="1263"/>
      <c r="AA22" s="1263">
        <v>1</v>
      </c>
      <c r="AB22" s="1263">
        <v>1</v>
      </c>
      <c r="AC22" s="1263">
        <v>1</v>
      </c>
    </row>
    <row r="23" spans="1:29" s="102" customFormat="1" ht="42.75">
      <c r="A23" s="443"/>
      <c r="B23" s="557" t="s">
        <v>1774</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0"/>
      <c r="Q24" s="530"/>
      <c r="R24" s="664"/>
      <c r="S24" s="665"/>
      <c r="T24" s="664"/>
      <c r="U24" s="665"/>
      <c r="V24" s="664"/>
      <c r="W24" s="665"/>
      <c r="X24" s="666"/>
      <c r="Y24" s="3400"/>
      <c r="Z24" s="50"/>
      <c r="AA24" s="50">
        <v>1</v>
      </c>
      <c r="AB24" s="50">
        <v>1</v>
      </c>
      <c r="AC24" s="50">
        <v>1</v>
      </c>
    </row>
    <row r="25" spans="1:29" s="102" customFormat="1" ht="28.5">
      <c r="A25" s="443"/>
      <c r="B25" s="557" t="s">
        <v>1775</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0"/>
      <c r="Q26" s="530"/>
      <c r="R26" s="664"/>
      <c r="S26" s="665"/>
      <c r="T26" s="664"/>
      <c r="U26" s="665"/>
      <c r="V26" s="664"/>
      <c r="W26" s="665"/>
      <c r="X26" s="666"/>
      <c r="Y26" s="3400"/>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0"/>
      <c r="Z27" s="1263" t="str">
        <f t="shared" ref="Z27:Z40" si="13">Q27</f>
        <v>临街状况</v>
      </c>
      <c r="AA27" s="1263">
        <f t="shared" si="3"/>
        <v>1</v>
      </c>
      <c r="AB27" s="1263">
        <f t="shared" si="4"/>
        <v>1</v>
      </c>
      <c r="AC27" s="1263">
        <f t="shared" si="5"/>
        <v>1</v>
      </c>
    </row>
    <row r="28" spans="1:29" ht="27">
      <c r="A28" s="367"/>
      <c r="B28" s="557" t="s">
        <v>1811</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0"/>
      <c r="Q28" s="1262" t="str">
        <f t="shared" si="8"/>
        <v>毗邻道路的类型与等级</v>
      </c>
      <c r="R28" s="667" t="s">
        <v>14</v>
      </c>
      <c r="S28" s="668">
        <f t="shared" si="10"/>
        <v>100</v>
      </c>
      <c r="T28" s="667" t="s">
        <v>14</v>
      </c>
      <c r="U28" s="668">
        <f t="shared" si="11"/>
        <v>100</v>
      </c>
      <c r="V28" s="667" t="s">
        <v>14</v>
      </c>
      <c r="W28" s="668">
        <f t="shared" si="12"/>
        <v>100</v>
      </c>
      <c r="X28" s="1264"/>
      <c r="Y28" s="340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0"/>
      <c r="Q29" s="1262"/>
      <c r="R29" s="667"/>
      <c r="S29" s="668"/>
      <c r="T29" s="667"/>
      <c r="U29" s="668"/>
      <c r="V29" s="667"/>
      <c r="W29" s="668"/>
      <c r="X29" s="1264"/>
      <c r="Y29" s="3400"/>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0"/>
      <c r="Q30" s="1262" t="str">
        <f t="shared" si="8"/>
        <v>土地级别</v>
      </c>
      <c r="R30" s="667" t="s">
        <v>14</v>
      </c>
      <c r="S30" s="668">
        <f t="shared" si="10"/>
        <v>100</v>
      </c>
      <c r="T30" s="667" t="s">
        <v>14</v>
      </c>
      <c r="U30" s="668">
        <f t="shared" si="11"/>
        <v>100</v>
      </c>
      <c r="V30" s="667" t="s">
        <v>14</v>
      </c>
      <c r="W30" s="668">
        <f t="shared" si="12"/>
        <v>100</v>
      </c>
      <c r="X30" s="1264"/>
      <c r="Y30" s="3400"/>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0"/>
      <c r="Q31" s="1262">
        <f t="shared" si="8"/>
        <v>111</v>
      </c>
      <c r="R31" s="667" t="s">
        <v>14</v>
      </c>
      <c r="S31" s="668">
        <f t="shared" si="10"/>
        <v>100</v>
      </c>
      <c r="T31" s="667" t="s">
        <v>14</v>
      </c>
      <c r="U31" s="668">
        <f t="shared" si="11"/>
        <v>100</v>
      </c>
      <c r="V31" s="667" t="s">
        <v>14</v>
      </c>
      <c r="W31" s="668">
        <f t="shared" si="12"/>
        <v>100</v>
      </c>
      <c r="X31" s="1264"/>
      <c r="Y31" s="340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01" t="s">
        <v>1692</v>
      </c>
      <c r="Q32" s="1262">
        <f t="shared" si="8"/>
        <v>111</v>
      </c>
      <c r="R32" s="667" t="s">
        <v>14</v>
      </c>
      <c r="S32" s="668">
        <f t="shared" si="10"/>
        <v>100</v>
      </c>
      <c r="T32" s="667" t="s">
        <v>14</v>
      </c>
      <c r="U32" s="668">
        <f t="shared" si="11"/>
        <v>100</v>
      </c>
      <c r="V32" s="667" t="s">
        <v>14</v>
      </c>
      <c r="W32" s="668">
        <f t="shared" si="12"/>
        <v>100</v>
      </c>
      <c r="X32" s="1264"/>
      <c r="Y32" s="3402" t="s">
        <v>1692</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2"/>
      <c r="Q33" s="1262">
        <f t="shared" si="8"/>
        <v>111</v>
      </c>
      <c r="R33" s="669" t="s">
        <v>14</v>
      </c>
      <c r="S33" s="670">
        <f t="shared" si="10"/>
        <v>100</v>
      </c>
      <c r="T33" s="669" t="s">
        <v>14</v>
      </c>
      <c r="U33" s="670">
        <f t="shared" si="11"/>
        <v>100</v>
      </c>
      <c r="V33" s="669" t="s">
        <v>14</v>
      </c>
      <c r="W33" s="670">
        <f t="shared" si="12"/>
        <v>100</v>
      </c>
      <c r="X33" s="671"/>
      <c r="Y33" s="3402"/>
      <c r="Z33" s="672">
        <f t="shared" si="13"/>
        <v>111</v>
      </c>
      <c r="AA33" s="1263">
        <f t="shared" si="3"/>
        <v>1</v>
      </c>
      <c r="AB33" s="1263">
        <f t="shared" si="4"/>
        <v>1</v>
      </c>
      <c r="AC33" s="1263">
        <f t="shared" si="5"/>
        <v>1</v>
      </c>
    </row>
    <row r="34" spans="1:31" ht="15">
      <c r="A34" s="379" t="s">
        <v>1690</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2"/>
      <c r="Q34" s="1262" t="str">
        <f>B34</f>
        <v>宗地面积</v>
      </c>
      <c r="R34" s="667" t="s">
        <v>14</v>
      </c>
      <c r="S34" s="668" t="e">
        <f t="shared" si="10"/>
        <v>#N/A</v>
      </c>
      <c r="T34" s="667" t="s">
        <v>14</v>
      </c>
      <c r="U34" s="668" t="e">
        <f t="shared" si="11"/>
        <v>#N/A</v>
      </c>
      <c r="V34" s="667" t="s">
        <v>14</v>
      </c>
      <c r="W34" s="668" t="e">
        <f t="shared" si="12"/>
        <v>#N/A</v>
      </c>
      <c r="X34" s="1264"/>
      <c r="Y34" s="3402"/>
      <c r="Z34" s="1263" t="str">
        <f t="shared" si="13"/>
        <v>宗地面积</v>
      </c>
      <c r="AA34" s="1263" t="e">
        <f t="shared" si="3"/>
        <v>#N/A</v>
      </c>
      <c r="AB34" s="1263" t="e">
        <f t="shared" si="4"/>
        <v>#N/A</v>
      </c>
      <c r="AC34" s="1263" t="e">
        <f t="shared" si="5"/>
        <v>#N/A</v>
      </c>
    </row>
    <row r="35" spans="1:31" ht="15">
      <c r="A35" s="409"/>
      <c r="B35" s="364" t="s">
        <v>1871</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2"/>
      <c r="Q35" s="1262" t="str">
        <f t="shared" ref="Q35:Q40" si="14">B35</f>
        <v>宗地形状</v>
      </c>
      <c r="R35" s="667" t="s">
        <v>14</v>
      </c>
      <c r="S35" s="668">
        <f t="shared" si="10"/>
        <v>100</v>
      </c>
      <c r="T35" s="667" t="s">
        <v>14</v>
      </c>
      <c r="U35" s="668">
        <f t="shared" si="11"/>
        <v>100</v>
      </c>
      <c r="V35" s="667" t="s">
        <v>14</v>
      </c>
      <c r="W35" s="668">
        <f t="shared" si="12"/>
        <v>100</v>
      </c>
      <c r="X35" s="1264"/>
      <c r="Y35" s="3402"/>
      <c r="Z35" s="1263" t="str">
        <f t="shared" si="13"/>
        <v>宗地形状</v>
      </c>
      <c r="AA35" s="1263">
        <f t="shared" si="3"/>
        <v>1</v>
      </c>
      <c r="AB35" s="1263">
        <f t="shared" si="4"/>
        <v>1</v>
      </c>
      <c r="AC35" s="1263">
        <f t="shared" si="5"/>
        <v>1</v>
      </c>
    </row>
    <row r="36" spans="1:31" s="102" customFormat="1" ht="15">
      <c r="A36" s="410"/>
      <c r="B36" s="364" t="s">
        <v>1873</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2"/>
      <c r="Q36" s="1262"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1874</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2" t="s">
        <v>1692</v>
      </c>
      <c r="Q37" s="1262" t="str">
        <f t="shared" si="14"/>
        <v>工程地质条件</v>
      </c>
      <c r="R37" s="667" t="s">
        <v>14</v>
      </c>
      <c r="S37" s="668">
        <f t="shared" si="10"/>
        <v>100</v>
      </c>
      <c r="T37" s="667" t="s">
        <v>14</v>
      </c>
      <c r="U37" s="668">
        <f t="shared" si="11"/>
        <v>100</v>
      </c>
      <c r="V37" s="667" t="s">
        <v>14</v>
      </c>
      <c r="W37" s="668">
        <f t="shared" si="12"/>
        <v>100</v>
      </c>
      <c r="X37" s="1264"/>
      <c r="Y37" s="3402" t="s">
        <v>1692</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2"/>
      <c r="Q38" s="1262">
        <f t="shared" si="14"/>
        <v>111</v>
      </c>
      <c r="R38" s="667" t="s">
        <v>14</v>
      </c>
      <c r="S38" s="668">
        <f t="shared" si="10"/>
        <v>100</v>
      </c>
      <c r="T38" s="667" t="s">
        <v>14</v>
      </c>
      <c r="U38" s="668">
        <f t="shared" si="11"/>
        <v>100</v>
      </c>
      <c r="V38" s="667" t="s">
        <v>14</v>
      </c>
      <c r="W38" s="668">
        <f t="shared" si="12"/>
        <v>100</v>
      </c>
      <c r="X38" s="1264"/>
      <c r="Y38" s="340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2"/>
      <c r="Q39" s="1262">
        <f t="shared" si="14"/>
        <v>111</v>
      </c>
      <c r="R39" s="667" t="s">
        <v>14</v>
      </c>
      <c r="S39" s="668">
        <f t="shared" si="10"/>
        <v>100</v>
      </c>
      <c r="T39" s="667" t="s">
        <v>14</v>
      </c>
      <c r="U39" s="668">
        <f t="shared" si="11"/>
        <v>100</v>
      </c>
      <c r="V39" s="667" t="s">
        <v>14</v>
      </c>
      <c r="W39" s="668">
        <f t="shared" si="12"/>
        <v>100</v>
      </c>
      <c r="X39" s="1264"/>
      <c r="Y39" s="3402"/>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2"/>
      <c r="Q40" s="1262">
        <f t="shared" si="14"/>
        <v>111</v>
      </c>
      <c r="R40" s="669" t="s">
        <v>14</v>
      </c>
      <c r="S40" s="670">
        <f t="shared" si="10"/>
        <v>100</v>
      </c>
      <c r="T40" s="669" t="s">
        <v>14</v>
      </c>
      <c r="U40" s="670">
        <f t="shared" si="11"/>
        <v>100</v>
      </c>
      <c r="V40" s="669" t="s">
        <v>14</v>
      </c>
      <c r="W40" s="670">
        <f t="shared" si="12"/>
        <v>100</v>
      </c>
      <c r="X40" s="671"/>
      <c r="Y40" s="3402"/>
      <c r="Z40" s="672">
        <f t="shared" si="13"/>
        <v>111</v>
      </c>
      <c r="AA40" s="1263">
        <f t="shared" si="3"/>
        <v>1</v>
      </c>
      <c r="AB40" s="1263">
        <f t="shared" si="4"/>
        <v>1</v>
      </c>
      <c r="AC40" s="1263">
        <f t="shared" si="5"/>
        <v>1</v>
      </c>
    </row>
    <row r="41" spans="1:31" ht="15">
      <c r="A41" s="416" t="s">
        <v>1840</v>
      </c>
      <c r="B41" s="1829" t="s">
        <v>1917</v>
      </c>
      <c r="C41" s="602" t="s">
        <v>0</v>
      </c>
      <c r="D41" s="418"/>
      <c r="E41" s="419"/>
      <c r="F41" s="420"/>
      <c r="G41" s="421"/>
      <c r="H41" s="422"/>
      <c r="I41" s="419"/>
      <c r="J41" s="422"/>
      <c r="K41" s="674"/>
      <c r="L41" s="2494"/>
      <c r="M41" s="2487"/>
      <c r="N41" s="2487"/>
      <c r="O41" s="2487"/>
      <c r="P41" s="3384" t="str">
        <f>A41</f>
        <v>成交单价</v>
      </c>
      <c r="Q41" s="3384"/>
      <c r="R41" s="3397">
        <f>E41</f>
        <v>0</v>
      </c>
      <c r="S41" s="3397"/>
      <c r="T41" s="3397">
        <f>G41</f>
        <v>0</v>
      </c>
      <c r="U41" s="3397"/>
      <c r="V41" s="3397">
        <f>I41</f>
        <v>0</v>
      </c>
      <c r="W41" s="3397"/>
      <c r="X41" s="385"/>
      <c r="Y41" s="673"/>
      <c r="Z41" s="385"/>
      <c r="AA41" s="385"/>
      <c r="AB41" s="385"/>
      <c r="AC41" s="385"/>
    </row>
    <row r="42" spans="1:31" ht="15.75" thickBot="1">
      <c r="A42" s="423" t="s">
        <v>1789</v>
      </c>
      <c r="B42" s="603"/>
      <c r="C42" s="426" t="e">
        <f>R43</f>
        <v>#DIV/0!</v>
      </c>
      <c r="D42" s="2140" t="s">
        <v>2133</v>
      </c>
      <c r="E42" s="426" t="e">
        <f>R42</f>
        <v>#DIV/0!</v>
      </c>
      <c r="F42" s="2141"/>
      <c r="G42" s="425" t="e">
        <f>T42</f>
        <v>#DIV/0!</v>
      </c>
      <c r="H42" s="2141"/>
      <c r="I42" s="426" t="e">
        <f>V42</f>
        <v>#DIV/0!</v>
      </c>
      <c r="J42" s="2141"/>
      <c r="K42" s="2143">
        <f>F42+H42+J42</f>
        <v>0</v>
      </c>
      <c r="L42" s="2494"/>
      <c r="M42" s="2487"/>
      <c r="N42" s="2487"/>
      <c r="O42" s="2487"/>
      <c r="P42" s="3384" t="str">
        <f>A42</f>
        <v>比较价值（元/平方米）</v>
      </c>
      <c r="Q42" s="3384"/>
      <c r="R42" s="3403" t="e">
        <f>ROUND(PRODUCT(R41,AA7:AA40),0)</f>
        <v>#DIV/0!</v>
      </c>
      <c r="S42" s="3403"/>
      <c r="T42" s="3403" t="e">
        <f>ROUND(PRODUCT(T41,AB7:AB40),0)</f>
        <v>#DIV/0!</v>
      </c>
      <c r="U42" s="3403"/>
      <c r="V42" s="3403" t="e">
        <f>ROUND(PRODUCT(V41,AC7:AC40),0)</f>
        <v>#DIV/0!</v>
      </c>
      <c r="W42" s="3403"/>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4"/>
      <c r="M43" s="2487"/>
      <c r="N43" s="2487"/>
      <c r="O43" s="2487"/>
      <c r="P43" s="3404" t="str">
        <f>A43</f>
        <v>估价对象XX用房的比较价值（楼面单价，元/平方米）</v>
      </c>
      <c r="Q43" s="3405"/>
      <c r="R43" s="3406" t="e">
        <f>ROUND(IF(D42="简单平均",AVERAGE(R42:W42),R42*F42+T42*H42+V42*J42),0)</f>
        <v>#DIV/0!</v>
      </c>
      <c r="S43" s="3406"/>
      <c r="T43" s="3406"/>
      <c r="U43" s="3406"/>
      <c r="V43" s="3406"/>
      <c r="W43" s="340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1877</v>
      </c>
      <c r="B50" s="605" t="s">
        <v>1878</v>
      </c>
      <c r="C50" s="1830" t="s">
        <v>1879</v>
      </c>
      <c r="D50" s="1831" t="s">
        <v>1880</v>
      </c>
      <c r="E50" s="606" t="s">
        <v>1881</v>
      </c>
      <c r="F50" s="607" t="s">
        <v>1882</v>
      </c>
      <c r="G50" s="3385" t="s">
        <v>1883</v>
      </c>
      <c r="H50" s="3407"/>
      <c r="I50" s="1263" t="s">
        <v>1918</v>
      </c>
      <c r="J50" s="1263">
        <f>项目基本情况!F35</f>
        <v>0</v>
      </c>
      <c r="K50" s="1833" t="s">
        <v>1885</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1886</v>
      </c>
      <c r="B51" s="609" t="e">
        <f>C43</f>
        <v>#DIV/0!</v>
      </c>
      <c r="C51" s="610">
        <v>1</v>
      </c>
      <c r="D51" s="890">
        <v>1</v>
      </c>
      <c r="E51" s="610">
        <f>'数据-汇总表'!E8+'数据-汇总表'!E9</f>
        <v>44140.36</v>
      </c>
      <c r="F51" s="611" t="e">
        <f t="shared" ref="F51:F60" si="15">ROUND(B51*E51/10000,0)</f>
        <v>#DIV/0!</v>
      </c>
      <c r="G51" s="3408"/>
      <c r="H51" s="338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1887</v>
      </c>
      <c r="B52" s="210" t="e">
        <f>ROUND($C$43*C52*D52,0)</f>
        <v>#DIV/0!</v>
      </c>
      <c r="C52" s="163">
        <f t="shared" ref="C52:C60" si="16">IF($C$50="北京市系数",I52,J52)</f>
        <v>0.6</v>
      </c>
      <c r="D52" s="891">
        <v>0.25</v>
      </c>
      <c r="E52" s="614"/>
      <c r="F52" s="611" t="e">
        <f t="shared" si="15"/>
        <v>#DIV/0!</v>
      </c>
      <c r="G52" s="2750" t="s">
        <v>1888</v>
      </c>
      <c r="H52" s="834" t="str">
        <f>项目基本情况!B37</f>
        <v>七级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1889</v>
      </c>
      <c r="B53" s="210" t="e">
        <f t="shared" ref="B53:B60" si="17">ROUND($C$43*C53*D53,0)</f>
        <v>#DIV/0!</v>
      </c>
      <c r="C53" s="163">
        <f t="shared" si="16"/>
        <v>0.3</v>
      </c>
      <c r="D53" s="891">
        <v>0.25</v>
      </c>
      <c r="E53" s="614"/>
      <c r="F53" s="611" t="e">
        <f t="shared" si="15"/>
        <v>#DIV/0!</v>
      </c>
      <c r="G53" s="2751"/>
      <c r="H53" s="834" t="str">
        <f>项目基本情况!B37</f>
        <v>七级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1890</v>
      </c>
      <c r="B54" s="210" t="e">
        <f t="shared" si="17"/>
        <v>#DIV/0!</v>
      </c>
      <c r="C54" s="163">
        <f t="shared" si="16"/>
        <v>0.25</v>
      </c>
      <c r="D54" s="891">
        <v>0.25</v>
      </c>
      <c r="E54" s="614"/>
      <c r="F54" s="611" t="e">
        <f t="shared" si="15"/>
        <v>#DIV/0!</v>
      </c>
      <c r="G54" s="2751"/>
      <c r="H54" s="834" t="str">
        <f>项目基本情况!B37</f>
        <v>七级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1891</v>
      </c>
      <c r="B56" s="210" t="e">
        <f t="shared" si="17"/>
        <v>#DIV/0!</v>
      </c>
      <c r="C56" s="163">
        <f t="shared" si="16"/>
        <v>0</v>
      </c>
      <c r="D56" s="891">
        <v>0.25</v>
      </c>
      <c r="E56" s="209">
        <f>'数据-汇总表'!E11</f>
        <v>0</v>
      </c>
      <c r="F56" s="611" t="e">
        <f t="shared" si="15"/>
        <v>#DIV/0!</v>
      </c>
      <c r="G56" s="1834" t="s">
        <v>1892</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1893</v>
      </c>
      <c r="B57" s="210" t="e">
        <f t="shared" si="17"/>
        <v>#DIV/0!</v>
      </c>
      <c r="C57" s="163">
        <f t="shared" si="16"/>
        <v>0</v>
      </c>
      <c r="D57" s="891">
        <v>0.25</v>
      </c>
      <c r="E57" s="209">
        <f>'数据-汇总表'!E12</f>
        <v>0</v>
      </c>
      <c r="F57" s="611" t="e">
        <f t="shared" si="15"/>
        <v>#DIV/0!</v>
      </c>
      <c r="G57" s="839" t="s">
        <v>1894</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1895</v>
      </c>
      <c r="B58" s="210" t="e">
        <f t="shared" si="17"/>
        <v>#DIV/0!</v>
      </c>
      <c r="C58" s="163">
        <f t="shared" si="16"/>
        <v>0</v>
      </c>
      <c r="D58" s="891">
        <v>0.25</v>
      </c>
      <c r="E58" s="209">
        <f>'数据-汇总表'!E13</f>
        <v>0</v>
      </c>
      <c r="F58" s="611" t="e">
        <f t="shared" si="15"/>
        <v>#DIV/0!</v>
      </c>
      <c r="G58" s="839" t="s">
        <v>1896</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1897</v>
      </c>
      <c r="B59" s="210" t="e">
        <f t="shared" si="17"/>
        <v>#DIV/0!</v>
      </c>
      <c r="C59" s="163">
        <f t="shared" si="16"/>
        <v>0.15</v>
      </c>
      <c r="D59" s="891">
        <v>0.25</v>
      </c>
      <c r="E59" s="209">
        <f>'数据-汇总表'!E14</f>
        <v>14328.11999999997</v>
      </c>
      <c r="F59" s="611" t="e">
        <f t="shared" si="15"/>
        <v>#DIV/0!</v>
      </c>
      <c r="G59" s="1834" t="s">
        <v>1888</v>
      </c>
      <c r="H59" s="834" t="str">
        <f>项目基本情况!B37</f>
        <v>七级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1898</v>
      </c>
      <c r="B60" s="210" t="e">
        <f t="shared" si="17"/>
        <v>#DIV/0!</v>
      </c>
      <c r="C60" s="163">
        <f t="shared" si="16"/>
        <v>0</v>
      </c>
      <c r="D60" s="891">
        <v>0.25</v>
      </c>
      <c r="E60" s="209">
        <f>'数据-汇总表'!E15</f>
        <v>0</v>
      </c>
      <c r="F60" s="611" t="e">
        <f t="shared" si="15"/>
        <v>#DIV/0!</v>
      </c>
      <c r="G60" s="1835" t="s">
        <v>1892</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1899</v>
      </c>
      <c r="B61" s="616" t="s">
        <v>22</v>
      </c>
      <c r="C61" s="616" t="s">
        <v>23</v>
      </c>
      <c r="D61" s="616" t="s">
        <v>392</v>
      </c>
      <c r="E61" s="616">
        <f>IF(B41="楼面地价",SUM(E51:E60),'数据-汇总表'!D3)</f>
        <v>15742.02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1794</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1900</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1919</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1712</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1677</v>
      </c>
      <c r="B68" s="444"/>
      <c r="C68" s="456" t="s">
        <v>1772</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1715</v>
      </c>
      <c r="B70" s="460" t="s">
        <v>1681</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1684</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1686</v>
      </c>
      <c r="B83" s="460" t="s">
        <v>1825</v>
      </c>
      <c r="C83" s="504" t="s">
        <v>1717</v>
      </c>
      <c r="D83" s="504" t="s">
        <v>1718</v>
      </c>
      <c r="E83" s="504" t="s">
        <v>1719</v>
      </c>
      <c r="F83" s="504" t="s">
        <v>1720</v>
      </c>
      <c r="G83" s="504" t="s">
        <v>1721</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1722</v>
      </c>
      <c r="C85" s="509" t="s">
        <v>1717</v>
      </c>
      <c r="D85" s="509" t="s">
        <v>1718</v>
      </c>
      <c r="E85" s="509" t="s">
        <v>1719</v>
      </c>
      <c r="F85" s="509" t="s">
        <v>1720</v>
      </c>
      <c r="G85" s="509" t="s">
        <v>1721</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1902</v>
      </c>
      <c r="C87" s="504" t="s">
        <v>1717</v>
      </c>
      <c r="D87" s="504" t="s">
        <v>1718</v>
      </c>
      <c r="E87" s="504" t="s">
        <v>1719</v>
      </c>
      <c r="F87" s="504" t="s">
        <v>1720</v>
      </c>
      <c r="G87" s="504" t="s">
        <v>1721</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1903</v>
      </c>
      <c r="C89" s="504" t="s">
        <v>1717</v>
      </c>
      <c r="D89" s="504" t="s">
        <v>1718</v>
      </c>
      <c r="E89" s="504" t="s">
        <v>1719</v>
      </c>
      <c r="F89" s="504" t="s">
        <v>1720</v>
      </c>
      <c r="G89" s="504" t="s">
        <v>1721</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1920</v>
      </c>
      <c r="C93" s="581" t="s">
        <v>1795</v>
      </c>
      <c r="D93" s="581" t="s">
        <v>1796</v>
      </c>
      <c r="E93" s="581" t="s">
        <v>1797</v>
      </c>
      <c r="F93" s="581" t="s">
        <v>1798</v>
      </c>
      <c r="G93" s="581" t="s">
        <v>1799</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1904</v>
      </c>
      <c r="D95" s="470" t="s">
        <v>1905</v>
      </c>
      <c r="E95" s="470" t="s">
        <v>1906</v>
      </c>
      <c r="F95" s="470" t="s">
        <v>1907</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1811</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1869</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1690</v>
      </c>
      <c r="B107" s="460" t="s">
        <v>1908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1909</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1911</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1912</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2078</v>
      </c>
      <c r="C1" s="3465" t="s">
        <v>2079</v>
      </c>
      <c r="D1" s="3466"/>
      <c r="E1" s="3466"/>
      <c r="F1" s="3466"/>
      <c r="G1" s="3466"/>
      <c r="H1" s="3466"/>
      <c r="I1" s="3466"/>
      <c r="J1" s="3466"/>
      <c r="K1" s="3466"/>
      <c r="L1" s="3466"/>
      <c r="M1" s="3466"/>
      <c r="N1" s="3466"/>
      <c r="O1" s="3466"/>
      <c r="P1" s="3466"/>
      <c r="Q1" s="3466"/>
      <c r="R1" s="3466"/>
      <c r="S1" s="3467"/>
      <c r="T1" s="929" t="s">
        <v>2080</v>
      </c>
    </row>
    <row r="2" spans="1:45" s="625" customFormat="1">
      <c r="A2" s="930"/>
      <c r="B2" s="622" t="s">
        <v>2081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2082</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2083</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2084</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2088</v>
      </c>
      <c r="B17" s="1986"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2090</v>
      </c>
      <c r="E19" s="1252"/>
      <c r="F19" s="1252"/>
      <c r="G19" s="1252"/>
      <c r="H19" s="996"/>
      <c r="I19" s="151"/>
      <c r="J19" s="151"/>
      <c r="K19" s="151"/>
      <c r="L19" s="151"/>
      <c r="M19" s="151"/>
      <c r="N19" s="151"/>
      <c r="O19" s="151"/>
      <c r="P19" s="151"/>
      <c r="Q19" s="151"/>
      <c r="R19" s="151"/>
      <c r="S19" s="121"/>
    </row>
    <row r="20" spans="1:45" ht="16.5" thickBot="1">
      <c r="A20" s="632" t="s">
        <v>2091</v>
      </c>
      <c r="B20" s="286" t="e">
        <f ca="1">IF(D20="——",S22,S22-F20)</f>
        <v>#REF!</v>
      </c>
      <c r="C20" s="151"/>
      <c r="D20" s="1988"/>
      <c r="E20" s="1253"/>
      <c r="F20" s="929" t="e">
        <f ca="1">SUMIF(INDIRECT("'"&amp;H20&amp;"'"&amp;"!A:A"),"承租人权益价值",INDIRECT("'"&amp;H20&amp;"'"&amp;"!c:c"))</f>
        <v>#REF!</v>
      </c>
      <c r="G20" s="929" t="s">
        <v>2092</v>
      </c>
      <c r="H20" s="1989"/>
      <c r="I20" s="151"/>
      <c r="J20" s="151"/>
      <c r="K20" s="151"/>
      <c r="L20" s="151"/>
      <c r="M20" s="151"/>
      <c r="N20" s="151"/>
      <c r="O20" s="151"/>
      <c r="P20" s="151"/>
      <c r="Q20" s="151"/>
      <c r="R20" s="151"/>
      <c r="S20" s="121"/>
    </row>
    <row r="21" spans="1:45" ht="15.75">
      <c r="A21" s="632" t="s">
        <v>2093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2094</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2100</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2076</v>
      </c>
      <c r="B1" s="4"/>
      <c r="C1" s="4"/>
      <c r="D1" s="4"/>
      <c r="E1" s="4"/>
      <c r="F1" s="2544"/>
      <c r="G1" s="2544"/>
      <c r="H1" s="2544"/>
      <c r="I1" s="2544"/>
      <c r="J1" s="2544"/>
      <c r="K1" s="2544"/>
      <c r="L1" s="2544"/>
      <c r="M1" s="2544"/>
      <c r="N1" s="2544"/>
      <c r="O1" s="2544"/>
      <c r="P1" s="2544"/>
    </row>
    <row r="2" spans="1:16" ht="15.75">
      <c r="A2" s="1983" t="s">
        <v>2068</v>
      </c>
      <c r="B2" s="2387" t="e">
        <f ca="1">SUMIF(B6:B13,"&lt;&gt;#ref!",B6:B13)</f>
        <v>#DIV/0!</v>
      </c>
      <c r="C2" s="1983" t="s">
        <v>2069</v>
      </c>
      <c r="D2" s="1983" t="s">
        <v>2070</v>
      </c>
      <c r="E2" s="2397">
        <f ca="1">SUMIF(E6:E13,"&lt;&gt;#ref!",E6:E13)</f>
        <v>0</v>
      </c>
      <c r="F2" s="2544"/>
      <c r="G2" s="2544"/>
      <c r="H2" s="2544"/>
      <c r="I2" s="2544"/>
      <c r="J2" s="2544"/>
      <c r="K2" s="2544"/>
      <c r="L2" s="2544"/>
      <c r="M2" s="2544"/>
      <c r="N2" s="2544"/>
      <c r="O2" s="2544"/>
      <c r="P2" s="2544"/>
    </row>
    <row r="3" spans="1:16" ht="15.75">
      <c r="A3" s="1983" t="s">
        <v>2071</v>
      </c>
      <c r="B3" s="2387" t="e">
        <f ca="1">ROUND(B2*10000/E2,0)</f>
        <v>#DIV/0!</v>
      </c>
      <c r="C3" s="1983" t="s">
        <v>2077</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2072</v>
      </c>
      <c r="B5" s="2395" t="s">
        <v>2073</v>
      </c>
      <c r="C5" s="1984"/>
      <c r="D5" s="2544"/>
      <c r="E5" s="2396" t="s">
        <v>2074</v>
      </c>
      <c r="F5" s="2544"/>
      <c r="G5" s="2544"/>
      <c r="H5" s="2544"/>
      <c r="I5" s="2544"/>
      <c r="J5" s="2544"/>
      <c r="K5" s="2544"/>
      <c r="L5" s="2544"/>
      <c r="M5" s="2544"/>
      <c r="N5" s="2544"/>
      <c r="O5" s="2544"/>
      <c r="P5" s="2544"/>
    </row>
    <row r="6" spans="1:16" ht="15.75">
      <c r="A6" s="2394" t="s">
        <v>2075</v>
      </c>
      <c r="B6" s="2387" t="e">
        <f ca="1">SUMIF(INDIRECT("'"&amp;A6&amp;"'"&amp;"!A:A"),"总价",INDIRECT("'"&amp;A6&amp;"'"&amp;"!B:B"))</f>
        <v>#DIV/0!</v>
      </c>
      <c r="C6" s="1983" t="s">
        <v>2069</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2069</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2069</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2069</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2069</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2069</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2069</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2069</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1921</v>
      </c>
      <c r="B1" s="189"/>
      <c r="C1" s="193" t="s">
        <v>1922</v>
      </c>
      <c r="D1" s="333">
        <f>SUM(D33:D34,D37:D42)</f>
        <v>0</v>
      </c>
      <c r="E1" s="1841"/>
      <c r="F1" s="1841"/>
      <c r="G1" s="1841"/>
      <c r="H1" s="1841"/>
      <c r="I1" s="1841"/>
      <c r="J1" s="1841"/>
      <c r="K1" s="1056"/>
      <c r="L1" s="1842" t="s">
        <v>1923</v>
      </c>
      <c r="M1" s="810">
        <f>SUMPRODUCT((区片价!B5:B9=I2)*(区片价!C3:G3=E2)*(区片价!C5:G9))</f>
        <v>0</v>
      </c>
      <c r="N1" s="813">
        <f>SUMPRODUCT((因素修正幅度!B5:B9=I2)*(因素修正幅度!C3:G3=E2)*(因素修正幅度!C5:G9))</f>
        <v>0</v>
      </c>
      <c r="O1" s="1843"/>
      <c r="P1" s="1843"/>
      <c r="Q1" s="1056"/>
      <c r="R1" s="1128" t="s">
        <v>1924</v>
      </c>
      <c r="S1" s="1128" t="s">
        <v>1925</v>
      </c>
      <c r="T1" s="1128" t="s">
        <v>1926</v>
      </c>
      <c r="U1" s="1128" t="s">
        <v>1927</v>
      </c>
      <c r="V1" s="1128" t="s">
        <v>1928</v>
      </c>
      <c r="W1" s="1132"/>
      <c r="X1" s="1132"/>
      <c r="Y1" s="1132"/>
      <c r="Z1" s="1132"/>
      <c r="AA1" s="1132"/>
      <c r="AB1" s="1132"/>
      <c r="AC1" s="1133"/>
      <c r="AD1" s="1134"/>
      <c r="AE1" s="1134"/>
      <c r="AF1" s="1134"/>
      <c r="AG1" s="1134"/>
      <c r="AH1" s="1134"/>
      <c r="AI1" s="1134"/>
      <c r="AJ1" s="1135"/>
    </row>
    <row r="2" spans="1:36" ht="15.75">
      <c r="A2" s="193" t="s">
        <v>1929</v>
      </c>
      <c r="B2" s="196" t="e">
        <f>C30</f>
        <v>#DIV/0!</v>
      </c>
      <c r="C2" s="1845" t="s">
        <v>1930</v>
      </c>
      <c r="D2" s="162" t="s">
        <v>1931</v>
      </c>
      <c r="E2" s="3120"/>
      <c r="F2" s="162" t="s">
        <v>1932</v>
      </c>
      <c r="G2" s="163">
        <f>IF(E2="商业",项目基本情况!B37,IF(E2="办公",项目基本情况!C37,IF(E2="住宅",项目基本情况!D37,IF(E2="工业",项目基本情况!E37,项目基本情况!F37))))</f>
        <v>0</v>
      </c>
      <c r="H2" s="162" t="s">
        <v>1933</v>
      </c>
      <c r="I2" s="163">
        <f>IF(E2="商业",项目基本情况!B38,IF(E2="办公",项目基本情况!C38,IF(E2="住宅",项目基本情况!D38,IF(E2="工业",项目基本情况!E38,项目基本情况!F38))))</f>
        <v>0</v>
      </c>
      <c r="J2" s="1841"/>
      <c r="K2" s="1056"/>
      <c r="L2" s="1846" t="s">
        <v>1934</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1935</v>
      </c>
      <c r="B3" s="196" t="e">
        <f>ROUND(B2*10000/D1,0)</f>
        <v>#DIV/0!</v>
      </c>
      <c r="C3" s="1845" t="s">
        <v>1936</v>
      </c>
      <c r="D3" s="162" t="s">
        <v>1937</v>
      </c>
      <c r="E3" s="3118"/>
      <c r="F3" s="1847"/>
      <c r="G3" s="708">
        <f>IF(F3="宗地容积率",'数据-汇总表'!I4,IF(F3="估价对象容积率",'数据-汇总表'!I6,'数据-汇总表'!I7))</f>
        <v>2.5</v>
      </c>
      <c r="H3" s="162" t="s">
        <v>1938</v>
      </c>
      <c r="I3" s="729"/>
      <c r="J3" s="1841" t="s">
        <v>1939</v>
      </c>
      <c r="K3" s="1056"/>
      <c r="L3" s="1846" t="s">
        <v>1940</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5"/>
      <c r="B4" s="3476"/>
      <c r="C4" s="3476"/>
      <c r="D4" s="3477"/>
      <c r="E4" s="3477"/>
      <c r="F4" s="3477"/>
      <c r="G4" s="3477"/>
      <c r="H4" s="3477"/>
      <c r="I4" s="3477"/>
      <c r="J4" s="3478"/>
      <c r="K4" s="1056"/>
      <c r="L4" s="1846" t="s">
        <v>1941</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1942</v>
      </c>
      <c r="C5" s="709" t="e">
        <f>ROUND(IF(E2="商业",C6*C7*C17+C20,(IF(E2="住宅",C6*C13*C17+C20,IF(E2="办公",C6*C12*C17+C20,C6+C20)))),0)</f>
        <v>#DIV/0!</v>
      </c>
      <c r="D5" s="1251" t="e">
        <f>ROUND(C6*C17+C20,0)</f>
        <v>#DIV/0!</v>
      </c>
      <c r="E5" s="1251"/>
      <c r="F5" s="1850"/>
      <c r="G5" s="1851"/>
      <c r="H5" s="1851"/>
      <c r="I5" s="1851"/>
      <c r="J5" s="1852"/>
      <c r="K5" s="1853"/>
      <c r="L5" s="1846" t="s">
        <v>1943</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1944</v>
      </c>
      <c r="B6" s="1859" t="s">
        <v>1945</v>
      </c>
      <c r="C6" s="710">
        <f>SUMIF(L1:L12,G2,M1:M12)</f>
        <v>0</v>
      </c>
      <c r="D6" s="1860"/>
      <c r="E6" s="1861"/>
      <c r="F6" s="1861"/>
      <c r="G6" s="1862"/>
      <c r="H6" s="1862"/>
      <c r="I6" s="1862"/>
      <c r="J6" s="1863"/>
      <c r="K6" s="1291"/>
      <c r="L6" s="1846" t="s">
        <v>1946</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3234</v>
      </c>
      <c r="B7" s="1864" t="s">
        <v>1947</v>
      </c>
      <c r="C7" s="711" t="e">
        <f>IF(C8="不临65条商业街",1,ROUND(1+(1.6*E8+1.2*E9+0.8*E10+0.4*E11)*C9,4))</f>
        <v>#DIV/0!</v>
      </c>
      <c r="D7" s="1865" t="s">
        <v>1948</v>
      </c>
      <c r="E7" s="730"/>
      <c r="F7" s="1866"/>
      <c r="G7" s="1867"/>
      <c r="H7" s="1867"/>
      <c r="I7" s="1867"/>
      <c r="J7" s="1868"/>
      <c r="K7" s="1291"/>
      <c r="L7" s="1846" t="s">
        <v>1949</v>
      </c>
      <c r="M7" s="811">
        <f>SUMPRODUCT((区片价!B190:B233=I2)*(区片价!C3:G3=E2)*(区片价!C190:G233))</f>
        <v>0</v>
      </c>
      <c r="N7" s="813">
        <f>SUMPRODUCT((因素修正幅度!B190:B233=I2)*(因素修正幅度!C3:G3=E2)*(因素修正幅度!C190:G233))</f>
        <v>0</v>
      </c>
      <c r="O7" s="1056"/>
      <c r="P7" s="1056"/>
      <c r="Q7" s="1056"/>
      <c r="R7" s="1128">
        <v>6</v>
      </c>
      <c r="S7" s="3117"/>
      <c r="T7" s="3063" t="e">
        <f t="shared" si="0"/>
        <v>#DIV/0!</v>
      </c>
      <c r="U7" s="1129"/>
      <c r="V7" s="3063" t="e">
        <f t="shared" si="1"/>
        <v>#DIV/0!</v>
      </c>
      <c r="W7" s="1266" t="s">
        <v>1950</v>
      </c>
      <c r="X7" s="1130">
        <f>G2</f>
        <v>0</v>
      </c>
      <c r="Y7" s="1130" t="s">
        <v>1951</v>
      </c>
      <c r="Z7" s="1131">
        <f>G3</f>
        <v>2.5</v>
      </c>
      <c r="AA7" s="1132"/>
      <c r="AB7" s="1132"/>
      <c r="AC7" s="1133"/>
      <c r="AD7" s="1134"/>
      <c r="AE7" s="1134"/>
      <c r="AF7" s="1134"/>
      <c r="AG7" s="1134"/>
      <c r="AH7" s="1134"/>
      <c r="AI7" s="1134"/>
      <c r="AJ7" s="1135"/>
    </row>
    <row r="8" spans="1:36" ht="15">
      <c r="A8" s="3009"/>
      <c r="B8" s="162" t="s">
        <v>1952</v>
      </c>
      <c r="C8" s="1869"/>
      <c r="D8" s="712" t="s">
        <v>112</v>
      </c>
      <c r="E8" s="713" t="e">
        <f>ROUND(C11/E7,4)</f>
        <v>#DIV/0!</v>
      </c>
      <c r="F8" s="1870" t="s">
        <v>1953</v>
      </c>
      <c r="G8" s="1871"/>
      <c r="H8" s="1871"/>
      <c r="I8" s="1871"/>
      <c r="J8" s="1872"/>
      <c r="K8" s="1056"/>
      <c r="L8" s="1846" t="s">
        <v>1954</v>
      </c>
      <c r="M8" s="811">
        <f>SUMPRODUCT((区片价!B234:B276=I2)*(区片价!C3:G3=E2)*(区片价!C234:G276))</f>
        <v>0</v>
      </c>
      <c r="N8" s="813">
        <f>SUMPRODUCT((因素修正幅度!B234:B276=I2)*(因素修正幅度!C3:G3=E2)*(因素修正幅度!C234:G276))</f>
        <v>0</v>
      </c>
      <c r="O8" s="1056"/>
      <c r="P8" s="1056"/>
      <c r="Q8" s="1056"/>
      <c r="R8" s="1128">
        <v>7</v>
      </c>
      <c r="S8" s="1129"/>
      <c r="T8" s="3063" t="e">
        <f t="shared" si="0"/>
        <v>#DIV/0!</v>
      </c>
      <c r="U8" s="1129"/>
      <c r="V8" s="3063" t="e">
        <f t="shared" si="1"/>
        <v>#DIV/0!</v>
      </c>
      <c r="W8" s="3472" t="s">
        <v>1955</v>
      </c>
      <c r="X8" s="3473"/>
      <c r="Y8" s="1136" t="s">
        <v>1956</v>
      </c>
      <c r="Z8" s="1136" t="s">
        <v>1957</v>
      </c>
      <c r="AA8" s="1136" t="s">
        <v>1958</v>
      </c>
      <c r="AB8" s="1136" t="s">
        <v>1959</v>
      </c>
      <c r="AC8" s="1136" t="s">
        <v>1960</v>
      </c>
      <c r="AD8" s="1136" t="s">
        <v>1961</v>
      </c>
      <c r="AE8" s="1136" t="s">
        <v>1962</v>
      </c>
      <c r="AF8" s="1136" t="s">
        <v>1963</v>
      </c>
      <c r="AG8" s="1136" t="s">
        <v>1964</v>
      </c>
      <c r="AH8" s="1136" t="s">
        <v>1965</v>
      </c>
      <c r="AI8" s="1136" t="s">
        <v>1966</v>
      </c>
      <c r="AJ8" s="1136" t="s">
        <v>1967</v>
      </c>
    </row>
    <row r="9" spans="1:36" ht="15">
      <c r="A9" s="3009"/>
      <c r="B9" s="162" t="s">
        <v>1968</v>
      </c>
      <c r="C9" s="714">
        <f>SUMIF(修正!C71:C138,C8,修正!E71:E138)</f>
        <v>0</v>
      </c>
      <c r="D9" s="163" t="s">
        <v>113</v>
      </c>
      <c r="E9" s="163" t="e">
        <f>ROUND(C11/E7,4)</f>
        <v>#DIV/0!</v>
      </c>
      <c r="F9" s="1870" t="s">
        <v>1969</v>
      </c>
      <c r="G9" s="1871"/>
      <c r="H9" s="1871"/>
      <c r="I9" s="1871"/>
      <c r="J9" s="1872"/>
      <c r="K9" s="1056"/>
      <c r="L9" s="1846" t="s">
        <v>1970</v>
      </c>
      <c r="M9" s="811">
        <f>SUMPRODUCT((区片价!B277:B326=I2)*(区片价!C3:G3=E2)*(区片价!C277:G326))</f>
        <v>0</v>
      </c>
      <c r="N9" s="813">
        <f>SUMPRODUCT((因素修正幅度!B277:B326=I2)*(因素修正幅度!C3:G3=E2)*(因素修正幅度!C277:G326))</f>
        <v>0</v>
      </c>
      <c r="O9" s="1056"/>
      <c r="P9" s="1056"/>
      <c r="Q9" s="1056"/>
      <c r="R9" s="1128">
        <v>8</v>
      </c>
      <c r="S9" s="1129"/>
      <c r="T9" s="3063" t="e">
        <f t="shared" si="0"/>
        <v>#DIV/0!</v>
      </c>
      <c r="U9" s="1129"/>
      <c r="V9" s="3063" t="e">
        <f t="shared" si="1"/>
        <v>#DIV/0!</v>
      </c>
      <c r="W9" s="3474"/>
      <c r="X9" s="3064" t="s">
        <v>3265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1971</v>
      </c>
      <c r="C10" s="163">
        <f>SUMIF(修正!C71:C138,C8,修正!F71:F138)</f>
        <v>0</v>
      </c>
      <c r="D10" s="163" t="s">
        <v>114</v>
      </c>
      <c r="E10" s="163" t="e">
        <f>ROUND(C11/E7,4)</f>
        <v>#DIV/0!</v>
      </c>
      <c r="F10" s="1870" t="s">
        <v>1972</v>
      </c>
      <c r="G10" s="1871"/>
      <c r="H10" s="1871"/>
      <c r="I10" s="1871"/>
      <c r="J10" s="1872"/>
      <c r="K10" s="1056"/>
      <c r="L10" s="1846" t="s">
        <v>1973</v>
      </c>
      <c r="M10" s="811">
        <f>SUMPRODUCT((区片价!B327:B357=I2)*(区片价!C3:G3=E2)*(区片价!C327:G357))</f>
        <v>0</v>
      </c>
      <c r="N10" s="813">
        <f>SUMPRODUCT((因素修正幅度!B327:B357=I2)*(因素修正幅度!C3:G3=E2)*(因素修正幅度!C327:G357))</f>
        <v>0</v>
      </c>
      <c r="O10" s="1056"/>
      <c r="P10" s="1056"/>
      <c r="Q10" s="1056"/>
      <c r="R10" s="1128">
        <v>9</v>
      </c>
      <c r="S10" s="1129"/>
      <c r="T10" s="3063" t="e">
        <f t="shared" si="0"/>
        <v>#DIV/0!</v>
      </c>
      <c r="U10" s="1129"/>
      <c r="V10" s="3063" t="e">
        <f t="shared" si="1"/>
        <v>#DIV/0!</v>
      </c>
      <c r="W10" s="34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1974</v>
      </c>
      <c r="C11" s="715">
        <f>C10/4</f>
        <v>0</v>
      </c>
      <c r="D11" s="715" t="s">
        <v>115</v>
      </c>
      <c r="E11" s="715" t="e">
        <f>ROUND(C11/E7,4)</f>
        <v>#DIV/0!</v>
      </c>
      <c r="F11" s="1874" t="s">
        <v>1975</v>
      </c>
      <c r="G11" s="1875"/>
      <c r="H11" s="1875"/>
      <c r="I11" s="1875"/>
      <c r="J11" s="1876"/>
      <c r="K11" s="1056"/>
      <c r="L11" s="1846" t="s">
        <v>1976</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3235</v>
      </c>
      <c r="B12" s="3013" t="s">
        <v>3236</v>
      </c>
      <c r="C12" s="3014"/>
      <c r="D12" s="3015" t="s">
        <v>3237</v>
      </c>
      <c r="E12" s="3016" t="s">
        <v>3238</v>
      </c>
      <c r="F12" s="3017"/>
      <c r="G12" s="3018"/>
      <c r="H12" s="3018"/>
      <c r="I12" s="3018"/>
      <c r="J12" s="3019"/>
      <c r="K12" s="1056"/>
      <c r="L12" s="1795" t="s">
        <v>1979</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3239</v>
      </c>
      <c r="B13" s="1877" t="s">
        <v>1977</v>
      </c>
      <c r="C13" s="711">
        <f>ROUND(C16*D16*E16*F16*G16*H16*I16*J16,4)</f>
        <v>0</v>
      </c>
      <c r="D13" s="1878" t="s">
        <v>1978</v>
      </c>
      <c r="E13" s="1879"/>
      <c r="F13" s="1879"/>
      <c r="G13" s="1880"/>
      <c r="H13" s="1880"/>
      <c r="I13" s="1880"/>
      <c r="J13" s="1881"/>
      <c r="K13" s="1056"/>
      <c r="L13" s="3"/>
      <c r="M13" s="4"/>
      <c r="N13" s="3010"/>
      <c r="O13" s="1056"/>
      <c r="P13" s="1056"/>
      <c r="Q13" s="1056"/>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1980</v>
      </c>
      <c r="C14" s="1883" t="s">
        <v>1981</v>
      </c>
      <c r="D14" s="1260" t="s">
        <v>1982</v>
      </c>
      <c r="E14" s="27" t="s">
        <v>1983</v>
      </c>
      <c r="F14" s="3020" t="s">
        <v>3240</v>
      </c>
      <c r="G14" s="3020" t="s">
        <v>3240</v>
      </c>
      <c r="H14" s="3020" t="s">
        <v>3240</v>
      </c>
      <c r="I14" s="3020" t="s">
        <v>3240</v>
      </c>
      <c r="J14" s="3020" t="s">
        <v>3240</v>
      </c>
      <c r="K14" s="1056"/>
      <c r="L14" s="1056"/>
      <c r="M14" s="1056"/>
      <c r="N14" s="1056"/>
      <c r="O14" s="1056"/>
      <c r="P14" s="1056"/>
      <c r="Q14" s="1056"/>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3241</v>
      </c>
      <c r="G15" s="1927"/>
      <c r="H15" s="3021"/>
      <c r="I15" s="3022"/>
      <c r="J15" s="3023"/>
      <c r="K15" s="1056"/>
      <c r="L15" s="1056"/>
      <c r="M15" s="1056"/>
      <c r="N15" s="1056"/>
      <c r="O15" s="1056"/>
      <c r="P15" s="1056"/>
      <c r="Q15" s="1056"/>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1984</v>
      </c>
      <c r="C16" s="3024"/>
      <c r="D16" s="3024"/>
      <c r="E16" s="3024"/>
      <c r="F16" s="3024">
        <v>1</v>
      </c>
      <c r="G16" s="3024">
        <v>1</v>
      </c>
      <c r="H16" s="3024">
        <v>1</v>
      </c>
      <c r="I16" s="3024">
        <v>1</v>
      </c>
      <c r="J16" s="3025">
        <v>1</v>
      </c>
      <c r="K16" s="1056"/>
      <c r="L16" s="1843"/>
      <c r="M16" s="1843"/>
      <c r="N16" s="1843"/>
      <c r="O16" s="1843"/>
      <c r="P16" s="1843"/>
      <c r="Q16" s="1056"/>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3242</v>
      </c>
      <c r="B17" s="3027" t="s">
        <v>3243</v>
      </c>
      <c r="C17" s="3036">
        <f>ROUND(IF(OR(E2="工业",E2="公共服务"),1,IF(AND(E18=0,E19=0),1,IF(AND(E18=J24,E19=G19),0.8,IF(E19=0,1+E17*(-0.2),1+E17*G17*(-0.2))))),4)</f>
        <v>1</v>
      </c>
      <c r="D17" s="3028" t="s">
        <v>3244</v>
      </c>
      <c r="E17" s="3036" t="e">
        <f>ROUND(G18/I18,2)</f>
        <v>#DIV/0!</v>
      </c>
      <c r="F17" s="3028" t="s">
        <v>3247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3245</v>
      </c>
      <c r="E18" s="2356"/>
      <c r="F18" s="3030" t="s">
        <v>3248</v>
      </c>
      <c r="G18" s="3034">
        <f>ROUND(1-(1/(POWER(1+G24,E18))),4)</f>
        <v>0</v>
      </c>
      <c r="H18" s="3030" t="s">
        <v>3250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3246</v>
      </c>
      <c r="E19" s="3043"/>
      <c r="F19" s="3044" t="s">
        <v>3249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9" t="s">
        <v>3251</v>
      </c>
      <c r="B20" s="159" t="s">
        <v>1989</v>
      </c>
      <c r="C20" s="3031" t="e">
        <f>ROUND(IF(F21="与级别开发程度一致",0,(G21-E21)/C21),0)</f>
        <v>#DIV/0!</v>
      </c>
      <c r="D20" s="3046" t="s">
        <v>1993</v>
      </c>
      <c r="E20" s="3047"/>
      <c r="F20" s="3485" t="s">
        <v>1990</v>
      </c>
      <c r="G20" s="3486"/>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80"/>
      <c r="B21" s="2001" t="s">
        <v>1992</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1995</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1996</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1997</v>
      </c>
      <c r="E23" s="717">
        <v>44197</v>
      </c>
      <c r="F23" s="1895" t="s">
        <v>1998</v>
      </c>
      <c r="G23" s="718">
        <f>'数据-取费表'!B2</f>
        <v>45604</v>
      </c>
      <c r="H23" s="3048" t="s">
        <v>3253</v>
      </c>
      <c r="I23" s="3049" t="str">
        <f>IF(H23="季度增幅（自定义）",SUMIF(N25:N28,E2,O25:O28),"")</f>
        <v/>
      </c>
      <c r="J23" s="3141" t="s">
        <v>3252</v>
      </c>
      <c r="K23" s="1061"/>
      <c r="L23" s="1896" t="s">
        <v>1999</v>
      </c>
      <c r="M23" s="1240">
        <f>ROUND(SUMIF(地价!B2:G2,E2,地价!B16:G16),0)</f>
        <v>0</v>
      </c>
      <c r="N23" s="1897" t="s">
        <v>2000</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2001</v>
      </c>
      <c r="C24" s="720" t="e">
        <f>ROUND(POWER(1+G24,J24-I24)*(POWER(1+G24,I24)-1)/(POWER(1+G24,J24)-1),4)</f>
        <v>#DIV/0!</v>
      </c>
      <c r="D24" s="1901" t="s">
        <v>2002</v>
      </c>
      <c r="E24" s="1247">
        <f>存贷款利率!E27/100</f>
        <v>4.3499999999999997E-2</v>
      </c>
      <c r="F24" s="1901" t="s">
        <v>1994</v>
      </c>
      <c r="G24" s="724">
        <f>SUMIF(M30:Q30,E2,M33:Q33)</f>
        <v>0</v>
      </c>
      <c r="H24" s="1901" t="s">
        <v>2003</v>
      </c>
      <c r="I24" s="725" t="e">
        <f>SUMIF('数据-取费表'!C6:C15,E2,'数据-取费表'!F6:F15)/COUNTIF('数据-取费表'!C6:C15,E2)</f>
        <v>#DIV/0!</v>
      </c>
      <c r="J24" s="726">
        <f>IF(E2="住宅",70,IF(E2="商业",40,50))</f>
        <v>50</v>
      </c>
      <c r="K24" s="1061"/>
      <c r="L24" s="1902" t="s">
        <v>2004</v>
      </c>
      <c r="M24" s="1241">
        <f>ROUND(SUMPRODUCT((地价!A4:A16=YEAR(G23)&amp;"-"&amp;ROUNDUP(MONTH(G23)/3,0))*(地价!B2:G2=E2)*(地价!B4:G16)),0)</f>
        <v>0</v>
      </c>
      <c r="N24" s="1903" t="s">
        <v>2005</v>
      </c>
      <c r="O24" s="1904" t="s">
        <v>2006</v>
      </c>
      <c r="P24" s="1905" t="s">
        <v>2007</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3332</v>
      </c>
      <c r="C25" s="461">
        <f>IF(B25="容积率修正",IF(G3&lt;10,D26,J26),C27)</f>
        <v>0</v>
      </c>
      <c r="D25" s="1908"/>
      <c r="E25" s="1908"/>
      <c r="F25" s="1908"/>
      <c r="G25" s="1908"/>
      <c r="H25" s="1908"/>
      <c r="I25" s="1908"/>
      <c r="J25" s="1909"/>
      <c r="K25" s="1061"/>
      <c r="L25" s="2552"/>
      <c r="M25" s="2552"/>
      <c r="N25" s="1910" t="s">
        <v>2008</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2009</v>
      </c>
      <c r="B26" s="1911" t="s">
        <v>2010</v>
      </c>
      <c r="C26" s="1911" t="s">
        <v>3254</v>
      </c>
      <c r="D26" s="1262">
        <f>IF(E26=G26,F26,IF(G3&lt;10,ROUND(F26+(H26-F26)*(G3-E26)/(G26-E26),4),"——"))</f>
        <v>0</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3255</v>
      </c>
      <c r="J26" s="374" t="str">
        <f>IF(G3&gt;=10,D115,"——")</f>
        <v>——</v>
      </c>
      <c r="K26" s="1061"/>
      <c r="L26" s="2552"/>
      <c r="M26" s="2552"/>
      <c r="N26" s="1910" t="s">
        <v>2011</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2012</v>
      </c>
      <c r="B27" s="1912" t="s">
        <v>2013</v>
      </c>
      <c r="C27" s="791">
        <f>ROUND(IF(I3&lt;6,SUMPRODUCT((B106:B110=I3)*(C105:N105=G2)*(C106:N110)),SUMIF(C105:N105,G2,C112:N112)),4)</f>
        <v>0</v>
      </c>
      <c r="D27" s="1841"/>
      <c r="E27" s="1841"/>
      <c r="F27" s="1913"/>
      <c r="G27" s="1914"/>
      <c r="H27" s="1915"/>
      <c r="I27" s="1916"/>
      <c r="J27" s="1917"/>
      <c r="K27" s="1056"/>
      <c r="L27" s="1843"/>
      <c r="M27" s="1843"/>
      <c r="N27" s="1910" t="s">
        <v>2014</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2015</v>
      </c>
      <c r="C28" s="716">
        <f>SUMIF(A47:A101,E2,B47:B101)</f>
        <v>0</v>
      </c>
      <c r="D28" s="1893"/>
      <c r="E28" s="1918"/>
      <c r="F28" s="1918"/>
      <c r="G28" s="1918"/>
      <c r="H28" s="1918"/>
      <c r="I28" s="1918"/>
      <c r="J28" s="1919"/>
      <c r="K28" s="1061"/>
      <c r="L28" s="2552"/>
      <c r="M28" s="2552"/>
      <c r="N28" s="1920" t="s">
        <v>2016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2017</v>
      </c>
      <c r="C29" s="721"/>
      <c r="D29" s="1867"/>
      <c r="E29" s="1867"/>
      <c r="F29" s="1922"/>
      <c r="G29" s="1867"/>
      <c r="H29" s="1867"/>
      <c r="I29" s="1867"/>
      <c r="J29" s="1868"/>
      <c r="K29" s="1056"/>
      <c r="L29" s="1843"/>
      <c r="M29" s="1843"/>
      <c r="N29" s="2549" t="s">
        <v>2018</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2019</v>
      </c>
      <c r="C30" s="2144" t="e">
        <f>IF(B25="容积率修正",E33+SUM(E37:E42),SUM(V2:V16)+SUM(E37:E42))</f>
        <v>#DIV/0!</v>
      </c>
      <c r="D30" s="1924"/>
      <c r="E30" s="1841"/>
      <c r="F30" s="1925"/>
      <c r="G30" s="1841"/>
      <c r="H30" s="1841"/>
      <c r="I30" s="1841"/>
      <c r="J30" s="1926"/>
      <c r="K30" s="1056"/>
      <c r="L30" s="3055" t="s">
        <v>1931</v>
      </c>
      <c r="M30" s="3056" t="s">
        <v>1985</v>
      </c>
      <c r="N30" s="3056" t="s">
        <v>1986</v>
      </c>
      <c r="O30" s="3056" t="s">
        <v>1987</v>
      </c>
      <c r="P30" s="3056" t="s">
        <v>1988</v>
      </c>
      <c r="Q30" s="3059" t="s">
        <v>3259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2020</v>
      </c>
      <c r="C31" s="722" t="e">
        <f>E34+SUM(I37:I42)</f>
        <v>#DIV/0!</v>
      </c>
      <c r="D31" s="1928"/>
      <c r="E31" s="1929"/>
      <c r="F31" s="1930"/>
      <c r="G31" s="1929"/>
      <c r="H31" s="1929"/>
      <c r="I31" s="1929"/>
      <c r="J31" s="1931"/>
      <c r="K31" s="1056"/>
      <c r="L31" s="3057" t="s">
        <v>1991</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2021</v>
      </c>
      <c r="C32" s="1934" t="s">
        <v>2022</v>
      </c>
      <c r="D32" s="1934" t="s">
        <v>2023</v>
      </c>
      <c r="E32" s="1935" t="s">
        <v>2024</v>
      </c>
      <c r="F32" s="1936"/>
      <c r="G32" s="1880"/>
      <c r="H32" s="1880"/>
      <c r="I32" s="1880"/>
      <c r="J32" s="1881"/>
      <c r="K32" s="1056"/>
      <c r="L32" s="3058" t="s">
        <v>1994</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2025</v>
      </c>
      <c r="C33" s="167" t="e">
        <f>ROUND(C5*C22*C23*C24*C25*C28,0)</f>
        <v>#DIV/0!</v>
      </c>
      <c r="D33" s="1939"/>
      <c r="E33" s="727" t="e">
        <f>ROUND(C33*D33/10000,0)</f>
        <v>#DIV/0!</v>
      </c>
      <c r="F33" s="3050" t="s">
        <v>3257</v>
      </c>
      <c r="G33" s="1940"/>
      <c r="H33" s="1940"/>
      <c r="I33" s="1940"/>
      <c r="J33" s="1941"/>
      <c r="K33" s="1056"/>
      <c r="L33" s="3053" t="s">
        <v>3260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2026</v>
      </c>
      <c r="C34" s="179" t="e">
        <f>ROUND(IF(E2="工业",C33*M42,IF(B25="楼层修正",SUM(V2:V16)*M41*10000/D34,C33*M41)),0)</f>
        <v>#DIV/0!</v>
      </c>
      <c r="D34" s="1944"/>
      <c r="E34" s="727" t="e">
        <f>ROUND(IF(B25="楼层修正",SUM(V2:V16)*M40,C34*D34/10000),0)</f>
        <v>#DIV/0!</v>
      </c>
      <c r="F34" s="1945" t="s">
        <v>2027</v>
      </c>
      <c r="G34" s="1946"/>
      <c r="H34" s="1946"/>
      <c r="I34" s="1946"/>
      <c r="J34" s="1947"/>
      <c r="K34" s="1056"/>
      <c r="L34" s="3053" t="s">
        <v>3261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2028</v>
      </c>
      <c r="C35" s="3051" t="s">
        <v>3258</v>
      </c>
      <c r="D35" s="1880"/>
      <c r="E35" s="1950"/>
      <c r="F35" s="1950"/>
      <c r="G35" s="1878" t="s">
        <v>2029</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2022</v>
      </c>
      <c r="D36" s="433" t="s">
        <v>2023</v>
      </c>
      <c r="E36" s="433" t="s">
        <v>2024</v>
      </c>
      <c r="F36" s="333" t="s">
        <v>2030</v>
      </c>
      <c r="G36" s="1953" t="s">
        <v>2022</v>
      </c>
      <c r="H36" s="1953" t="s">
        <v>2023</v>
      </c>
      <c r="I36" s="1953" t="s">
        <v>2024</v>
      </c>
      <c r="J36" s="235"/>
      <c r="K36" s="1963" t="s">
        <v>3262</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3"/>
      <c r="B37" s="1954" t="s">
        <v>2031</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3263</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4"/>
      <c r="B38" s="1883" t="s">
        <v>2032</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4"/>
      <c r="B39" s="1883" t="s">
        <v>3256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2033</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2034</v>
      </c>
      <c r="M40" s="1957"/>
      <c r="Z40" s="1057"/>
      <c r="AA40" s="1057"/>
      <c r="AB40" s="1057"/>
      <c r="AC40" s="1057"/>
      <c r="AD40" s="1057"/>
      <c r="AE40" s="1057"/>
      <c r="AF40" s="1057"/>
      <c r="AG40" s="1057"/>
      <c r="AH40" s="1057"/>
      <c r="AI40" s="1057"/>
      <c r="AJ40" s="1057"/>
    </row>
    <row r="41" spans="1:37" s="1056" customFormat="1">
      <c r="A41" s="1955"/>
      <c r="B41" s="1883" t="s">
        <v>2035</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3264</v>
      </c>
      <c r="M41" s="1958">
        <v>0.25</v>
      </c>
      <c r="Z41" s="1057"/>
      <c r="AA41" s="1057"/>
      <c r="AB41" s="1057"/>
      <c r="AC41" s="1057"/>
      <c r="AD41" s="1057"/>
      <c r="AE41" s="1057"/>
      <c r="AF41" s="1057"/>
      <c r="AG41" s="1057"/>
      <c r="AH41" s="1057"/>
      <c r="AI41" s="1057"/>
      <c r="AJ41" s="1057"/>
    </row>
    <row r="42" spans="1:37" s="1056" customFormat="1" ht="13.5" thickBot="1">
      <c r="A42" s="1942"/>
      <c r="B42" s="1959" t="s">
        <v>2036</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1988</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2117</v>
      </c>
      <c r="C44" s="333" t="e">
        <f>ROUND(POWER(1+E44,H44-G44)*(POWER(1+E44,G44)-1)/(POWER(1+E44,H44)-1),4)</f>
        <v>#DIV/0!</v>
      </c>
      <c r="D44" s="163" t="s">
        <v>1994</v>
      </c>
      <c r="E44" s="1990">
        <f>G24</f>
        <v>0</v>
      </c>
      <c r="F44" s="163" t="s">
        <v>2003</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2037</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2038</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2039</v>
      </c>
      <c r="B49" s="1261" t="s">
        <v>2040</v>
      </c>
      <c r="C49" s="1261" t="s">
        <v>2041</v>
      </c>
      <c r="D49" s="1261" t="s">
        <v>2042</v>
      </c>
      <c r="E49" s="701" t="s">
        <v>2043</v>
      </c>
      <c r="F49" s="1970" t="s">
        <v>2044</v>
      </c>
      <c r="G49" s="1261" t="s">
        <v>310</v>
      </c>
      <c r="H49" s="1971" t="s">
        <v>2045</v>
      </c>
      <c r="I49" s="1261" t="s">
        <v>2046</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38.25">
      <c r="A50" s="1969" t="s">
        <v>2047</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2048</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3266</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2049</v>
      </c>
      <c r="B53" s="1973" t="s">
        <v>2050</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2051</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2052</v>
      </c>
      <c r="B55" s="1974" t="s">
        <v>2053</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2054</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2055</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2056</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2057</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2039</v>
      </c>
      <c r="B60" s="1261"/>
      <c r="C60" s="1261" t="s">
        <v>2041</v>
      </c>
      <c r="D60" s="1261" t="s">
        <v>2042</v>
      </c>
      <c r="E60" s="701" t="s">
        <v>2043</v>
      </c>
      <c r="F60" s="1970" t="s">
        <v>2058</v>
      </c>
      <c r="G60" s="1261" t="s">
        <v>310</v>
      </c>
      <c r="H60" s="1971" t="s">
        <v>2045</v>
      </c>
      <c r="I60" s="1261" t="s">
        <v>2046</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38.25">
      <c r="A61" s="1969" t="s">
        <v>2059</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2048</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3266</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2049</v>
      </c>
      <c r="B64" s="1973" t="s">
        <v>2050</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2051</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2052</v>
      </c>
      <c r="B66" s="1974" t="s">
        <v>2053</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2054</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2055</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2056</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2060</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2039</v>
      </c>
      <c r="B71" s="1261"/>
      <c r="C71" s="1261" t="s">
        <v>2041</v>
      </c>
      <c r="D71" s="1261" t="s">
        <v>2042</v>
      </c>
      <c r="E71" s="701" t="s">
        <v>2043</v>
      </c>
      <c r="F71" s="1970" t="s">
        <v>2058</v>
      </c>
      <c r="G71" s="1261" t="s">
        <v>310</v>
      </c>
      <c r="H71" s="1971" t="s">
        <v>2045</v>
      </c>
      <c r="I71" s="1261" t="s">
        <v>2046</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51">
      <c r="A72" s="1969" t="s">
        <v>2061</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2048</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3266</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2062</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2054</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2055</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2052</v>
      </c>
      <c r="B78" s="1974" t="s">
        <v>2053</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2056</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2063</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2064</v>
      </c>
      <c r="B81" s="1967">
        <f>1+E83</f>
        <v>1</v>
      </c>
      <c r="C81" s="699"/>
      <c r="D81" s="699"/>
      <c r="E81" s="700"/>
      <c r="F81" s="1968"/>
      <c r="G81" s="3"/>
      <c r="H81" s="3"/>
      <c r="I81" s="3"/>
      <c r="J81" s="4"/>
      <c r="K81" s="4"/>
      <c r="L81" s="4"/>
      <c r="M81" s="4"/>
      <c r="N81" s="4"/>
      <c r="Z81" s="1844"/>
      <c r="AA81" s="1894"/>
      <c r="AG81" s="1058"/>
      <c r="AK81" s="1894"/>
    </row>
    <row r="82" spans="1:37" ht="24.75">
      <c r="A82" s="1969" t="s">
        <v>2039</v>
      </c>
      <c r="B82" s="1261"/>
      <c r="C82" s="1261" t="s">
        <v>2041</v>
      </c>
      <c r="D82" s="1261" t="s">
        <v>2042</v>
      </c>
      <c r="E82" s="701" t="s">
        <v>2043</v>
      </c>
      <c r="F82" s="1970" t="s">
        <v>2058</v>
      </c>
      <c r="G82" s="1261" t="s">
        <v>310</v>
      </c>
      <c r="H82" s="1971" t="s">
        <v>2045</v>
      </c>
      <c r="I82" s="1261" t="s">
        <v>2046</v>
      </c>
      <c r="J82" s="530" t="s">
        <v>1717</v>
      </c>
      <c r="K82" s="530" t="s">
        <v>1718</v>
      </c>
      <c r="L82" s="530" t="s">
        <v>1719</v>
      </c>
      <c r="M82" s="530" t="s">
        <v>1720</v>
      </c>
      <c r="N82" s="530" t="s">
        <v>1721</v>
      </c>
      <c r="Z82" s="1844"/>
      <c r="AA82" s="1894"/>
      <c r="AG82" s="1058"/>
      <c r="AK82" s="1894"/>
    </row>
    <row r="83" spans="1:37" ht="38.25">
      <c r="A83" s="1969" t="s">
        <v>2065</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2048</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3267</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2062</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2054</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2055</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2052</v>
      </c>
      <c r="B89" s="1974" t="s">
        <v>2066</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2067</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4"/>
      <c r="F91" s="1674"/>
      <c r="G91" s="3074"/>
      <c r="H91" s="3075"/>
      <c r="I91" s="3076"/>
      <c r="J91" s="3077"/>
      <c r="K91" s="3077"/>
      <c r="L91" s="3077"/>
      <c r="M91" s="3077"/>
      <c r="N91" s="3077"/>
    </row>
    <row r="92" spans="1:37" ht="24.75">
      <c r="A92" s="3080" t="s">
        <v>3268</v>
      </c>
      <c r="B92" s="2309"/>
      <c r="C92" s="2309" t="s">
        <v>3277</v>
      </c>
      <c r="D92" s="2309" t="s">
        <v>3278</v>
      </c>
      <c r="E92" s="3052" t="s">
        <v>3279</v>
      </c>
      <c r="F92" s="3082" t="s">
        <v>3280</v>
      </c>
      <c r="G92" s="2309" t="s">
        <v>3281</v>
      </c>
      <c r="H92" s="3089" t="s">
        <v>3284</v>
      </c>
      <c r="I92" s="2309" t="s">
        <v>3285</v>
      </c>
      <c r="J92" s="2149" t="s">
        <v>3286</v>
      </c>
      <c r="K92" s="2149" t="s">
        <v>3287</v>
      </c>
      <c r="L92" s="2149" t="s">
        <v>3288</v>
      </c>
      <c r="M92" s="2149" t="s">
        <v>3289</v>
      </c>
      <c r="N92" s="2149" t="s">
        <v>3290</v>
      </c>
    </row>
    <row r="93" spans="1:37" ht="24">
      <c r="A93" s="3070" t="s">
        <v>3269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3270</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3271</v>
      </c>
      <c r="B96" s="3086" t="s">
        <v>3282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3273</v>
      </c>
      <c r="B98" s="3087" t="s">
        <v>3283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3274</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3275</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3276</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1" t="s">
        <v>3291</v>
      </c>
      <c r="B103" s="3481"/>
      <c r="C103" s="3481"/>
      <c r="D103" s="3481"/>
      <c r="E103" s="3481"/>
      <c r="F103" s="3481"/>
      <c r="G103" s="3481"/>
      <c r="H103" s="3481"/>
      <c r="I103" s="3481"/>
      <c r="J103" s="3481"/>
      <c r="K103" s="1666"/>
      <c r="L103" s="1666"/>
      <c r="M103" s="1666"/>
      <c r="N103" s="1666"/>
    </row>
    <row r="104" spans="1:14">
      <c r="A104" s="3482" t="s">
        <v>3292</v>
      </c>
      <c r="B104" s="3482" t="s">
        <v>3293</v>
      </c>
      <c r="C104" s="3090" t="s">
        <v>3294</v>
      </c>
      <c r="D104" s="3091"/>
      <c r="E104" s="3091"/>
      <c r="F104" s="3091"/>
      <c r="G104" s="3091"/>
      <c r="H104" s="3091"/>
      <c r="I104" s="3091"/>
      <c r="J104" s="3092"/>
      <c r="K104" s="3093"/>
      <c r="L104" s="3093"/>
      <c r="M104" s="3093"/>
      <c r="N104" s="3093"/>
    </row>
    <row r="105" spans="1:14">
      <c r="A105" s="3482"/>
      <c r="B105" s="3482"/>
      <c r="C105" s="3094" t="s">
        <v>3295</v>
      </c>
      <c r="D105" s="3094" t="s">
        <v>3296</v>
      </c>
      <c r="E105" s="3094" t="s">
        <v>3297</v>
      </c>
      <c r="F105" s="3094" t="s">
        <v>3298</v>
      </c>
      <c r="G105" s="3094" t="s">
        <v>3299</v>
      </c>
      <c r="H105" s="3094" t="s">
        <v>3300</v>
      </c>
      <c r="I105" s="3094" t="s">
        <v>3301</v>
      </c>
      <c r="J105" s="3094" t="s">
        <v>3302</v>
      </c>
      <c r="K105" s="3094" t="s">
        <v>3303</v>
      </c>
      <c r="L105" s="3094" t="s">
        <v>3304</v>
      </c>
      <c r="M105" s="3094" t="s">
        <v>3305</v>
      </c>
      <c r="N105" s="3094" t="s">
        <v>3306</v>
      </c>
    </row>
    <row r="106" spans="1:14">
      <c r="A106" s="3468" t="s">
        <v>3307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9"/>
      <c r="B111" s="3094" t="s">
        <v>3265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1" t="s">
        <v>3308</v>
      </c>
      <c r="B113" s="3471"/>
      <c r="C113" s="3471"/>
      <c r="D113" s="3471"/>
      <c r="E113" s="3471"/>
      <c r="F113" s="3471"/>
      <c r="G113" s="3471"/>
      <c r="H113" s="3471"/>
      <c r="I113" s="3471"/>
      <c r="J113" s="347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3309</v>
      </c>
      <c r="B116" s="3114">
        <f>G3</f>
        <v>2.5</v>
      </c>
      <c r="C116" s="3099" t="s">
        <v>3310</v>
      </c>
      <c r="D116" s="3100">
        <f>SUMPRODUCT((A118:A122=F116)*(B117:M117=H116)*B118:M122)</f>
        <v>0</v>
      </c>
      <c r="E116" s="162" t="s">
        <v>3311</v>
      </c>
      <c r="F116" s="3101">
        <f>E2</f>
        <v>0</v>
      </c>
      <c r="G116" s="162" t="s">
        <v>3312</v>
      </c>
      <c r="H116" s="3101">
        <f>G2</f>
        <v>0</v>
      </c>
      <c r="I116" s="162"/>
      <c r="J116" s="3102"/>
      <c r="K116" s="3102"/>
      <c r="L116" s="3102"/>
      <c r="M116" s="3102"/>
      <c r="N116" s="3097"/>
    </row>
    <row r="117" spans="1:14">
      <c r="A117" s="3103"/>
      <c r="B117" s="3104" t="s">
        <v>3313</v>
      </c>
      <c r="C117" s="3104" t="s">
        <v>3314</v>
      </c>
      <c r="D117" s="3104" t="s">
        <v>3315</v>
      </c>
      <c r="E117" s="3105" t="s">
        <v>3316</v>
      </c>
      <c r="F117" s="3105" t="s">
        <v>3317</v>
      </c>
      <c r="G117" s="3105" t="s">
        <v>3318</v>
      </c>
      <c r="H117" s="3106" t="s">
        <v>3319</v>
      </c>
      <c r="I117" s="3106" t="s">
        <v>3320</v>
      </c>
      <c r="J117" s="3107" t="s">
        <v>3321</v>
      </c>
      <c r="K117" s="3107" t="s">
        <v>3322</v>
      </c>
      <c r="L117" s="3107" t="s">
        <v>3323</v>
      </c>
      <c r="M117" s="3108" t="s">
        <v>3324</v>
      </c>
      <c r="N117" s="3097"/>
    </row>
    <row r="118" spans="1:14">
      <c r="A118" s="3057" t="s">
        <v>3325</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3326</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3327</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3328</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2609</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916</v>
      </c>
      <c r="C4" s="3183"/>
      <c r="D4" s="3183"/>
      <c r="E4" s="1390"/>
    </row>
    <row r="5" spans="1:5" ht="16.5" thickTop="1">
      <c r="B5" s="3181" t="s">
        <v>908</v>
      </c>
      <c r="C5" s="1391" t="s">
        <v>909</v>
      </c>
      <c r="D5" s="797">
        <f ca="1">结果表!H101</f>
        <v>127561</v>
      </c>
    </row>
    <row r="6" spans="1:5" ht="15.75">
      <c r="B6" s="3181"/>
      <c r="C6" s="1391" t="s">
        <v>910</v>
      </c>
      <c r="D6" s="797" t="str">
        <f ca="1">NUMBERSTRING(INT(D5*10000),2)&amp;"元整"</f>
        <v>壹拾贰亿柒仟伍佰陆拾壹万元整</v>
      </c>
    </row>
    <row r="7" spans="1:5" ht="15.75">
      <c r="B7" s="3186"/>
      <c r="C7" s="1392" t="s">
        <v>911</v>
      </c>
      <c r="D7" s="798">
        <f ca="1">结果表!H102</f>
        <v>18745</v>
      </c>
    </row>
    <row r="8" spans="1:5" ht="15.75">
      <c r="B8" s="3187" t="str">
        <f>结果表!E103</f>
        <v>2.估价师知悉的法定优先受偿款</v>
      </c>
      <c r="C8" s="1393" t="s">
        <v>912</v>
      </c>
      <c r="D8" s="798">
        <f>结果表!H103</f>
        <v>0</v>
      </c>
    </row>
    <row r="9" spans="1:5" ht="15.75">
      <c r="B9" s="3189"/>
      <c r="C9" s="1391" t="s">
        <v>910</v>
      </c>
      <c r="D9" s="797" t="str">
        <f>NUMBERSTRING(INT(D8*10000),2)&amp;"元整"</f>
        <v>零元整</v>
      </c>
    </row>
    <row r="10" spans="1:5" ht="15">
      <c r="B10" s="1394" t="s">
        <v>915</v>
      </c>
      <c r="C10" s="1395" t="s">
        <v>913</v>
      </c>
      <c r="D10" s="799">
        <f>结果表!H104</f>
        <v>0</v>
      </c>
    </row>
    <row r="11" spans="1:5" ht="15">
      <c r="B11" s="1394" t="s">
        <v>917</v>
      </c>
      <c r="C11" s="1395" t="s">
        <v>918</v>
      </c>
      <c r="D11" s="799">
        <f>结果表!H105</f>
        <v>0</v>
      </c>
    </row>
    <row r="12" spans="1:5" ht="15">
      <c r="B12" s="1394" t="s">
        <v>919</v>
      </c>
      <c r="C12" s="1395" t="s">
        <v>918</v>
      </c>
      <c r="D12" s="799">
        <f>结果表!H106</f>
        <v>0</v>
      </c>
    </row>
    <row r="13" spans="1:5" ht="15.75">
      <c r="B13" s="3180" t="str">
        <f>结果表!E107</f>
        <v>3.房地产抵押价值</v>
      </c>
      <c r="C13" s="1396" t="s">
        <v>909</v>
      </c>
      <c r="D13" s="800">
        <f ca="1">结果表!H107</f>
        <v>127561</v>
      </c>
    </row>
    <row r="14" spans="1:5" ht="15.75">
      <c r="B14" s="3181"/>
      <c r="C14" s="1391" t="s">
        <v>910</v>
      </c>
      <c r="D14" s="797" t="str">
        <f ca="1">NUMBERSTRING(INT(D13*10000),2)&amp;"元整"</f>
        <v>壹拾贰亿柒仟伍佰陆拾壹万元整</v>
      </c>
    </row>
    <row r="15" spans="1:5" ht="15">
      <c r="B15" s="3186"/>
      <c r="C15" s="1392" t="s">
        <v>920</v>
      </c>
      <c r="D15" s="806">
        <f ca="1">结果表!H108</f>
        <v>18745</v>
      </c>
    </row>
    <row r="16" spans="1:5" ht="15">
      <c r="B16" s="3187" t="str">
        <f>结果表!E109</f>
        <v>——</v>
      </c>
      <c r="C16" s="1396" t="s">
        <v>921</v>
      </c>
      <c r="D16" s="1397" t="str">
        <f>结果表!H109</f>
        <v>——</v>
      </c>
    </row>
    <row r="17" spans="1:5" ht="15.75">
      <c r="B17" s="3188"/>
      <c r="C17" s="1391" t="s">
        <v>922</v>
      </c>
      <c r="D17" s="797" t="e">
        <f>NUMBERSTRING(INT(D16*10000),2)&amp;"元整"</f>
        <v>#VALUE!</v>
      </c>
    </row>
    <row r="18" spans="1:5" ht="15">
      <c r="B18" s="3189"/>
      <c r="C18" s="1392" t="s">
        <v>911</v>
      </c>
      <c r="D18" s="806" t="str">
        <f>结果表!H110</f>
        <v>——</v>
      </c>
    </row>
    <row r="19" spans="1:5" ht="15.75">
      <c r="B19" s="3180" t="str">
        <f>结果表!E111</f>
        <v>——</v>
      </c>
      <c r="C19" s="1396" t="s">
        <v>909</v>
      </c>
      <c r="D19" s="798" t="str">
        <f>结果表!H111</f>
        <v>——</v>
      </c>
    </row>
    <row r="20" spans="1:5" ht="15.75">
      <c r="B20" s="3181"/>
      <c r="C20" s="1391" t="s">
        <v>922</v>
      </c>
      <c r="D20" s="797" t="e">
        <f>NUMBERSTRING(INT(D19*10000),2)&amp;"元整"</f>
        <v>#VALUE!</v>
      </c>
    </row>
    <row r="21" spans="1:5" ht="15.75" thickBot="1">
      <c r="B21" s="3182"/>
      <c r="C21" s="1398" t="s">
        <v>920</v>
      </c>
      <c r="D21" s="807"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94" t="s">
        <v>2604</v>
      </c>
      <c r="B20" s="3487" t="s">
        <v>2625</v>
      </c>
      <c r="C20" s="2842" t="s">
        <v>2436</v>
      </c>
      <c r="D20" s="2843"/>
      <c r="E20" s="2844">
        <v>1</v>
      </c>
      <c r="F20" s="2845" t="s">
        <v>2437</v>
      </c>
      <c r="G20" s="2845"/>
    </row>
    <row r="21" spans="1:13" ht="19.5" customHeight="1">
      <c r="A21" s="3495"/>
      <c r="B21" s="3488"/>
      <c r="C21" s="2846" t="s">
        <v>2438</v>
      </c>
      <c r="D21" s="2847"/>
      <c r="E21" s="2848">
        <v>1</v>
      </c>
      <c r="F21" s="2845" t="s">
        <v>2439</v>
      </c>
      <c r="G21" s="2845"/>
    </row>
    <row r="22" spans="1:13" ht="19.5" customHeight="1">
      <c r="A22" s="3495"/>
      <c r="B22" s="3488"/>
      <c r="C22" s="2846" t="s">
        <v>2440</v>
      </c>
      <c r="D22" s="2847"/>
      <c r="E22" s="2848">
        <v>0.9</v>
      </c>
      <c r="F22" s="2845" t="s">
        <v>2441</v>
      </c>
      <c r="G22" s="2845"/>
    </row>
    <row r="23" spans="1:13" ht="19.5" customHeight="1">
      <c r="A23" s="3495"/>
      <c r="B23" s="3488"/>
      <c r="C23" s="2846" t="s">
        <v>2442</v>
      </c>
      <c r="D23" s="2847"/>
      <c r="E23" s="2848">
        <v>0.9</v>
      </c>
      <c r="F23" s="2845" t="s">
        <v>2443</v>
      </c>
      <c r="G23" s="2845"/>
    </row>
    <row r="24" spans="1:13" ht="19.5" customHeight="1">
      <c r="A24" s="3495"/>
      <c r="B24" s="3488"/>
      <c r="C24" s="2846" t="s">
        <v>2444</v>
      </c>
      <c r="D24" s="2847"/>
      <c r="E24" s="2848">
        <v>0.8</v>
      </c>
      <c r="F24" s="2845" t="s">
        <v>2445</v>
      </c>
      <c r="G24" s="2845"/>
    </row>
    <row r="25" spans="1:13" ht="19.5" customHeight="1" thickBot="1">
      <c r="A25" s="3496"/>
      <c r="B25" s="3489"/>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90" t="s">
        <v>2628</v>
      </c>
      <c r="B27" s="3487" t="s">
        <v>2609</v>
      </c>
      <c r="C27" s="2842" t="s">
        <v>2449</v>
      </c>
      <c r="D27" s="2843"/>
      <c r="E27" s="2844">
        <v>1</v>
      </c>
      <c r="F27" s="2845" t="s">
        <v>2450</v>
      </c>
      <c r="G27" s="2845"/>
    </row>
    <row r="28" spans="1:13" ht="19.5" customHeight="1">
      <c r="A28" s="3491"/>
      <c r="B28" s="3488"/>
      <c r="C28" s="2846" t="s">
        <v>2451</v>
      </c>
      <c r="D28" s="2847"/>
      <c r="E28" s="2848">
        <v>1</v>
      </c>
      <c r="F28" s="2845" t="s">
        <v>2452</v>
      </c>
      <c r="G28" s="2845"/>
    </row>
    <row r="29" spans="1:13" ht="19.5" customHeight="1">
      <c r="A29" s="3491"/>
      <c r="B29" s="3488"/>
      <c r="C29" s="2846" t="s">
        <v>2453</v>
      </c>
      <c r="D29" s="2847"/>
      <c r="E29" s="2848">
        <v>0.8</v>
      </c>
      <c r="F29" s="2845" t="s">
        <v>2454</v>
      </c>
      <c r="G29" s="2845"/>
    </row>
    <row r="30" spans="1:13" ht="19.5" customHeight="1">
      <c r="A30" s="3491"/>
      <c r="B30" s="3488"/>
      <c r="C30" s="2846" t="s">
        <v>2455</v>
      </c>
      <c r="D30" s="2847"/>
      <c r="E30" s="2848">
        <v>0.8</v>
      </c>
      <c r="F30" s="2845" t="s">
        <v>2456</v>
      </c>
      <c r="G30" s="2845"/>
    </row>
    <row r="31" spans="1:13" ht="19.5" customHeight="1">
      <c r="A31" s="3491"/>
      <c r="B31" s="3488"/>
      <c r="C31" s="2846" t="s">
        <v>2457</v>
      </c>
      <c r="D31" s="2847"/>
      <c r="E31" s="2848">
        <v>0.8</v>
      </c>
      <c r="F31" s="2845" t="s">
        <v>2458</v>
      </c>
      <c r="G31" s="2845"/>
    </row>
    <row r="32" spans="1:13" ht="19.5" customHeight="1">
      <c r="A32" s="3491"/>
      <c r="B32" s="3488"/>
      <c r="C32" s="2846" t="s">
        <v>2459</v>
      </c>
      <c r="D32" s="2847"/>
      <c r="E32" s="2848">
        <v>0.7</v>
      </c>
      <c r="F32" s="2845" t="s">
        <v>2460</v>
      </c>
      <c r="G32" s="2845"/>
    </row>
    <row r="33" spans="1:7" ht="19.5" customHeight="1">
      <c r="A33" s="3491"/>
      <c r="B33" s="3488"/>
      <c r="C33" s="2846" t="s">
        <v>2461</v>
      </c>
      <c r="D33" s="2847"/>
      <c r="E33" s="2848">
        <v>0.8</v>
      </c>
      <c r="F33" s="2845" t="s">
        <v>2462</v>
      </c>
      <c r="G33" s="2845"/>
    </row>
    <row r="34" spans="1:7" ht="19.5" customHeight="1">
      <c r="A34" s="3491"/>
      <c r="B34" s="3488"/>
      <c r="C34" s="2846" t="s">
        <v>2463</v>
      </c>
      <c r="D34" s="2847"/>
      <c r="E34" s="2848">
        <v>0.6</v>
      </c>
      <c r="F34" s="2845" t="s">
        <v>2464</v>
      </c>
      <c r="G34" s="2845"/>
    </row>
    <row r="35" spans="1:7" ht="19.5" customHeight="1">
      <c r="A35" s="3491"/>
      <c r="B35" s="3488"/>
      <c r="C35" s="2846" t="s">
        <v>2465</v>
      </c>
      <c r="D35" s="2847"/>
      <c r="E35" s="2848">
        <v>0.2</v>
      </c>
      <c r="F35" s="2845" t="s">
        <v>2466</v>
      </c>
      <c r="G35" s="2845"/>
    </row>
    <row r="36" spans="1:7" ht="19.5" customHeight="1">
      <c r="A36" s="3491"/>
      <c r="B36" s="3488"/>
      <c r="C36" s="2846" t="s">
        <v>2467</v>
      </c>
      <c r="D36" s="2847"/>
      <c r="E36" s="2848">
        <v>0.2</v>
      </c>
      <c r="F36" s="2845" t="s">
        <v>2468</v>
      </c>
      <c r="G36" s="2845"/>
    </row>
    <row r="37" spans="1:7" ht="19.5" customHeight="1">
      <c r="A37" s="3491"/>
      <c r="B37" s="3493" t="s">
        <v>2629</v>
      </c>
      <c r="C37" s="2846" t="s">
        <v>2469</v>
      </c>
      <c r="D37" s="2847"/>
      <c r="E37" s="2848">
        <v>0.6</v>
      </c>
      <c r="F37" s="2845" t="s">
        <v>2470</v>
      </c>
      <c r="G37" s="2845"/>
    </row>
    <row r="38" spans="1:7" ht="19.5" customHeight="1">
      <c r="A38" s="3491"/>
      <c r="B38" s="3488"/>
      <c r="C38" s="2846" t="s">
        <v>2471</v>
      </c>
      <c r="D38" s="2847"/>
      <c r="E38" s="2848">
        <v>0.6</v>
      </c>
      <c r="F38" s="2845" t="s">
        <v>2472</v>
      </c>
      <c r="G38" s="2845"/>
    </row>
    <row r="39" spans="1:7" ht="19.5" customHeight="1" thickBot="1">
      <c r="A39" s="3492"/>
      <c r="B39" s="3489"/>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94" t="s">
        <v>2607</v>
      </c>
      <c r="B41" s="3487" t="s">
        <v>2631</v>
      </c>
      <c r="C41" s="2842" t="s">
        <v>2476</v>
      </c>
      <c r="D41" s="2843"/>
      <c r="E41" s="2844">
        <v>1</v>
      </c>
      <c r="F41" s="2845" t="s">
        <v>2477</v>
      </c>
      <c r="G41" s="2845"/>
    </row>
    <row r="42" spans="1:7" ht="19.5" customHeight="1">
      <c r="A42" s="3495"/>
      <c r="B42" s="3488"/>
      <c r="C42" s="2846" t="s">
        <v>2478</v>
      </c>
      <c r="D42" s="2847"/>
      <c r="E42" s="2848">
        <v>1</v>
      </c>
      <c r="F42" s="2845" t="s">
        <v>2479</v>
      </c>
      <c r="G42" s="2845"/>
    </row>
    <row r="43" spans="1:7" ht="19.5" customHeight="1">
      <c r="A43" s="3495"/>
      <c r="B43" s="3497"/>
      <c r="C43" s="2846" t="s">
        <v>2480</v>
      </c>
      <c r="D43" s="2847"/>
      <c r="E43" s="2848">
        <v>1.5</v>
      </c>
      <c r="F43" s="2845" t="s">
        <v>2481</v>
      </c>
      <c r="G43" s="2845"/>
    </row>
    <row r="44" spans="1:7" ht="19.5" customHeight="1">
      <c r="A44" s="3495"/>
      <c r="B44" s="2857" t="s">
        <v>2632</v>
      </c>
      <c r="C44" s="2846" t="s">
        <v>2633</v>
      </c>
      <c r="D44" s="2847"/>
      <c r="E44" s="2848">
        <v>2</v>
      </c>
      <c r="F44" s="2845" t="s">
        <v>2482</v>
      </c>
      <c r="G44" s="2845"/>
    </row>
    <row r="45" spans="1:7" ht="19.5" customHeight="1">
      <c r="A45" s="3495"/>
      <c r="B45" s="3493" t="s">
        <v>2634</v>
      </c>
      <c r="C45" s="2846" t="s">
        <v>2483</v>
      </c>
      <c r="D45" s="2847"/>
      <c r="E45" s="2848">
        <v>1</v>
      </c>
      <c r="F45" s="2845" t="s">
        <v>2484</v>
      </c>
      <c r="G45" s="2845"/>
    </row>
    <row r="46" spans="1:7" ht="19.5" customHeight="1">
      <c r="A46" s="3495"/>
      <c r="B46" s="3488"/>
      <c r="C46" s="2846" t="s">
        <v>2485</v>
      </c>
      <c r="D46" s="2847"/>
      <c r="E46" s="2848">
        <v>1</v>
      </c>
      <c r="F46" s="2845" t="s">
        <v>2486</v>
      </c>
      <c r="G46" s="2845"/>
    </row>
    <row r="47" spans="1:7" ht="19.5" customHeight="1">
      <c r="A47" s="3495"/>
      <c r="B47" s="3488"/>
      <c r="C47" s="2846" t="s">
        <v>2487</v>
      </c>
      <c r="D47" s="2847"/>
      <c r="E47" s="2848">
        <v>1</v>
      </c>
      <c r="F47" s="2845" t="s">
        <v>2488</v>
      </c>
      <c r="G47" s="2845"/>
    </row>
    <row r="48" spans="1:7" ht="19.5" customHeight="1">
      <c r="A48" s="3495"/>
      <c r="B48" s="3488"/>
      <c r="C48" s="2846" t="s">
        <v>2489</v>
      </c>
      <c r="D48" s="2847"/>
      <c r="E48" s="2848">
        <v>1</v>
      </c>
      <c r="F48" s="2845" t="s">
        <v>2490</v>
      </c>
      <c r="G48" s="2845"/>
    </row>
    <row r="49" spans="1:7" ht="19.5" customHeight="1">
      <c r="A49" s="3495"/>
      <c r="B49" s="3488"/>
      <c r="C49" s="2846" t="s">
        <v>2491</v>
      </c>
      <c r="D49" s="2847"/>
      <c r="E49" s="2848">
        <v>1</v>
      </c>
      <c r="F49" s="2845" t="s">
        <v>2492</v>
      </c>
      <c r="G49" s="2845"/>
    </row>
    <row r="50" spans="1:7" ht="19.5" customHeight="1">
      <c r="A50" s="3495"/>
      <c r="B50" s="3488"/>
      <c r="C50" s="2846" t="s">
        <v>2493</v>
      </c>
      <c r="D50" s="2847"/>
      <c r="E50" s="2848">
        <v>1</v>
      </c>
      <c r="F50" s="2845" t="s">
        <v>2494</v>
      </c>
      <c r="G50" s="2845"/>
    </row>
    <row r="51" spans="1:7" ht="19.5" customHeight="1" thickBot="1">
      <c r="A51" s="3496"/>
      <c r="B51" s="3489"/>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93" t="s">
        <v>2648</v>
      </c>
      <c r="C73" s="2831" t="s">
        <v>2649</v>
      </c>
      <c r="D73" s="2831" t="s">
        <v>2650</v>
      </c>
      <c r="E73" s="2857">
        <v>0.2</v>
      </c>
      <c r="F73" s="2857">
        <v>25</v>
      </c>
    </row>
    <row r="74" spans="1:7" ht="24">
      <c r="A74" s="2857">
        <v>2</v>
      </c>
      <c r="B74" s="3488"/>
      <c r="C74" s="2831" t="s">
        <v>2651</v>
      </c>
      <c r="D74" s="2831" t="s">
        <v>2652</v>
      </c>
      <c r="E74" s="2857">
        <v>0.2</v>
      </c>
      <c r="F74" s="2857">
        <v>25</v>
      </c>
    </row>
    <row r="75" spans="1:7" ht="24">
      <c r="A75" s="2857">
        <v>3</v>
      </c>
      <c r="B75" s="3488"/>
      <c r="C75" s="2831" t="s">
        <v>2653</v>
      </c>
      <c r="D75" s="2831" t="s">
        <v>2654</v>
      </c>
      <c r="E75" s="2857">
        <v>0.2</v>
      </c>
      <c r="F75" s="2857">
        <v>25</v>
      </c>
    </row>
    <row r="76" spans="1:7" ht="13.5">
      <c r="A76" s="2857">
        <v>4</v>
      </c>
      <c r="B76" s="3488"/>
      <c r="C76" s="2831" t="s">
        <v>2655</v>
      </c>
      <c r="D76" s="2831" t="s">
        <v>2656</v>
      </c>
      <c r="E76" s="2857">
        <v>0.15</v>
      </c>
      <c r="F76" s="2857">
        <v>20</v>
      </c>
    </row>
    <row r="77" spans="1:7" ht="24">
      <c r="A77" s="2857">
        <v>5</v>
      </c>
      <c r="B77" s="3488"/>
      <c r="C77" s="2831" t="s">
        <v>2657</v>
      </c>
      <c r="D77" s="2831" t="s">
        <v>2658</v>
      </c>
      <c r="E77" s="2857">
        <v>0.15</v>
      </c>
      <c r="F77" s="2857">
        <v>20</v>
      </c>
    </row>
    <row r="78" spans="1:7" ht="24">
      <c r="A78" s="2857">
        <v>6</v>
      </c>
      <c r="B78" s="3488"/>
      <c r="C78" s="2831" t="s">
        <v>2659</v>
      </c>
      <c r="D78" s="2831" t="s">
        <v>2660</v>
      </c>
      <c r="E78" s="2857">
        <v>0.15</v>
      </c>
      <c r="F78" s="2857">
        <v>20</v>
      </c>
    </row>
    <row r="79" spans="1:7" ht="24">
      <c r="A79" s="2857">
        <v>7</v>
      </c>
      <c r="B79" s="3488"/>
      <c r="C79" s="2831" t="s">
        <v>2661</v>
      </c>
      <c r="D79" s="2831" t="s">
        <v>2662</v>
      </c>
      <c r="E79" s="2857">
        <v>0.15</v>
      </c>
      <c r="F79" s="2857">
        <v>20</v>
      </c>
    </row>
    <row r="80" spans="1:7" ht="24">
      <c r="A80" s="2857">
        <v>8</v>
      </c>
      <c r="B80" s="3488"/>
      <c r="C80" s="2831" t="s">
        <v>2663</v>
      </c>
      <c r="D80" s="2831" t="s">
        <v>2664</v>
      </c>
      <c r="E80" s="2857">
        <v>0.1</v>
      </c>
      <c r="F80" s="2857">
        <v>15</v>
      </c>
    </row>
    <row r="81" spans="1:6" ht="24">
      <c r="A81" s="2857">
        <v>9</v>
      </c>
      <c r="B81" s="3488"/>
      <c r="C81" s="2831" t="s">
        <v>2665</v>
      </c>
      <c r="D81" s="2831" t="s">
        <v>2666</v>
      </c>
      <c r="E81" s="2857">
        <v>0.1</v>
      </c>
      <c r="F81" s="2857">
        <v>15</v>
      </c>
    </row>
    <row r="82" spans="1:6" ht="24">
      <c r="A82" s="2857">
        <v>10</v>
      </c>
      <c r="B82" s="3488"/>
      <c r="C82" s="2831" t="s">
        <v>2667</v>
      </c>
      <c r="D82" s="2831" t="s">
        <v>2668</v>
      </c>
      <c r="E82" s="2857">
        <v>0.1</v>
      </c>
      <c r="F82" s="2857">
        <v>15</v>
      </c>
    </row>
    <row r="83" spans="1:6" ht="24">
      <c r="A83" s="2857">
        <v>11</v>
      </c>
      <c r="B83" s="3488"/>
      <c r="C83" s="2831" t="s">
        <v>2669</v>
      </c>
      <c r="D83" s="2831" t="s">
        <v>2670</v>
      </c>
      <c r="E83" s="2857">
        <v>0.1</v>
      </c>
      <c r="F83" s="2857">
        <v>15</v>
      </c>
    </row>
    <row r="84" spans="1:6" ht="24">
      <c r="A84" s="2857">
        <v>12</v>
      </c>
      <c r="B84" s="3488"/>
      <c r="C84" s="2831" t="s">
        <v>2671</v>
      </c>
      <c r="D84" s="2831" t="s">
        <v>2672</v>
      </c>
      <c r="E84" s="2857">
        <v>0.1</v>
      </c>
      <c r="F84" s="2857">
        <v>15</v>
      </c>
    </row>
    <row r="85" spans="1:6" ht="13.5">
      <c r="A85" s="2857">
        <v>13</v>
      </c>
      <c r="B85" s="3488"/>
      <c r="C85" s="2831" t="s">
        <v>2673</v>
      </c>
      <c r="D85" s="2831" t="s">
        <v>2674</v>
      </c>
      <c r="E85" s="2857">
        <v>0.1</v>
      </c>
      <c r="F85" s="2857">
        <v>15</v>
      </c>
    </row>
    <row r="86" spans="1:6" ht="13.5">
      <c r="A86" s="2857">
        <v>14</v>
      </c>
      <c r="B86" s="3488"/>
      <c r="C86" s="2831" t="s">
        <v>2675</v>
      </c>
      <c r="D86" s="2831" t="s">
        <v>2676</v>
      </c>
      <c r="E86" s="2857">
        <v>0.1</v>
      </c>
      <c r="F86" s="2857">
        <v>15</v>
      </c>
    </row>
    <row r="87" spans="1:6" ht="13.5">
      <c r="A87" s="2857">
        <v>15</v>
      </c>
      <c r="B87" s="3488"/>
      <c r="C87" s="2831" t="s">
        <v>2677</v>
      </c>
      <c r="D87" s="2831" t="s">
        <v>2678</v>
      </c>
      <c r="E87" s="2857">
        <v>0.1</v>
      </c>
      <c r="F87" s="2857">
        <v>15</v>
      </c>
    </row>
    <row r="88" spans="1:6" ht="24">
      <c r="A88" s="2857">
        <v>16</v>
      </c>
      <c r="B88" s="3488"/>
      <c r="C88" s="2831" t="s">
        <v>2679</v>
      </c>
      <c r="D88" s="2831" t="s">
        <v>2680</v>
      </c>
      <c r="E88" s="2857">
        <v>0.1</v>
      </c>
      <c r="F88" s="2857">
        <v>15</v>
      </c>
    </row>
    <row r="89" spans="1:6" ht="24">
      <c r="A89" s="2857">
        <v>17</v>
      </c>
      <c r="B89" s="3497"/>
      <c r="C89" s="2831" t="s">
        <v>2681</v>
      </c>
      <c r="D89" s="2831" t="s">
        <v>2682</v>
      </c>
      <c r="E89" s="2857">
        <v>0.1</v>
      </c>
      <c r="F89" s="2857">
        <v>15</v>
      </c>
    </row>
    <row r="90" spans="1:6" ht="13.5">
      <c r="A90" s="2857">
        <v>18</v>
      </c>
      <c r="B90" s="3493" t="s">
        <v>2683</v>
      </c>
      <c r="C90" s="2831" t="s">
        <v>2684</v>
      </c>
      <c r="D90" s="2831" t="s">
        <v>2685</v>
      </c>
      <c r="E90" s="2857">
        <v>0.2</v>
      </c>
      <c r="F90" s="2857">
        <v>25</v>
      </c>
    </row>
    <row r="91" spans="1:6" ht="24">
      <c r="A91" s="2857">
        <v>19</v>
      </c>
      <c r="B91" s="3488"/>
      <c r="C91" s="2831" t="s">
        <v>2686</v>
      </c>
      <c r="D91" s="2831" t="s">
        <v>2687</v>
      </c>
      <c r="E91" s="2857">
        <v>0.2</v>
      </c>
      <c r="F91" s="2857">
        <v>25</v>
      </c>
    </row>
    <row r="92" spans="1:6" ht="13.5">
      <c r="A92" s="2857">
        <v>20</v>
      </c>
      <c r="B92" s="3488"/>
      <c r="C92" s="2831" t="s">
        <v>2688</v>
      </c>
      <c r="D92" s="2831" t="s">
        <v>2689</v>
      </c>
      <c r="E92" s="2857">
        <v>0.15</v>
      </c>
      <c r="F92" s="2857">
        <v>20</v>
      </c>
    </row>
    <row r="93" spans="1:6" ht="13.5">
      <c r="A93" s="2857">
        <v>21</v>
      </c>
      <c r="B93" s="3488"/>
      <c r="C93" s="2831" t="s">
        <v>2690</v>
      </c>
      <c r="D93" s="2831" t="s">
        <v>2691</v>
      </c>
      <c r="E93" s="2857">
        <v>0.15</v>
      </c>
      <c r="F93" s="2857">
        <v>20</v>
      </c>
    </row>
    <row r="94" spans="1:6" ht="13.5">
      <c r="A94" s="2857">
        <v>22</v>
      </c>
      <c r="B94" s="3488"/>
      <c r="C94" s="2831" t="s">
        <v>2692</v>
      </c>
      <c r="D94" s="2831" t="s">
        <v>2693</v>
      </c>
      <c r="E94" s="2857">
        <v>0.15</v>
      </c>
      <c r="F94" s="2857">
        <v>20</v>
      </c>
    </row>
    <row r="95" spans="1:6" ht="36">
      <c r="A95" s="2857">
        <v>23</v>
      </c>
      <c r="B95" s="3488"/>
      <c r="C95" s="2831" t="s">
        <v>2694</v>
      </c>
      <c r="D95" s="2831" t="s">
        <v>2695</v>
      </c>
      <c r="E95" s="2857">
        <v>0.15</v>
      </c>
      <c r="F95" s="2857">
        <v>20</v>
      </c>
    </row>
    <row r="96" spans="1:6" ht="13.5">
      <c r="A96" s="2857">
        <v>24</v>
      </c>
      <c r="B96" s="3488"/>
      <c r="C96" s="2831" t="s">
        <v>2696</v>
      </c>
      <c r="D96" s="2831" t="s">
        <v>2697</v>
      </c>
      <c r="E96" s="2857">
        <v>0.1</v>
      </c>
      <c r="F96" s="2857">
        <v>15</v>
      </c>
    </row>
    <row r="97" spans="1:6" ht="13.5">
      <c r="A97" s="2857">
        <v>25</v>
      </c>
      <c r="B97" s="3488"/>
      <c r="C97" s="2831" t="s">
        <v>2698</v>
      </c>
      <c r="D97" s="2831" t="s">
        <v>2699</v>
      </c>
      <c r="E97" s="2857">
        <v>0.1</v>
      </c>
      <c r="F97" s="2857">
        <v>15</v>
      </c>
    </row>
    <row r="98" spans="1:6" ht="24">
      <c r="A98" s="2857">
        <v>26</v>
      </c>
      <c r="B98" s="3488"/>
      <c r="C98" s="2831" t="s">
        <v>2700</v>
      </c>
      <c r="D98" s="2831" t="s">
        <v>2701</v>
      </c>
      <c r="E98" s="2857">
        <v>0.1</v>
      </c>
      <c r="F98" s="2857">
        <v>15</v>
      </c>
    </row>
    <row r="99" spans="1:6" ht="24">
      <c r="A99" s="2857">
        <v>27</v>
      </c>
      <c r="B99" s="3488"/>
      <c r="C99" s="2831" t="s">
        <v>2702</v>
      </c>
      <c r="D99" s="2831" t="s">
        <v>2703</v>
      </c>
      <c r="E99" s="2857">
        <v>0.1</v>
      </c>
      <c r="F99" s="2857">
        <v>15</v>
      </c>
    </row>
    <row r="100" spans="1:6" ht="13.5">
      <c r="A100" s="2857">
        <v>28</v>
      </c>
      <c r="B100" s="3488"/>
      <c r="C100" s="2831" t="s">
        <v>2704</v>
      </c>
      <c r="D100" s="2831" t="s">
        <v>2705</v>
      </c>
      <c r="E100" s="2857">
        <v>0.1</v>
      </c>
      <c r="F100" s="2857">
        <v>15</v>
      </c>
    </row>
    <row r="101" spans="1:6" ht="13.5">
      <c r="A101" s="2857">
        <v>29</v>
      </c>
      <c r="B101" s="3488"/>
      <c r="C101" s="2831" t="s">
        <v>2706</v>
      </c>
      <c r="D101" s="2831" t="s">
        <v>2707</v>
      </c>
      <c r="E101" s="2857">
        <v>0.1</v>
      </c>
      <c r="F101" s="2857">
        <v>15</v>
      </c>
    </row>
    <row r="102" spans="1:6" ht="13.5">
      <c r="A102" s="2857">
        <v>30</v>
      </c>
      <c r="B102" s="3488"/>
      <c r="C102" s="2831" t="s">
        <v>2708</v>
      </c>
      <c r="D102" s="2831" t="s">
        <v>2709</v>
      </c>
      <c r="E102" s="2857">
        <v>0.1</v>
      </c>
      <c r="F102" s="2857">
        <v>15</v>
      </c>
    </row>
    <row r="103" spans="1:6" ht="24">
      <c r="A103" s="2857">
        <v>31</v>
      </c>
      <c r="B103" s="3488"/>
      <c r="C103" s="2831" t="s">
        <v>2710</v>
      </c>
      <c r="D103" s="2831" t="s">
        <v>2711</v>
      </c>
      <c r="E103" s="2857">
        <v>0.1</v>
      </c>
      <c r="F103" s="2857">
        <v>15</v>
      </c>
    </row>
    <row r="104" spans="1:6" ht="24">
      <c r="A104" s="2857">
        <v>32</v>
      </c>
      <c r="B104" s="3488"/>
      <c r="C104" s="2831" t="s">
        <v>2712</v>
      </c>
      <c r="D104" s="2831" t="s">
        <v>2713</v>
      </c>
      <c r="E104" s="2857">
        <v>0.1</v>
      </c>
      <c r="F104" s="2857">
        <v>15</v>
      </c>
    </row>
    <row r="105" spans="1:6" ht="24">
      <c r="A105" s="2857">
        <v>33</v>
      </c>
      <c r="B105" s="3488"/>
      <c r="C105" s="2831" t="s">
        <v>2714</v>
      </c>
      <c r="D105" s="2831" t="s">
        <v>2715</v>
      </c>
      <c r="E105" s="2857">
        <v>0.1</v>
      </c>
      <c r="F105" s="2857">
        <v>15</v>
      </c>
    </row>
    <row r="106" spans="1:6" ht="24">
      <c r="A106" s="2857">
        <v>34</v>
      </c>
      <c r="B106" s="3497"/>
      <c r="C106" s="2831" t="s">
        <v>2716</v>
      </c>
      <c r="D106" s="2831" t="s">
        <v>2717</v>
      </c>
      <c r="E106" s="2857">
        <v>0.1</v>
      </c>
      <c r="F106" s="2857">
        <v>15</v>
      </c>
    </row>
    <row r="107" spans="1:6" ht="24">
      <c r="A107" s="2857">
        <v>35</v>
      </c>
      <c r="B107" s="3493" t="s">
        <v>2718</v>
      </c>
      <c r="C107" s="2857" t="s">
        <v>2719</v>
      </c>
      <c r="D107" s="2831" t="s">
        <v>2720</v>
      </c>
      <c r="E107" s="2857">
        <v>0.15</v>
      </c>
      <c r="F107" s="2857">
        <v>20</v>
      </c>
    </row>
    <row r="108" spans="1:6" ht="13.5">
      <c r="A108" s="2857">
        <v>36</v>
      </c>
      <c r="B108" s="3488"/>
      <c r="C108" s="2857" t="s">
        <v>2721</v>
      </c>
      <c r="D108" s="2831" t="s">
        <v>2722</v>
      </c>
      <c r="E108" s="2857">
        <v>0.15</v>
      </c>
      <c r="F108" s="2857">
        <v>20</v>
      </c>
    </row>
    <row r="109" spans="1:6" ht="13.5">
      <c r="A109" s="2857">
        <v>37</v>
      </c>
      <c r="B109" s="3488"/>
      <c r="C109" s="2857" t="s">
        <v>2723</v>
      </c>
      <c r="D109" s="2831" t="s">
        <v>2724</v>
      </c>
      <c r="E109" s="2857">
        <v>0.15</v>
      </c>
      <c r="F109" s="2857">
        <v>20</v>
      </c>
    </row>
    <row r="110" spans="1:6" ht="13.5">
      <c r="A110" s="2857">
        <v>38</v>
      </c>
      <c r="B110" s="3488"/>
      <c r="C110" s="2857" t="s">
        <v>2725</v>
      </c>
      <c r="D110" s="2831" t="s">
        <v>2726</v>
      </c>
      <c r="E110" s="2857">
        <v>0.1</v>
      </c>
      <c r="F110" s="2857">
        <v>15</v>
      </c>
    </row>
    <row r="111" spans="1:6" ht="24">
      <c r="A111" s="2857">
        <v>39</v>
      </c>
      <c r="B111" s="3488"/>
      <c r="C111" s="2857" t="s">
        <v>2727</v>
      </c>
      <c r="D111" s="2831" t="s">
        <v>2728</v>
      </c>
      <c r="E111" s="2857">
        <v>0.1</v>
      </c>
      <c r="F111" s="2857">
        <v>15</v>
      </c>
    </row>
    <row r="112" spans="1:6" ht="24">
      <c r="A112" s="2857">
        <v>40</v>
      </c>
      <c r="B112" s="3497"/>
      <c r="C112" s="2857" t="s">
        <v>2729</v>
      </c>
      <c r="D112" s="2831" t="s">
        <v>2730</v>
      </c>
      <c r="E112" s="2857">
        <v>0.1</v>
      </c>
      <c r="F112" s="2857">
        <v>15</v>
      </c>
    </row>
    <row r="113" spans="1:6" ht="13.5">
      <c r="A113" s="2857">
        <v>41</v>
      </c>
      <c r="B113" s="3498" t="s">
        <v>2731</v>
      </c>
      <c r="C113" s="2857" t="s">
        <v>2732</v>
      </c>
      <c r="D113" s="2831" t="s">
        <v>2733</v>
      </c>
      <c r="E113" s="2857">
        <v>0.1</v>
      </c>
      <c r="F113" s="2857">
        <v>15</v>
      </c>
    </row>
    <row r="114" spans="1:6" ht="13.5">
      <c r="A114" s="2857">
        <v>42</v>
      </c>
      <c r="B114" s="3498"/>
      <c r="C114" s="2857" t="s">
        <v>2734</v>
      </c>
      <c r="D114" s="2831" t="s">
        <v>2735</v>
      </c>
      <c r="E114" s="2857">
        <v>0.1</v>
      </c>
      <c r="F114" s="2857">
        <v>15</v>
      </c>
    </row>
    <row r="115" spans="1:6" ht="24">
      <c r="A115" s="2857">
        <v>43</v>
      </c>
      <c r="B115" s="3498"/>
      <c r="C115" s="2857" t="s">
        <v>2736</v>
      </c>
      <c r="D115" s="2831" t="s">
        <v>2737</v>
      </c>
      <c r="E115" s="2857">
        <v>0.1</v>
      </c>
      <c r="F115" s="2857">
        <v>15</v>
      </c>
    </row>
    <row r="116" spans="1:6" ht="13.5">
      <c r="A116" s="2857">
        <v>44</v>
      </c>
      <c r="B116" s="3493" t="s">
        <v>2738</v>
      </c>
      <c r="C116" s="2857" t="s">
        <v>2739</v>
      </c>
      <c r="D116" s="2831" t="s">
        <v>2740</v>
      </c>
      <c r="E116" s="2857">
        <v>0.1</v>
      </c>
      <c r="F116" s="2857">
        <v>15</v>
      </c>
    </row>
    <row r="117" spans="1:6" ht="24">
      <c r="A117" s="2857">
        <v>45</v>
      </c>
      <c r="B117" s="3497"/>
      <c r="C117" s="2831" t="s">
        <v>2741</v>
      </c>
      <c r="D117" s="2831" t="s">
        <v>2742</v>
      </c>
      <c r="E117" s="2857">
        <v>0.1</v>
      </c>
      <c r="F117" s="2857">
        <v>15</v>
      </c>
    </row>
    <row r="118" spans="1:6" ht="24">
      <c r="A118" s="2857">
        <v>46</v>
      </c>
      <c r="B118" s="3493" t="s">
        <v>2743</v>
      </c>
      <c r="C118" s="2857" t="s">
        <v>2744</v>
      </c>
      <c r="D118" s="2831" t="s">
        <v>2745</v>
      </c>
      <c r="E118" s="2857">
        <v>0.1</v>
      </c>
      <c r="F118" s="2857">
        <v>15</v>
      </c>
    </row>
    <row r="119" spans="1:6" ht="24">
      <c r="A119" s="2857">
        <v>47</v>
      </c>
      <c r="B119" s="3497"/>
      <c r="C119" s="2857" t="s">
        <v>2746</v>
      </c>
      <c r="D119" s="2831" t="s">
        <v>2747</v>
      </c>
      <c r="E119" s="2857">
        <v>0.1</v>
      </c>
      <c r="F119" s="2857">
        <v>15</v>
      </c>
    </row>
    <row r="120" spans="1:6" ht="13.5">
      <c r="A120" s="2857">
        <v>48</v>
      </c>
      <c r="B120" s="3493" t="s">
        <v>2748</v>
      </c>
      <c r="C120" s="2857" t="s">
        <v>2749</v>
      </c>
      <c r="D120" s="2831" t="s">
        <v>2750</v>
      </c>
      <c r="E120" s="2857">
        <v>0.1</v>
      </c>
      <c r="F120" s="2857">
        <v>15</v>
      </c>
    </row>
    <row r="121" spans="1:6" ht="13.5">
      <c r="A121" s="2857">
        <v>49</v>
      </c>
      <c r="B121" s="3497"/>
      <c r="C121" s="2857" t="s">
        <v>2751</v>
      </c>
      <c r="D121" s="2831" t="s">
        <v>2752</v>
      </c>
      <c r="E121" s="2857">
        <v>0.1</v>
      </c>
      <c r="F121" s="2857">
        <v>15</v>
      </c>
    </row>
    <row r="122" spans="1:6" ht="24">
      <c r="A122" s="2857">
        <v>50</v>
      </c>
      <c r="B122" s="3498" t="s">
        <v>2753</v>
      </c>
      <c r="C122" s="2857" t="s">
        <v>2754</v>
      </c>
      <c r="D122" s="2831" t="s">
        <v>2755</v>
      </c>
      <c r="E122" s="2857">
        <v>0.1</v>
      </c>
      <c r="F122" s="2857">
        <v>15</v>
      </c>
    </row>
    <row r="123" spans="1:6" ht="24">
      <c r="A123" s="2857">
        <v>51</v>
      </c>
      <c r="B123" s="3498"/>
      <c r="C123" s="2857" t="s">
        <v>2756</v>
      </c>
      <c r="D123" s="2831" t="s">
        <v>2757</v>
      </c>
      <c r="E123" s="2857">
        <v>0.1</v>
      </c>
      <c r="F123" s="2857">
        <v>15</v>
      </c>
    </row>
    <row r="124" spans="1:6" ht="24">
      <c r="A124" s="2857">
        <v>52</v>
      </c>
      <c r="B124" s="3498" t="s">
        <v>2758</v>
      </c>
      <c r="C124" s="2857" t="s">
        <v>2759</v>
      </c>
      <c r="D124" s="2831" t="s">
        <v>2760</v>
      </c>
      <c r="E124" s="2857">
        <v>0.1</v>
      </c>
      <c r="F124" s="2857">
        <v>15</v>
      </c>
    </row>
    <row r="125" spans="1:6" ht="24">
      <c r="A125" s="2857">
        <v>53</v>
      </c>
      <c r="B125" s="3498"/>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98" t="s">
        <v>2766</v>
      </c>
      <c r="C127" s="2857" t="s">
        <v>2767</v>
      </c>
      <c r="D127" s="2831" t="s">
        <v>2768</v>
      </c>
      <c r="E127" s="2857">
        <v>0.1</v>
      </c>
      <c r="F127" s="2857">
        <v>15</v>
      </c>
    </row>
    <row r="128" spans="1:6" ht="13.5">
      <c r="A128" s="2857">
        <v>56</v>
      </c>
      <c r="B128" s="3498"/>
      <c r="C128" s="2857" t="s">
        <v>2769</v>
      </c>
      <c r="D128" s="2831" t="s">
        <v>2770</v>
      </c>
      <c r="E128" s="2857">
        <v>0.1</v>
      </c>
      <c r="F128" s="2857">
        <v>15</v>
      </c>
    </row>
    <row r="129" spans="1:6" ht="24">
      <c r="A129" s="2857">
        <v>57</v>
      </c>
      <c r="B129" s="3498"/>
      <c r="C129" s="2857" t="s">
        <v>2771</v>
      </c>
      <c r="D129" s="2831" t="s">
        <v>2772</v>
      </c>
      <c r="E129" s="2857">
        <v>0.1</v>
      </c>
      <c r="F129" s="2857">
        <v>15</v>
      </c>
    </row>
    <row r="130" spans="1:6" ht="24">
      <c r="A130" s="2857">
        <v>58</v>
      </c>
      <c r="B130" s="3498" t="s">
        <v>2773</v>
      </c>
      <c r="C130" s="2857" t="s">
        <v>2774</v>
      </c>
      <c r="D130" s="2831" t="s">
        <v>2775</v>
      </c>
      <c r="E130" s="2857">
        <v>0.1</v>
      </c>
      <c r="F130" s="2857">
        <v>15</v>
      </c>
    </row>
    <row r="131" spans="1:6" ht="13.5">
      <c r="A131" s="2857">
        <v>59</v>
      </c>
      <c r="B131" s="3498"/>
      <c r="C131" s="2857" t="s">
        <v>2776</v>
      </c>
      <c r="D131" s="2831" t="s">
        <v>2777</v>
      </c>
      <c r="E131" s="2857">
        <v>0.1</v>
      </c>
      <c r="F131" s="2857">
        <v>15</v>
      </c>
    </row>
    <row r="132" spans="1:6" ht="13.5">
      <c r="A132" s="2857">
        <v>60</v>
      </c>
      <c r="B132" s="3493" t="s">
        <v>2778</v>
      </c>
      <c r="C132" s="2857" t="s">
        <v>2779</v>
      </c>
      <c r="D132" s="2831" t="s">
        <v>2780</v>
      </c>
      <c r="E132" s="2857">
        <v>0.1</v>
      </c>
      <c r="F132" s="2857">
        <v>15</v>
      </c>
    </row>
    <row r="133" spans="1:6" ht="13.5">
      <c r="A133" s="2857">
        <v>61</v>
      </c>
      <c r="B133" s="3497"/>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98" t="s">
        <v>2786</v>
      </c>
      <c r="C135" s="2857" t="s">
        <v>2787</v>
      </c>
      <c r="D135" s="2831" t="s">
        <v>2788</v>
      </c>
      <c r="E135" s="2857">
        <v>0.1</v>
      </c>
      <c r="F135" s="2857">
        <v>15</v>
      </c>
    </row>
    <row r="136" spans="1:6" ht="13.5">
      <c r="A136" s="2857">
        <v>64</v>
      </c>
      <c r="B136" s="3498"/>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88846</v>
      </c>
      <c r="C2" s="2" t="s">
        <v>106</v>
      </c>
      <c r="D2" s="191"/>
      <c r="E2" s="191"/>
      <c r="F2" s="191"/>
      <c r="G2" s="191"/>
    </row>
    <row r="3" spans="1:7" s="192" customFormat="1" ht="18" customHeight="1" thickBot="1">
      <c r="A3" s="195" t="s">
        <v>58</v>
      </c>
      <c r="B3" s="196">
        <f ca="1">ROUND(B2*10000/'数据-汇总表'!E3,0)</f>
        <v>13056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1293</v>
      </c>
      <c r="D10" s="795">
        <f>'数据-汇总表'!E6</f>
        <v>68049.77999999997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1361</v>
      </c>
      <c r="D19" s="204">
        <f>'数据-汇总表'!E3</f>
        <v>68049.77999999997</v>
      </c>
      <c r="E19" s="203">
        <f>'数据-取费表'!B31</f>
        <v>200</v>
      </c>
      <c r="F19" s="223"/>
      <c r="G19" s="1" t="s">
        <v>436</v>
      </c>
    </row>
    <row r="20" spans="1:7" s="206" customFormat="1" ht="13.5" customHeight="1">
      <c r="A20" s="731" t="s">
        <v>419</v>
      </c>
      <c r="B20" s="202" t="s">
        <v>77</v>
      </c>
      <c r="C20" s="224">
        <f>ROUND((C5+C19)*F20,0)</f>
        <v>659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2139</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131</v>
      </c>
      <c r="D24" s="230"/>
      <c r="E24" s="230"/>
      <c r="F24" s="231"/>
      <c r="G24" s="232" t="s">
        <v>82</v>
      </c>
    </row>
    <row r="25" spans="1:7" s="206" customFormat="1" ht="24">
      <c r="A25" s="734" t="s">
        <v>348</v>
      </c>
      <c r="B25" s="207" t="s">
        <v>420</v>
      </c>
      <c r="C25" s="1042">
        <f ca="1">ROUND(IF('数据-取费表'!B22&lt;=1,C20*F22*'数据-取费表'!B23/2,C20*(POWER((1+F22),'数据-取费表'!B23/2)-1)),0)</f>
        <v>31</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5658</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5658</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33519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39578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35386</v>
      </c>
      <c r="D34" s="209"/>
      <c r="E34" s="212"/>
      <c r="F34" s="249">
        <f>IF('数据-取费表'!B24=0,1,'数据-取费表'!N16)</f>
        <v>1</v>
      </c>
      <c r="G34" s="211" t="s">
        <v>89</v>
      </c>
    </row>
    <row r="35" spans="1:7" ht="13.5" customHeight="1">
      <c r="A35" s="734" t="s">
        <v>351</v>
      </c>
      <c r="B35" s="207" t="s">
        <v>33</v>
      </c>
      <c r="C35" s="212">
        <f>ROUND(C34*F35,0)</f>
        <v>1769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1361</v>
      </c>
      <c r="D37" s="209">
        <f>'数据-汇总表'!E3</f>
        <v>68049.77999999997</v>
      </c>
      <c r="E37" s="241">
        <f>'数据-取费表'!B35</f>
        <v>200</v>
      </c>
      <c r="F37" s="251"/>
      <c r="G37" s="253" t="s">
        <v>92</v>
      </c>
    </row>
    <row r="38" spans="1:7" ht="13.5" customHeight="1">
      <c r="A38" s="734" t="s">
        <v>354</v>
      </c>
      <c r="B38" s="207" t="s">
        <v>36</v>
      </c>
      <c r="C38" s="212">
        <f>ROUND(C34*F38,0)</f>
        <v>1062</v>
      </c>
      <c r="D38" s="212"/>
      <c r="E38" s="212"/>
      <c r="F38" s="251">
        <f>'数据-取费表'!B36</f>
        <v>0.03</v>
      </c>
      <c r="G38" s="211" t="s">
        <v>90</v>
      </c>
    </row>
    <row r="39" spans="1:7" s="206" customFormat="1" ht="13.5" customHeight="1">
      <c r="A39" s="731" t="s">
        <v>338</v>
      </c>
      <c r="B39" s="202" t="s">
        <v>77</v>
      </c>
      <c r="C39" s="224">
        <f>ROUND(C33*F20,0)</f>
        <v>1187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1911</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1855</v>
      </c>
      <c r="D42" s="230"/>
      <c r="E42" s="230"/>
      <c r="F42" s="231"/>
      <c r="G42" s="3364" t="s">
        <v>94</v>
      </c>
    </row>
    <row r="43" spans="1:7" ht="13.5" customHeight="1">
      <c r="A43" s="734" t="s">
        <v>347</v>
      </c>
      <c r="B43" s="207" t="s">
        <v>426</v>
      </c>
      <c r="C43" s="230">
        <f ca="1">ROUND(IF('数据-取费表'!B22&lt;=1,C39*F22*'数据-取费表'!B21/2,C39*(POWER((1+F22),'数据-取费表'!B21/2)-1)),0)</f>
        <v>56</v>
      </c>
      <c r="D43" s="230"/>
      <c r="E43" s="230"/>
      <c r="F43" s="231"/>
      <c r="G43" s="3365"/>
    </row>
    <row r="44" spans="1:7" ht="13.5" customHeight="1">
      <c r="A44" s="734" t="s">
        <v>348</v>
      </c>
      <c r="B44" s="207" t="s">
        <v>428</v>
      </c>
      <c r="C44" s="230">
        <f ca="1">ROUND(IF('数据-取费表'!B22&lt;=1,C40*F22*'数据-取费表'!B21/2,C40*(POWER((1+F22),'数据-取费表'!B21/2)-1)),4)</f>
        <v>1.4E-3</v>
      </c>
      <c r="D44" s="230"/>
      <c r="E44" s="230"/>
      <c r="F44" s="231"/>
      <c r="G44" s="3366"/>
    </row>
    <row r="45" spans="1:7" s="206" customFormat="1" ht="13.5" customHeight="1">
      <c r="A45" s="731" t="s">
        <v>341</v>
      </c>
      <c r="B45" s="236" t="s">
        <v>85</v>
      </c>
      <c r="C45" s="237">
        <f>C46</f>
        <v>10191</v>
      </c>
      <c r="D45" s="227">
        <f>C47</f>
        <v>7.4999999999999997E-3</v>
      </c>
      <c r="E45" s="228" t="s">
        <v>102</v>
      </c>
      <c r="F45" s="238"/>
      <c r="G45" s="239" t="s">
        <v>434</v>
      </c>
    </row>
    <row r="46" spans="1:7" s="206" customFormat="1" ht="13.5" customHeight="1">
      <c r="A46" s="734" t="s">
        <v>349</v>
      </c>
      <c r="B46" s="240" t="s">
        <v>427</v>
      </c>
      <c r="C46" s="241">
        <f>ROUND((C33+C39)*F27,0)</f>
        <v>10191</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58239</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55327</v>
      </c>
      <c r="D51" s="224"/>
      <c r="E51" s="224"/>
      <c r="F51" s="256"/>
      <c r="G51" s="226" t="s">
        <v>37</v>
      </c>
    </row>
    <row r="52" spans="1:7" s="200" customFormat="1" ht="16.5" thickBot="1">
      <c r="A52" s="257" t="s">
        <v>38</v>
      </c>
      <c r="B52" s="258"/>
      <c r="C52" s="259">
        <f ca="1">C31+C51</f>
        <v>88846</v>
      </c>
      <c r="D52" s="258"/>
      <c r="E52" s="258"/>
      <c r="F52" s="258"/>
      <c r="G52" s="260"/>
    </row>
    <row r="55" spans="1:7" ht="15">
      <c r="B55" s="262" t="s">
        <v>39</v>
      </c>
      <c r="C55" s="263"/>
    </row>
    <row r="56" spans="1:7">
      <c r="B56" s="265" t="s">
        <v>40</v>
      </c>
      <c r="C56" s="266">
        <f ca="1">ROUND(C51/C52,3)</f>
        <v>0.623</v>
      </c>
    </row>
    <row r="57" spans="1:7">
      <c r="B57" s="265" t="s">
        <v>41</v>
      </c>
      <c r="C57" s="267">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1" t="s">
        <v>2836</v>
      </c>
      <c r="B1" s="3501"/>
      <c r="C1" s="3501"/>
      <c r="D1" s="3501"/>
      <c r="E1" s="3501"/>
      <c r="F1" s="3501"/>
      <c r="G1" s="3502"/>
      <c r="I1" s="2938" t="s">
        <v>2837</v>
      </c>
      <c r="J1" s="2939" t="s">
        <v>2838</v>
      </c>
      <c r="K1" s="2939" t="s">
        <v>2839</v>
      </c>
      <c r="L1" s="2939" t="s">
        <v>2840</v>
      </c>
      <c r="M1" s="2939" t="s">
        <v>2841</v>
      </c>
      <c r="N1" s="2939" t="s">
        <v>2842</v>
      </c>
      <c r="O1" s="2939" t="s">
        <v>2843</v>
      </c>
      <c r="P1" s="2939" t="s">
        <v>2844</v>
      </c>
      <c r="Q1" s="2939" t="s">
        <v>2845</v>
      </c>
      <c r="R1" s="2939" t="s">
        <v>2846</v>
      </c>
      <c r="S1" s="2939" t="s">
        <v>2847</v>
      </c>
      <c r="T1" s="2940" t="s">
        <v>2848</v>
      </c>
    </row>
    <row r="2" spans="1:20" ht="12" thickBot="1">
      <c r="A2" s="2941" t="s">
        <v>2849</v>
      </c>
      <c r="B2" s="2941"/>
      <c r="C2" s="2941"/>
      <c r="D2" s="2941"/>
      <c r="E2" s="2941"/>
      <c r="F2" s="2941"/>
      <c r="G2" s="2942" t="s">
        <v>2850</v>
      </c>
      <c r="I2" s="2943" t="s">
        <v>2851</v>
      </c>
      <c r="J2" s="2943" t="s">
        <v>2852</v>
      </c>
      <c r="K2" s="2943" t="s">
        <v>2853</v>
      </c>
      <c r="L2" s="2943" t="s">
        <v>2854</v>
      </c>
      <c r="M2" s="2943" t="s">
        <v>2855</v>
      </c>
      <c r="N2" s="2943" t="s">
        <v>2856</v>
      </c>
      <c r="O2" s="2943" t="s">
        <v>2857</v>
      </c>
      <c r="P2" s="2943" t="s">
        <v>2858</v>
      </c>
      <c r="Q2" s="2943" t="s">
        <v>2859</v>
      </c>
      <c r="R2" s="2943" t="s">
        <v>2860</v>
      </c>
      <c r="S2" s="2943" t="s">
        <v>2861</v>
      </c>
      <c r="T2" s="2943" t="s">
        <v>2862</v>
      </c>
    </row>
    <row r="3" spans="1:20" s="2949" customFormat="1">
      <c r="A3" s="3499" t="s">
        <v>2863</v>
      </c>
      <c r="B3" s="2944"/>
      <c r="C3" s="2945" t="s">
        <v>2808</v>
      </c>
      <c r="D3" s="2945" t="s">
        <v>2864</v>
      </c>
      <c r="E3" s="2945" t="s">
        <v>2810</v>
      </c>
      <c r="F3" s="2945" t="s">
        <v>2865</v>
      </c>
      <c r="G3" s="2945" t="s">
        <v>2628</v>
      </c>
      <c r="H3" s="2946"/>
      <c r="I3" s="2947" t="s">
        <v>2866</v>
      </c>
      <c r="J3" s="2948" t="s">
        <v>128</v>
      </c>
      <c r="K3" s="2948" t="s">
        <v>129</v>
      </c>
      <c r="L3" s="2947" t="s">
        <v>130</v>
      </c>
      <c r="M3" s="2947" t="s">
        <v>131</v>
      </c>
      <c r="N3" s="2947" t="s">
        <v>132</v>
      </c>
      <c r="O3" s="2947" t="s">
        <v>133</v>
      </c>
      <c r="P3" s="2947" t="s">
        <v>134</v>
      </c>
      <c r="Q3" s="2947" t="s">
        <v>135</v>
      </c>
      <c r="R3" s="2947" t="s">
        <v>136</v>
      </c>
      <c r="S3" s="2947" t="s">
        <v>2867</v>
      </c>
      <c r="T3" s="2947" t="s">
        <v>2868</v>
      </c>
    </row>
    <row r="4" spans="1:20" s="2949" customFormat="1" ht="12" thickBot="1">
      <c r="A4" s="3500"/>
      <c r="B4" s="2950" t="s">
        <v>2869</v>
      </c>
      <c r="C4" s="2950" t="s">
        <v>2870</v>
      </c>
      <c r="D4" s="2950" t="s">
        <v>2870</v>
      </c>
      <c r="E4" s="2950" t="s">
        <v>2870</v>
      </c>
      <c r="F4" s="2951" t="s">
        <v>2870</v>
      </c>
      <c r="G4" s="2951" t="s">
        <v>2870</v>
      </c>
      <c r="H4" s="2946"/>
      <c r="I4" s="2948" t="s">
        <v>137</v>
      </c>
      <c r="J4" s="2948" t="s">
        <v>111</v>
      </c>
      <c r="K4" s="2948" t="s">
        <v>138</v>
      </c>
      <c r="L4" s="2947" t="s">
        <v>139</v>
      </c>
      <c r="M4" s="2947" t="s">
        <v>140</v>
      </c>
      <c r="N4" s="2947" t="s">
        <v>141</v>
      </c>
      <c r="O4" s="2947" t="s">
        <v>142</v>
      </c>
      <c r="P4" s="2947" t="s">
        <v>143</v>
      </c>
      <c r="Q4" s="2947" t="s">
        <v>2871</v>
      </c>
      <c r="R4" s="2947" t="s">
        <v>2872</v>
      </c>
      <c r="S4" s="2947" t="s">
        <v>2873</v>
      </c>
      <c r="T4" s="2947" t="s">
        <v>2874</v>
      </c>
    </row>
    <row r="5" spans="1:20">
      <c r="A5" s="2952" t="s">
        <v>2837</v>
      </c>
      <c r="B5" s="2943" t="s">
        <v>2851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2875</v>
      </c>
      <c r="R5" s="2947" t="s">
        <v>2876</v>
      </c>
      <c r="S5" s="2947" t="s">
        <v>153</v>
      </c>
      <c r="T5" s="2947" t="s">
        <v>2877</v>
      </c>
    </row>
    <row r="6" spans="1:20" ht="12" thickBot="1">
      <c r="A6" s="2947" t="s">
        <v>144</v>
      </c>
      <c r="B6" s="2947" t="s">
        <v>2866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2878</v>
      </c>
      <c r="Q6" s="2947" t="s">
        <v>2879</v>
      </c>
      <c r="R6" s="2947" t="s">
        <v>161</v>
      </c>
      <c r="S6" s="2947" t="s">
        <v>2880</v>
      </c>
      <c r="T6" s="2947" t="s">
        <v>2881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2882</v>
      </c>
      <c r="Q7" s="2947" t="s">
        <v>2883</v>
      </c>
      <c r="R7" s="2947" t="s">
        <v>2884</v>
      </c>
      <c r="S7" s="2947" t="s">
        <v>2885</v>
      </c>
      <c r="T7" s="2947" t="s">
        <v>2886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2887</v>
      </c>
      <c r="Q8" s="2947" t="s">
        <v>174</v>
      </c>
      <c r="R8" s="2947" t="s">
        <v>2888</v>
      </c>
      <c r="S8" s="2947" t="s">
        <v>2889</v>
      </c>
      <c r="T8" s="2954" t="s">
        <v>2890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2891</v>
      </c>
      <c r="Q9" s="2947" t="s">
        <v>182</v>
      </c>
      <c r="R9" s="2947" t="s">
        <v>183</v>
      </c>
      <c r="S9" s="2947" t="s">
        <v>200</v>
      </c>
    </row>
    <row r="10" spans="1:20">
      <c r="A10" s="2952" t="s">
        <v>184</v>
      </c>
      <c r="B10" s="2943" t="s">
        <v>2852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2893</v>
      </c>
      <c r="P11" s="2947" t="s">
        <v>191</v>
      </c>
      <c r="Q11" s="2947" t="s">
        <v>199</v>
      </c>
      <c r="R11" s="2947" t="s">
        <v>2894</v>
      </c>
      <c r="S11" s="2947" t="s">
        <v>2895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2896</v>
      </c>
      <c r="P12" s="2947" t="s">
        <v>2897</v>
      </c>
      <c r="Q12" s="2947" t="s">
        <v>2898</v>
      </c>
      <c r="R12" s="2947" t="s">
        <v>2899</v>
      </c>
      <c r="S12" s="2947" t="s">
        <v>2900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2902</v>
      </c>
      <c r="K14" s="2948" t="s">
        <v>215</v>
      </c>
      <c r="L14" s="2947" t="s">
        <v>216</v>
      </c>
      <c r="M14" s="2947" t="s">
        <v>217</v>
      </c>
      <c r="N14" s="2947" t="s">
        <v>218</v>
      </c>
      <c r="O14" s="2947" t="s">
        <v>240</v>
      </c>
      <c r="P14" s="2947" t="s">
        <v>213</v>
      </c>
      <c r="Q14" s="2947" t="s">
        <v>2903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2904</v>
      </c>
      <c r="P15" s="2947" t="s">
        <v>2905</v>
      </c>
      <c r="Q15" s="2947" t="s">
        <v>242</v>
      </c>
      <c r="R15" s="2947" t="s">
        <v>2906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2907</v>
      </c>
      <c r="P16" s="2947" t="s">
        <v>227</v>
      </c>
      <c r="Q16" s="2947" t="s">
        <v>250</v>
      </c>
      <c r="R16" s="2947" t="s">
        <v>207</v>
      </c>
      <c r="S16" s="2947" t="s">
        <v>2908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2909</v>
      </c>
      <c r="P17" s="2947" t="s">
        <v>2910</v>
      </c>
      <c r="Q17" s="2947" t="s">
        <v>256</v>
      </c>
      <c r="R17" s="2947" t="s">
        <v>2911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2912</v>
      </c>
      <c r="P18" s="2947" t="s">
        <v>241</v>
      </c>
      <c r="Q18" s="2947" t="s">
        <v>2913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2914</v>
      </c>
      <c r="P19" s="2947" t="s">
        <v>249</v>
      </c>
      <c r="Q19" s="2947" t="s">
        <v>2915</v>
      </c>
      <c r="R19" s="2947" t="s">
        <v>265</v>
      </c>
      <c r="S19" s="2947" t="s">
        <v>2916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2917</v>
      </c>
      <c r="P20" s="2947" t="s">
        <v>2918</v>
      </c>
      <c r="Q20" s="2947" t="s">
        <v>290</v>
      </c>
      <c r="R20" s="2947" t="s">
        <v>2919</v>
      </c>
      <c r="S20" s="2947" t="s">
        <v>277</v>
      </c>
    </row>
    <row r="21" spans="1:19" ht="14.25" customHeight="1" thickBot="1">
      <c r="A21" s="2947" t="s">
        <v>184</v>
      </c>
      <c r="B21" s="2948" t="s">
        <v>208</v>
      </c>
      <c r="C21" s="2947">
        <v>32370</v>
      </c>
      <c r="D21" s="2947">
        <v>26730</v>
      </c>
      <c r="E21" s="2947">
        <v>26640</v>
      </c>
      <c r="F21" s="2947"/>
      <c r="G21" s="2947">
        <v>19440</v>
      </c>
      <c r="J21" s="2954" t="s">
        <v>2920</v>
      </c>
      <c r="K21" s="2948" t="s">
        <v>267</v>
      </c>
      <c r="L21" s="2947" t="s">
        <v>268</v>
      </c>
      <c r="M21" s="2947" t="s">
        <v>269</v>
      </c>
      <c r="N21" s="2947" t="s">
        <v>270</v>
      </c>
      <c r="O21" s="2947" t="s">
        <v>264</v>
      </c>
      <c r="P21" s="2947" t="s">
        <v>283</v>
      </c>
      <c r="Q21" s="2947" t="s">
        <v>293</v>
      </c>
      <c r="R21" s="2947" t="s">
        <v>2921</v>
      </c>
      <c r="S21" s="2954" t="s">
        <v>2922</v>
      </c>
    </row>
    <row r="22" spans="1:19" ht="14.25" customHeight="1">
      <c r="A22" s="2947" t="s">
        <v>184</v>
      </c>
      <c r="B22" s="2948" t="s">
        <v>2902</v>
      </c>
      <c r="C22" s="2947">
        <v>29830</v>
      </c>
      <c r="D22" s="2947">
        <v>27600</v>
      </c>
      <c r="E22" s="2947">
        <v>28150</v>
      </c>
      <c r="F22" s="2947"/>
      <c r="G22" s="2947">
        <v>20080</v>
      </c>
      <c r="K22" s="2948" t="s">
        <v>2923</v>
      </c>
      <c r="L22" s="2947" t="s">
        <v>272</v>
      </c>
      <c r="M22" s="2947" t="s">
        <v>273</v>
      </c>
      <c r="N22" s="2947" t="s">
        <v>274</v>
      </c>
      <c r="O22" s="2947" t="s">
        <v>2924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2925</v>
      </c>
      <c r="L23" s="2947" t="s">
        <v>278</v>
      </c>
      <c r="M23" s="2947" t="s">
        <v>279</v>
      </c>
      <c r="N23" s="2947" t="s">
        <v>2926</v>
      </c>
      <c r="O23" s="2947" t="s">
        <v>2927</v>
      </c>
      <c r="P23" s="2947" t="s">
        <v>289</v>
      </c>
      <c r="Q23" s="2947" t="s">
        <v>298</v>
      </c>
      <c r="R23" s="2947" t="s">
        <v>2928</v>
      </c>
    </row>
    <row r="24" spans="1:19" ht="14.25" customHeight="1">
      <c r="A24" s="2947" t="s">
        <v>184</v>
      </c>
      <c r="B24" s="2948" t="s">
        <v>230</v>
      </c>
      <c r="C24" s="2947">
        <v>27930</v>
      </c>
      <c r="D24" s="2947">
        <v>32260</v>
      </c>
      <c r="E24" s="2947">
        <v>32120</v>
      </c>
      <c r="F24" s="2947"/>
      <c r="G24" s="2947">
        <v>23470</v>
      </c>
      <c r="K24" s="2948" t="s">
        <v>2929</v>
      </c>
      <c r="L24" s="2947" t="s">
        <v>281</v>
      </c>
      <c r="M24" s="2947" t="s">
        <v>282</v>
      </c>
      <c r="N24" s="2947" t="s">
        <v>2930</v>
      </c>
      <c r="O24" s="2947" t="s">
        <v>285</v>
      </c>
      <c r="P24" s="2947" t="s">
        <v>2931</v>
      </c>
      <c r="Q24" s="2956" t="s">
        <v>2932</v>
      </c>
      <c r="R24" s="2947" t="s">
        <v>2933</v>
      </c>
    </row>
    <row r="25" spans="1:19" ht="14.25" customHeight="1">
      <c r="A25" s="2947" t="s">
        <v>184</v>
      </c>
      <c r="B25" s="2948" t="s">
        <v>235</v>
      </c>
      <c r="C25" s="2947">
        <v>32230</v>
      </c>
      <c r="D25" s="2947">
        <v>29640</v>
      </c>
      <c r="E25" s="2947">
        <v>29510</v>
      </c>
      <c r="F25" s="2947"/>
      <c r="G25" s="2947">
        <v>21560</v>
      </c>
      <c r="K25" s="2948" t="s">
        <v>2934</v>
      </c>
      <c r="L25" s="2947" t="s">
        <v>2935</v>
      </c>
      <c r="M25" s="2947" t="s">
        <v>284</v>
      </c>
      <c r="N25" s="2947" t="s">
        <v>292</v>
      </c>
      <c r="O25" s="2947" t="s">
        <v>288</v>
      </c>
      <c r="P25" s="2947" t="s">
        <v>275</v>
      </c>
      <c r="Q25" s="2956" t="s">
        <v>271</v>
      </c>
      <c r="R25" s="2947" t="s">
        <v>2936</v>
      </c>
    </row>
    <row r="26" spans="1:19" ht="14.25" customHeight="1" thickBot="1">
      <c r="A26" s="2947" t="s">
        <v>184</v>
      </c>
      <c r="B26" s="2948" t="s">
        <v>244</v>
      </c>
      <c r="C26" s="2947">
        <v>31690</v>
      </c>
      <c r="D26" s="2947">
        <v>27650</v>
      </c>
      <c r="E26" s="2947">
        <v>28200</v>
      </c>
      <c r="F26" s="2947"/>
      <c r="G26" s="2947">
        <v>20110</v>
      </c>
      <c r="K26" s="2953" t="s">
        <v>2937</v>
      </c>
      <c r="L26" s="2947" t="s">
        <v>2938</v>
      </c>
      <c r="M26" s="2947" t="s">
        <v>287</v>
      </c>
      <c r="N26" s="2947" t="s">
        <v>294</v>
      </c>
      <c r="O26" s="2947" t="s">
        <v>2939</v>
      </c>
      <c r="P26" s="2947" t="s">
        <v>2940</v>
      </c>
      <c r="Q26" s="2956" t="s">
        <v>276</v>
      </c>
      <c r="R26" s="2947" t="s">
        <v>2941</v>
      </c>
    </row>
    <row r="27" spans="1:19" ht="14.25" customHeight="1">
      <c r="A27" s="2947" t="s">
        <v>184</v>
      </c>
      <c r="B27" s="2948" t="s">
        <v>251</v>
      </c>
      <c r="C27" s="2947">
        <v>29610</v>
      </c>
      <c r="D27" s="2947">
        <v>27770</v>
      </c>
      <c r="E27" s="2947">
        <v>28300</v>
      </c>
      <c r="F27" s="2947"/>
      <c r="G27" s="2947">
        <v>20210</v>
      </c>
      <c r="L27" s="2947" t="s">
        <v>2942</v>
      </c>
      <c r="M27" s="2947" t="s">
        <v>291</v>
      </c>
      <c r="N27" s="2947" t="s">
        <v>297</v>
      </c>
      <c r="O27" s="2947" t="s">
        <v>2943</v>
      </c>
      <c r="P27" s="2947" t="s">
        <v>2944</v>
      </c>
      <c r="Q27" s="2947" t="s">
        <v>2945</v>
      </c>
      <c r="R27" s="2947" t="s">
        <v>2946</v>
      </c>
    </row>
    <row r="28" spans="1:19" ht="14.25" customHeight="1">
      <c r="A28" s="2947" t="s">
        <v>184</v>
      </c>
      <c r="B28" s="2948" t="s">
        <v>259</v>
      </c>
      <c r="C28" s="2947"/>
      <c r="D28" s="2947">
        <v>31520</v>
      </c>
      <c r="E28" s="2947">
        <v>31410</v>
      </c>
      <c r="F28" s="2947"/>
      <c r="G28" s="2947">
        <v>22940</v>
      </c>
      <c r="L28" s="2947" t="s">
        <v>2947</v>
      </c>
      <c r="M28" s="2947" t="s">
        <v>2948</v>
      </c>
      <c r="N28" s="2947" t="s">
        <v>2949</v>
      </c>
      <c r="O28" s="2947" t="s">
        <v>2950</v>
      </c>
      <c r="P28" s="2947" t="s">
        <v>2951</v>
      </c>
      <c r="Q28" s="2947" t="s">
        <v>2952</v>
      </c>
      <c r="R28" s="2947" t="s">
        <v>2953</v>
      </c>
    </row>
    <row r="29" spans="1:19" ht="14.25" customHeight="1" thickBot="1">
      <c r="A29" s="2955" t="s">
        <v>184</v>
      </c>
      <c r="B29" s="2957" t="s">
        <v>2920</v>
      </c>
      <c r="C29" s="2958"/>
      <c r="D29" s="2958">
        <v>29460</v>
      </c>
      <c r="E29" s="2958">
        <v>28640</v>
      </c>
      <c r="F29" s="2958"/>
      <c r="G29" s="2958">
        <v>21430</v>
      </c>
      <c r="L29" s="2947" t="s">
        <v>2954</v>
      </c>
      <c r="M29" s="2947" t="s">
        <v>2955</v>
      </c>
      <c r="N29" s="2947" t="s">
        <v>2956</v>
      </c>
      <c r="O29" s="2947" t="s">
        <v>2957</v>
      </c>
      <c r="P29" s="2947" t="s">
        <v>2958</v>
      </c>
      <c r="Q29" s="2947" t="s">
        <v>2959</v>
      </c>
      <c r="R29" s="2947" t="s">
        <v>280</v>
      </c>
    </row>
    <row r="30" spans="1:19" ht="14.25" customHeight="1">
      <c r="A30" s="2952" t="s">
        <v>296</v>
      </c>
      <c r="B30" s="2943" t="s">
        <v>2853</v>
      </c>
      <c r="C30" s="2943">
        <v>26890</v>
      </c>
      <c r="D30" s="2943">
        <v>26770</v>
      </c>
      <c r="E30" s="2943">
        <v>25700</v>
      </c>
      <c r="F30" s="2943">
        <v>8180</v>
      </c>
      <c r="G30" s="2959">
        <v>18740</v>
      </c>
      <c r="L30" s="2947" t="s">
        <v>2960</v>
      </c>
      <c r="M30" s="2947" t="s">
        <v>2961</v>
      </c>
      <c r="N30" s="2947" t="s">
        <v>2962</v>
      </c>
      <c r="O30" s="2947" t="s">
        <v>2963</v>
      </c>
      <c r="P30" s="2947" t="s">
        <v>2964</v>
      </c>
      <c r="Q30" s="2947" t="s">
        <v>2965</v>
      </c>
      <c r="R30" s="2947" t="s">
        <v>2966</v>
      </c>
    </row>
    <row r="31" spans="1:19" ht="14.25" customHeight="1">
      <c r="A31" s="2947" t="s">
        <v>296</v>
      </c>
      <c r="B31" s="2948" t="s">
        <v>129</v>
      </c>
      <c r="C31" s="2947">
        <v>24550</v>
      </c>
      <c r="D31" s="2947">
        <v>23990</v>
      </c>
      <c r="E31" s="2947">
        <v>22930</v>
      </c>
      <c r="F31" s="2947">
        <v>7470</v>
      </c>
      <c r="G31" s="2960">
        <v>16790</v>
      </c>
      <c r="L31" s="2947" t="s">
        <v>2967</v>
      </c>
      <c r="M31" s="2947" t="s">
        <v>2968</v>
      </c>
      <c r="N31" s="2947" t="s">
        <v>2969</v>
      </c>
      <c r="O31" s="2947" t="s">
        <v>2970</v>
      </c>
      <c r="P31" s="2947" t="s">
        <v>2971</v>
      </c>
      <c r="Q31" s="2947" t="s">
        <v>2972</v>
      </c>
      <c r="R31" s="2947" t="s">
        <v>2973</v>
      </c>
    </row>
    <row r="32" spans="1:19" ht="14.25" customHeight="1" thickBot="1">
      <c r="A32" s="2947" t="s">
        <v>296</v>
      </c>
      <c r="B32" s="2948" t="s">
        <v>138</v>
      </c>
      <c r="C32" s="2947">
        <v>27210</v>
      </c>
      <c r="D32" s="2947">
        <v>23240</v>
      </c>
      <c r="E32" s="2947">
        <v>23260</v>
      </c>
      <c r="F32" s="2947">
        <v>7130</v>
      </c>
      <c r="G32" s="2960">
        <v>16270</v>
      </c>
      <c r="L32" s="2947" t="s">
        <v>2974</v>
      </c>
      <c r="M32" s="2947" t="s">
        <v>2975</v>
      </c>
      <c r="N32" s="2947" t="s">
        <v>300</v>
      </c>
      <c r="O32" s="2947" t="s">
        <v>2976</v>
      </c>
      <c r="P32" s="2947" t="s">
        <v>299</v>
      </c>
      <c r="Q32" s="2947" t="s">
        <v>2977</v>
      </c>
      <c r="R32" s="2954" t="s">
        <v>2978</v>
      </c>
    </row>
    <row r="33" spans="1:17" ht="14.25" customHeight="1" thickBot="1">
      <c r="A33" s="2947" t="s">
        <v>296</v>
      </c>
      <c r="B33" s="2948" t="s">
        <v>147</v>
      </c>
      <c r="C33" s="2947">
        <v>27300</v>
      </c>
      <c r="D33" s="2947">
        <v>22980</v>
      </c>
      <c r="E33" s="2947">
        <v>24260</v>
      </c>
      <c r="F33" s="2947">
        <v>5860</v>
      </c>
      <c r="G33" s="2960">
        <v>16090</v>
      </c>
      <c r="L33" s="2954" t="s">
        <v>2979</v>
      </c>
      <c r="M33" s="2947" t="s">
        <v>2980</v>
      </c>
      <c r="N33" s="2947" t="s">
        <v>301</v>
      </c>
      <c r="O33" s="2947" t="s">
        <v>2981</v>
      </c>
      <c r="P33" s="2947" t="s">
        <v>2982</v>
      </c>
      <c r="Q33" s="2947" t="s">
        <v>2983</v>
      </c>
    </row>
    <row r="34" spans="1:17" ht="14.25" customHeight="1">
      <c r="A34" s="2947" t="s">
        <v>296</v>
      </c>
      <c r="B34" s="2948" t="s">
        <v>156</v>
      </c>
      <c r="C34" s="2947">
        <v>23090</v>
      </c>
      <c r="D34" s="2947">
        <v>23390</v>
      </c>
      <c r="E34" s="2947">
        <v>23510</v>
      </c>
      <c r="F34" s="2947">
        <v>6700</v>
      </c>
      <c r="G34" s="2960">
        <v>16370</v>
      </c>
      <c r="M34" s="2947" t="s">
        <v>2984</v>
      </c>
      <c r="N34" s="2947" t="s">
        <v>302</v>
      </c>
      <c r="O34" s="2947" t="s">
        <v>2985</v>
      </c>
      <c r="P34" s="2947" t="s">
        <v>2986</v>
      </c>
      <c r="Q34" s="2947" t="s">
        <v>2987</v>
      </c>
    </row>
    <row r="35" spans="1:17" ht="14.25" customHeight="1">
      <c r="A35" s="2947" t="s">
        <v>296</v>
      </c>
      <c r="B35" s="2948" t="s">
        <v>163</v>
      </c>
      <c r="C35" s="2947">
        <v>27270</v>
      </c>
      <c r="D35" s="2947">
        <v>24270</v>
      </c>
      <c r="E35" s="2947">
        <v>24950</v>
      </c>
      <c r="F35" s="2947">
        <v>6600</v>
      </c>
      <c r="G35" s="2960">
        <v>16990</v>
      </c>
      <c r="M35" s="2947" t="s">
        <v>2988</v>
      </c>
      <c r="N35" s="2947" t="s">
        <v>2989</v>
      </c>
      <c r="O35" s="2947" t="s">
        <v>2990</v>
      </c>
      <c r="P35" s="2947" t="s">
        <v>2991</v>
      </c>
      <c r="Q35" s="2947" t="s">
        <v>2992</v>
      </c>
    </row>
    <row r="36" spans="1:17" ht="14.25" customHeight="1">
      <c r="A36" s="2947" t="s">
        <v>296</v>
      </c>
      <c r="B36" s="2948" t="s">
        <v>169</v>
      </c>
      <c r="C36" s="2947">
        <v>23490</v>
      </c>
      <c r="D36" s="2947">
        <v>23020</v>
      </c>
      <c r="E36" s="2947">
        <v>25230</v>
      </c>
      <c r="F36" s="2947">
        <v>6780</v>
      </c>
      <c r="G36" s="2960">
        <v>16120</v>
      </c>
      <c r="M36" s="2947" t="s">
        <v>2993</v>
      </c>
      <c r="N36" s="2947" t="s">
        <v>2994</v>
      </c>
      <c r="O36" s="2947" t="s">
        <v>2995</v>
      </c>
      <c r="P36" s="2947" t="s">
        <v>2996</v>
      </c>
      <c r="Q36" s="2947" t="s">
        <v>2997</v>
      </c>
    </row>
    <row r="37" spans="1:17" ht="14.25" customHeight="1">
      <c r="A37" s="2947" t="s">
        <v>296</v>
      </c>
      <c r="B37" s="2948" t="s">
        <v>176</v>
      </c>
      <c r="C37" s="2947">
        <v>24380</v>
      </c>
      <c r="D37" s="2947">
        <v>22240</v>
      </c>
      <c r="E37" s="2947">
        <v>25980</v>
      </c>
      <c r="F37" s="2947">
        <v>8160</v>
      </c>
      <c r="G37" s="2960">
        <v>15570</v>
      </c>
      <c r="M37" s="2947" t="s">
        <v>2998</v>
      </c>
      <c r="N37" s="2947" t="s">
        <v>2999</v>
      </c>
      <c r="O37" s="2947" t="s">
        <v>3000</v>
      </c>
      <c r="P37" s="2947" t="s">
        <v>3001</v>
      </c>
      <c r="Q37" s="2947" t="s">
        <v>3002</v>
      </c>
    </row>
    <row r="38" spans="1:17" ht="14.25" customHeight="1">
      <c r="A38" s="2947" t="s">
        <v>296</v>
      </c>
      <c r="B38" s="2948" t="s">
        <v>186</v>
      </c>
      <c r="C38" s="2947">
        <v>23120</v>
      </c>
      <c r="D38" s="2947">
        <v>24630</v>
      </c>
      <c r="E38" s="2947">
        <v>25030</v>
      </c>
      <c r="F38" s="2947">
        <v>7710</v>
      </c>
      <c r="G38" s="2960">
        <v>17240</v>
      </c>
      <c r="M38" s="2947" t="s">
        <v>3003</v>
      </c>
      <c r="N38" s="2947" t="s">
        <v>3004</v>
      </c>
      <c r="O38" s="2947" t="s">
        <v>3005</v>
      </c>
      <c r="P38" s="2947" t="s">
        <v>3006</v>
      </c>
      <c r="Q38" s="2947" t="s">
        <v>3007</v>
      </c>
    </row>
    <row r="39" spans="1:17" ht="14.25" customHeight="1">
      <c r="A39" s="2947" t="s">
        <v>296</v>
      </c>
      <c r="B39" s="2948" t="s">
        <v>195</v>
      </c>
      <c r="C39" s="2947">
        <v>22330</v>
      </c>
      <c r="D39" s="2947">
        <v>21140</v>
      </c>
      <c r="E39" s="2947">
        <v>23970</v>
      </c>
      <c r="F39" s="2947">
        <v>7940</v>
      </c>
      <c r="G39" s="2960">
        <v>14790</v>
      </c>
      <c r="M39" s="2947" t="s">
        <v>3008</v>
      </c>
      <c r="N39" s="2947" t="s">
        <v>3009</v>
      </c>
      <c r="O39" s="2947" t="s">
        <v>3010</v>
      </c>
      <c r="P39" s="2947" t="s">
        <v>3011</v>
      </c>
      <c r="Q39" s="2947" t="s">
        <v>3012</v>
      </c>
    </row>
    <row r="40" spans="1:17" ht="14.25" customHeight="1">
      <c r="A40" s="2947" t="s">
        <v>296</v>
      </c>
      <c r="B40" s="2948" t="s">
        <v>202</v>
      </c>
      <c r="C40" s="2947">
        <v>24740</v>
      </c>
      <c r="D40" s="2947">
        <v>24690</v>
      </c>
      <c r="E40" s="2947">
        <v>22610</v>
      </c>
      <c r="F40" s="2947"/>
      <c r="G40" s="2960">
        <v>17280</v>
      </c>
      <c r="M40" s="2947" t="s">
        <v>3013</v>
      </c>
      <c r="N40" s="2947" t="s">
        <v>3014</v>
      </c>
      <c r="O40" s="2947" t="s">
        <v>3015</v>
      </c>
      <c r="P40" s="2947" t="s">
        <v>3016</v>
      </c>
      <c r="Q40" s="2947" t="s">
        <v>3017</v>
      </c>
    </row>
    <row r="41" spans="1:17" ht="14.25" customHeight="1" thickBot="1">
      <c r="A41" s="2947" t="s">
        <v>296</v>
      </c>
      <c r="B41" s="2948" t="s">
        <v>209</v>
      </c>
      <c r="C41" s="2947">
        <v>21220</v>
      </c>
      <c r="D41" s="2947">
        <v>21120</v>
      </c>
      <c r="E41" s="2947">
        <v>22590</v>
      </c>
      <c r="F41" s="2947"/>
      <c r="G41" s="2960">
        <v>14780</v>
      </c>
      <c r="M41" s="2954" t="s">
        <v>3018</v>
      </c>
      <c r="N41" s="2947" t="s">
        <v>3019</v>
      </c>
      <c r="O41" s="2947" t="s">
        <v>3020</v>
      </c>
      <c r="P41" s="2947" t="s">
        <v>3021</v>
      </c>
      <c r="Q41" s="2947" t="s">
        <v>3022</v>
      </c>
    </row>
    <row r="42" spans="1:17" ht="14.25" customHeight="1">
      <c r="A42" s="2947" t="s">
        <v>296</v>
      </c>
      <c r="B42" s="2948" t="s">
        <v>215</v>
      </c>
      <c r="C42" s="2947">
        <v>24800</v>
      </c>
      <c r="D42" s="2947">
        <v>22280</v>
      </c>
      <c r="E42" s="2947">
        <v>24350</v>
      </c>
      <c r="F42" s="2947"/>
      <c r="G42" s="2960">
        <v>15590</v>
      </c>
      <c r="N42" s="2947" t="s">
        <v>3023</v>
      </c>
      <c r="O42" s="2947" t="s">
        <v>3024</v>
      </c>
      <c r="P42" s="2947" t="s">
        <v>3025</v>
      </c>
      <c r="Q42" s="2947" t="s">
        <v>3026</v>
      </c>
    </row>
    <row r="43" spans="1:17" ht="14.25" customHeight="1">
      <c r="A43" s="2947" t="s">
        <v>3027</v>
      </c>
      <c r="B43" s="2948" t="s">
        <v>223</v>
      </c>
      <c r="C43" s="2947">
        <v>21210</v>
      </c>
      <c r="D43" s="2947">
        <v>21160</v>
      </c>
      <c r="E43" s="2947">
        <v>22650</v>
      </c>
      <c r="F43" s="2947"/>
      <c r="G43" s="2960">
        <v>14800</v>
      </c>
      <c r="N43" s="2947" t="s">
        <v>3028</v>
      </c>
      <c r="O43" s="2947" t="s">
        <v>3029</v>
      </c>
      <c r="P43" s="2947" t="s">
        <v>3030</v>
      </c>
      <c r="Q43" s="2947" t="s">
        <v>3031</v>
      </c>
    </row>
    <row r="44" spans="1:17" ht="14.25" customHeight="1" thickBot="1">
      <c r="A44" s="2947" t="s">
        <v>296</v>
      </c>
      <c r="B44" s="2948" t="s">
        <v>231</v>
      </c>
      <c r="C44" s="2947">
        <v>22370</v>
      </c>
      <c r="D44" s="2947">
        <v>23140</v>
      </c>
      <c r="E44" s="2947">
        <v>25090</v>
      </c>
      <c r="F44" s="2947"/>
      <c r="G44" s="2960">
        <v>16190</v>
      </c>
      <c r="N44" s="2947" t="s">
        <v>3032</v>
      </c>
      <c r="O44" s="2947" t="s">
        <v>3033</v>
      </c>
      <c r="P44" s="2954" t="s">
        <v>3034</v>
      </c>
      <c r="Q44" s="2947" t="s">
        <v>3035</v>
      </c>
    </row>
    <row r="45" spans="1:17" ht="14.25" customHeight="1" thickBot="1">
      <c r="A45" s="2947" t="s">
        <v>296</v>
      </c>
      <c r="B45" s="2948" t="s">
        <v>236</v>
      </c>
      <c r="C45" s="2947">
        <v>21240</v>
      </c>
      <c r="D45" s="2947">
        <v>27050</v>
      </c>
      <c r="E45" s="2947">
        <v>28000</v>
      </c>
      <c r="F45" s="2947"/>
      <c r="G45" s="2960">
        <v>18940</v>
      </c>
      <c r="N45" s="2947" t="s">
        <v>3036</v>
      </c>
      <c r="O45" s="2954" t="s">
        <v>3037</v>
      </c>
      <c r="Q45" s="2947" t="s">
        <v>3038</v>
      </c>
    </row>
    <row r="46" spans="1:17" ht="14.25" customHeight="1">
      <c r="A46" s="2947" t="s">
        <v>296</v>
      </c>
      <c r="B46" s="2948" t="s">
        <v>245</v>
      </c>
      <c r="C46" s="2947">
        <v>23240</v>
      </c>
      <c r="D46" s="2947">
        <v>23000</v>
      </c>
      <c r="E46" s="2947">
        <v>24980</v>
      </c>
      <c r="F46" s="2947"/>
      <c r="G46" s="2960">
        <v>16100</v>
      </c>
      <c r="N46" s="2947" t="s">
        <v>3039</v>
      </c>
      <c r="Q46" s="2947" t="s">
        <v>3040</v>
      </c>
    </row>
    <row r="47" spans="1:17" ht="14.25" customHeight="1">
      <c r="A47" s="2947" t="s">
        <v>296</v>
      </c>
      <c r="B47" s="2948" t="s">
        <v>252</v>
      </c>
      <c r="C47" s="2947">
        <v>27150</v>
      </c>
      <c r="D47" s="2947">
        <v>23310</v>
      </c>
      <c r="E47" s="2947">
        <v>25150</v>
      </c>
      <c r="F47" s="2947"/>
      <c r="G47" s="2960">
        <v>16310</v>
      </c>
      <c r="N47" s="2947" t="s">
        <v>3041</v>
      </c>
      <c r="Q47" s="2947" t="s">
        <v>3042</v>
      </c>
    </row>
    <row r="48" spans="1:17" ht="14.25" customHeight="1">
      <c r="A48" s="2947" t="s">
        <v>296</v>
      </c>
      <c r="B48" s="2948" t="s">
        <v>260</v>
      </c>
      <c r="C48" s="2947">
        <v>23100</v>
      </c>
      <c r="D48" s="2947">
        <v>21110</v>
      </c>
      <c r="E48" s="2947">
        <v>23080</v>
      </c>
      <c r="F48" s="2947"/>
      <c r="G48" s="2960">
        <v>14780</v>
      </c>
      <c r="N48" s="2947" t="s">
        <v>3043</v>
      </c>
      <c r="Q48" s="2947" t="s">
        <v>3044</v>
      </c>
    </row>
    <row r="49" spans="1:17" ht="14.25" customHeight="1">
      <c r="A49" s="2947" t="s">
        <v>296</v>
      </c>
      <c r="B49" s="2948" t="s">
        <v>267</v>
      </c>
      <c r="C49" s="2947">
        <v>23400</v>
      </c>
      <c r="D49" s="2947">
        <v>22920</v>
      </c>
      <c r="E49" s="2947">
        <v>24900</v>
      </c>
      <c r="F49" s="2947"/>
      <c r="G49" s="2960">
        <v>16040</v>
      </c>
      <c r="N49" s="2947" t="s">
        <v>3045</v>
      </c>
      <c r="Q49" s="2947" t="s">
        <v>3046</v>
      </c>
    </row>
    <row r="50" spans="1:17" ht="14.25" customHeight="1">
      <c r="A50" s="2947" t="s">
        <v>296</v>
      </c>
      <c r="B50" s="2948" t="s">
        <v>2923</v>
      </c>
      <c r="C50" s="2947">
        <v>21200</v>
      </c>
      <c r="D50" s="2947">
        <v>26540</v>
      </c>
      <c r="E50" s="2947">
        <v>23200</v>
      </c>
      <c r="F50" s="2947"/>
      <c r="G50" s="2960">
        <v>18580</v>
      </c>
      <c r="N50" s="2947" t="s">
        <v>3047</v>
      </c>
      <c r="Q50" s="2948" t="s">
        <v>3048</v>
      </c>
    </row>
    <row r="51" spans="1:17" ht="14.25" customHeight="1" thickBot="1">
      <c r="A51" s="2947" t="s">
        <v>296</v>
      </c>
      <c r="B51" s="2948" t="s">
        <v>2925</v>
      </c>
      <c r="C51" s="2947">
        <v>23000</v>
      </c>
      <c r="D51" s="2947">
        <v>23460</v>
      </c>
      <c r="E51" s="2947">
        <v>25290</v>
      </c>
      <c r="F51" s="2947"/>
      <c r="G51" s="2960">
        <v>16420</v>
      </c>
      <c r="N51" s="2947" t="s">
        <v>3049</v>
      </c>
      <c r="Q51" s="2954" t="s">
        <v>3050</v>
      </c>
    </row>
    <row r="52" spans="1:17" ht="14.25" customHeight="1">
      <c r="A52" s="2947" t="s">
        <v>296</v>
      </c>
      <c r="B52" s="2948" t="s">
        <v>2929</v>
      </c>
      <c r="C52" s="2947">
        <v>26660</v>
      </c>
      <c r="D52" s="2947">
        <v>22350</v>
      </c>
      <c r="E52" s="2947">
        <v>22920</v>
      </c>
      <c r="F52" s="2947"/>
      <c r="G52" s="2960">
        <v>15640</v>
      </c>
      <c r="N52" s="2947" t="s">
        <v>3051</v>
      </c>
    </row>
    <row r="53" spans="1:17" ht="14.25" customHeight="1">
      <c r="A53" s="2947" t="s">
        <v>296</v>
      </c>
      <c r="B53" s="2948" t="s">
        <v>2934</v>
      </c>
      <c r="C53" s="2947">
        <v>23580</v>
      </c>
      <c r="D53" s="2947"/>
      <c r="E53" s="2947">
        <v>24280</v>
      </c>
      <c r="F53" s="2947"/>
      <c r="G53" s="2960"/>
      <c r="N53" s="2947" t="s">
        <v>3052</v>
      </c>
    </row>
    <row r="54" spans="1:17" ht="14.25" customHeight="1" thickBot="1">
      <c r="A54" s="2961" t="s">
        <v>296</v>
      </c>
      <c r="B54" s="2953" t="s">
        <v>2937</v>
      </c>
      <c r="C54" s="2954">
        <v>22460</v>
      </c>
      <c r="D54" s="2954"/>
      <c r="E54" s="2954"/>
      <c r="F54" s="2954"/>
      <c r="G54" s="2962"/>
      <c r="N54" s="2947" t="s">
        <v>3053</v>
      </c>
    </row>
    <row r="55" spans="1:17" ht="14.25" customHeight="1">
      <c r="A55" s="2952" t="s">
        <v>110</v>
      </c>
      <c r="B55" s="2943" t="s">
        <v>3054</v>
      </c>
      <c r="C55" s="2947">
        <v>21970</v>
      </c>
      <c r="D55" s="2947">
        <v>20370</v>
      </c>
      <c r="E55" s="2947">
        <v>20180</v>
      </c>
      <c r="F55" s="2947">
        <v>5730</v>
      </c>
      <c r="G55" s="2947">
        <v>13820</v>
      </c>
      <c r="N55" s="2947" t="s">
        <v>3055</v>
      </c>
    </row>
    <row r="56" spans="1:17" ht="14.25" customHeight="1">
      <c r="A56" s="2947" t="s">
        <v>110</v>
      </c>
      <c r="B56" s="2947" t="s">
        <v>130</v>
      </c>
      <c r="C56" s="2947">
        <v>20470</v>
      </c>
      <c r="D56" s="2947">
        <v>20700</v>
      </c>
      <c r="E56" s="2947">
        <v>20380</v>
      </c>
      <c r="F56" s="2947">
        <v>4760</v>
      </c>
      <c r="G56" s="2947">
        <v>14050</v>
      </c>
      <c r="N56" s="2947" t="s">
        <v>3056</v>
      </c>
    </row>
    <row r="57" spans="1:17" ht="14.25" customHeight="1">
      <c r="A57" s="2947" t="s">
        <v>110</v>
      </c>
      <c r="B57" s="2947" t="s">
        <v>139</v>
      </c>
      <c r="C57" s="2947">
        <v>20790</v>
      </c>
      <c r="D57" s="2947">
        <v>21370</v>
      </c>
      <c r="E57" s="2947">
        <v>20890</v>
      </c>
      <c r="F57" s="2947">
        <v>4910</v>
      </c>
      <c r="G57" s="2947">
        <v>14510</v>
      </c>
      <c r="N57" s="2947" t="s">
        <v>3057</v>
      </c>
    </row>
    <row r="58" spans="1:17" ht="14.25" customHeight="1">
      <c r="A58" s="2947" t="s">
        <v>110</v>
      </c>
      <c r="B58" s="2947" t="s">
        <v>148</v>
      </c>
      <c r="C58" s="2947">
        <v>21460</v>
      </c>
      <c r="D58" s="2947">
        <v>20920</v>
      </c>
      <c r="E58" s="2947">
        <v>23410</v>
      </c>
      <c r="F58" s="2947">
        <v>5100</v>
      </c>
      <c r="G58" s="2947">
        <v>14200</v>
      </c>
      <c r="N58" s="2947" t="s">
        <v>3058</v>
      </c>
    </row>
    <row r="59" spans="1:17" ht="14.25" customHeight="1">
      <c r="A59" s="2947" t="s">
        <v>110</v>
      </c>
      <c r="B59" s="2947" t="s">
        <v>157</v>
      </c>
      <c r="C59" s="2947">
        <v>21000</v>
      </c>
      <c r="D59" s="2947">
        <v>21550</v>
      </c>
      <c r="E59" s="2947">
        <v>21150</v>
      </c>
      <c r="F59" s="2947">
        <v>5250</v>
      </c>
      <c r="G59" s="2947">
        <v>14630</v>
      </c>
      <c r="N59" s="2947" t="s">
        <v>3059</v>
      </c>
    </row>
    <row r="60" spans="1:17" ht="14.25" customHeight="1">
      <c r="A60" s="2947" t="s">
        <v>110</v>
      </c>
      <c r="B60" s="2947" t="s">
        <v>164</v>
      </c>
      <c r="C60" s="2947">
        <v>21640</v>
      </c>
      <c r="D60" s="2947">
        <v>21260</v>
      </c>
      <c r="E60" s="2947">
        <v>24040</v>
      </c>
      <c r="F60" s="2947">
        <v>4470</v>
      </c>
      <c r="G60" s="2947">
        <v>14430</v>
      </c>
      <c r="N60" s="2947" t="s">
        <v>3060</v>
      </c>
    </row>
    <row r="61" spans="1:17" ht="14.25" customHeight="1">
      <c r="A61" s="2947" t="s">
        <v>110</v>
      </c>
      <c r="B61" s="2947" t="s">
        <v>170</v>
      </c>
      <c r="C61" s="2947">
        <v>21330</v>
      </c>
      <c r="D61" s="2947">
        <v>18640</v>
      </c>
      <c r="E61" s="2947">
        <v>21190</v>
      </c>
      <c r="F61" s="2947">
        <v>4180</v>
      </c>
      <c r="G61" s="2947">
        <v>12650</v>
      </c>
      <c r="N61" s="2947" t="s">
        <v>3061</v>
      </c>
    </row>
    <row r="62" spans="1:17" ht="14.25" customHeight="1">
      <c r="A62" s="2947" t="s">
        <v>110</v>
      </c>
      <c r="B62" s="2947" t="s">
        <v>177</v>
      </c>
      <c r="C62" s="2947">
        <v>18710</v>
      </c>
      <c r="D62" s="2947">
        <v>19400</v>
      </c>
      <c r="E62" s="2947">
        <v>23750</v>
      </c>
      <c r="F62" s="2947">
        <v>4860</v>
      </c>
      <c r="G62" s="2947">
        <v>13170</v>
      </c>
      <c r="N62" s="2947" t="s">
        <v>3062</v>
      </c>
    </row>
    <row r="63" spans="1:17" ht="14.25" customHeight="1">
      <c r="A63" s="2947" t="s">
        <v>110</v>
      </c>
      <c r="B63" s="2947" t="s">
        <v>187</v>
      </c>
      <c r="C63" s="2947">
        <v>19480</v>
      </c>
      <c r="D63" s="2947">
        <v>16830</v>
      </c>
      <c r="E63" s="2947">
        <v>21590</v>
      </c>
      <c r="F63" s="2947">
        <v>4560</v>
      </c>
      <c r="G63" s="2947">
        <v>11420</v>
      </c>
      <c r="N63" s="2947" t="s">
        <v>3063</v>
      </c>
    </row>
    <row r="64" spans="1:17" ht="14.25" customHeight="1" thickBot="1">
      <c r="A64" s="2947" t="s">
        <v>110</v>
      </c>
      <c r="B64" s="2947" t="s">
        <v>196</v>
      </c>
      <c r="C64" s="2947">
        <v>16920</v>
      </c>
      <c r="D64" s="2947">
        <v>19190</v>
      </c>
      <c r="E64" s="2947">
        <v>22200</v>
      </c>
      <c r="F64" s="2947">
        <v>4390</v>
      </c>
      <c r="G64" s="2947">
        <v>13030</v>
      </c>
      <c r="N64" s="2954" t="s">
        <v>3064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2935</v>
      </c>
      <c r="C78" s="2947">
        <v>19820</v>
      </c>
      <c r="D78" s="2947">
        <v>19780</v>
      </c>
      <c r="E78" s="2947">
        <v>18560</v>
      </c>
      <c r="F78" s="2947"/>
      <c r="G78" s="2947">
        <v>13430</v>
      </c>
    </row>
    <row r="79" spans="1:7" s="2781" customFormat="1" ht="14.25" customHeight="1">
      <c r="A79" s="2947" t="s">
        <v>110</v>
      </c>
      <c r="B79" s="2947" t="s">
        <v>2938</v>
      </c>
      <c r="C79" s="2947">
        <v>21660</v>
      </c>
      <c r="D79" s="2947">
        <v>18000</v>
      </c>
      <c r="E79" s="2947">
        <v>22570</v>
      </c>
      <c r="F79" s="2947"/>
      <c r="G79" s="2947">
        <v>12220</v>
      </c>
    </row>
    <row r="80" spans="1:7" s="2781" customFormat="1" ht="14.25" customHeight="1">
      <c r="A80" s="2947" t="s">
        <v>110</v>
      </c>
      <c r="B80" s="2947" t="s">
        <v>2942</v>
      </c>
      <c r="C80" s="2947">
        <v>19850</v>
      </c>
      <c r="D80" s="2947"/>
      <c r="E80" s="2947">
        <v>21700</v>
      </c>
      <c r="F80" s="2947"/>
      <c r="G80" s="2947"/>
    </row>
    <row r="81" spans="1:7" s="2781" customFormat="1" ht="14.25" customHeight="1">
      <c r="A81" s="2947" t="s">
        <v>110</v>
      </c>
      <c r="B81" s="2947" t="s">
        <v>2947</v>
      </c>
      <c r="C81" s="2947">
        <v>18080</v>
      </c>
      <c r="D81" s="2947"/>
      <c r="E81" s="2947">
        <v>20900</v>
      </c>
      <c r="F81" s="2947"/>
      <c r="G81" s="2947"/>
    </row>
    <row r="82" spans="1:7" s="2781" customFormat="1" ht="14.25" customHeight="1">
      <c r="A82" s="2947" t="s">
        <v>110</v>
      </c>
      <c r="B82" s="2947" t="s">
        <v>2954</v>
      </c>
      <c r="C82" s="2947"/>
      <c r="D82" s="2947"/>
      <c r="E82" s="2947">
        <v>20840</v>
      </c>
      <c r="F82" s="2947"/>
      <c r="G82" s="2947"/>
    </row>
    <row r="83" spans="1:7" s="2781" customFormat="1" ht="14.25" customHeight="1">
      <c r="A83" s="2947" t="s">
        <v>110</v>
      </c>
      <c r="B83" s="2947" t="s">
        <v>3065</v>
      </c>
      <c r="C83" s="2947"/>
      <c r="D83" s="2947"/>
      <c r="E83" s="2947"/>
      <c r="F83" s="2947">
        <v>4770</v>
      </c>
      <c r="G83" s="2947"/>
    </row>
    <row r="84" spans="1:7" s="2781" customFormat="1" ht="14.25" customHeight="1">
      <c r="A84" s="2947" t="s">
        <v>110</v>
      </c>
      <c r="B84" s="2947" t="s">
        <v>3066</v>
      </c>
      <c r="C84" s="2947"/>
      <c r="D84" s="2947"/>
      <c r="E84" s="2947"/>
      <c r="F84" s="2947">
        <v>4600</v>
      </c>
      <c r="G84" s="2947"/>
    </row>
    <row r="85" spans="1:7" s="2781" customFormat="1" ht="14.25" customHeight="1">
      <c r="A85" s="2947" t="s">
        <v>110</v>
      </c>
      <c r="B85" s="2947" t="s">
        <v>3067</v>
      </c>
      <c r="C85" s="2947"/>
      <c r="D85" s="2947"/>
      <c r="E85" s="2947"/>
      <c r="F85" s="2947">
        <v>4680</v>
      </c>
      <c r="G85" s="2947"/>
    </row>
    <row r="86" spans="1:7" s="2781" customFormat="1" ht="14.25" customHeight="1" thickBot="1">
      <c r="A86" s="2955" t="s">
        <v>110</v>
      </c>
      <c r="B86" s="2957" t="s">
        <v>3068</v>
      </c>
      <c r="C86" s="2958">
        <v>16610</v>
      </c>
      <c r="D86" s="2958">
        <v>16540</v>
      </c>
      <c r="E86" s="2958">
        <v>18850</v>
      </c>
      <c r="F86" s="2958"/>
      <c r="G86" s="2958">
        <v>11220</v>
      </c>
    </row>
    <row r="87" spans="1:7" s="2781" customFormat="1" ht="14.25" customHeight="1">
      <c r="A87" s="2952" t="s">
        <v>303</v>
      </c>
      <c r="B87" s="2943" t="s">
        <v>3069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2948</v>
      </c>
      <c r="C113" s="2947">
        <v>15520</v>
      </c>
      <c r="D113" s="2947">
        <v>15450</v>
      </c>
      <c r="E113" s="2947"/>
      <c r="F113" s="2947"/>
      <c r="G113" s="2960">
        <v>10210</v>
      </c>
    </row>
    <row r="114" spans="1:7" s="2781" customFormat="1" ht="14.25" customHeight="1">
      <c r="A114" s="2947" t="s">
        <v>303</v>
      </c>
      <c r="B114" s="2947" t="s">
        <v>2955</v>
      </c>
      <c r="C114" s="2947">
        <v>13110</v>
      </c>
      <c r="D114" s="2947">
        <v>13050</v>
      </c>
      <c r="E114" s="2947"/>
      <c r="F114" s="2947"/>
      <c r="G114" s="2960">
        <v>8620</v>
      </c>
    </row>
    <row r="115" spans="1:7" s="2781" customFormat="1" ht="14.25" customHeight="1">
      <c r="A115" s="2947" t="s">
        <v>303</v>
      </c>
      <c r="B115" s="2947" t="s">
        <v>2961</v>
      </c>
      <c r="C115" s="2947">
        <v>12460</v>
      </c>
      <c r="D115" s="2947">
        <v>12390</v>
      </c>
      <c r="E115" s="2947"/>
      <c r="F115" s="2947"/>
      <c r="G115" s="2960">
        <v>8190</v>
      </c>
    </row>
    <row r="116" spans="1:7" s="2781" customFormat="1" ht="14.25" customHeight="1">
      <c r="A116" s="2947" t="s">
        <v>303</v>
      </c>
      <c r="B116" s="2947" t="s">
        <v>2968</v>
      </c>
      <c r="C116" s="2947">
        <v>13580</v>
      </c>
      <c r="D116" s="2947">
        <v>13520</v>
      </c>
      <c r="E116" s="2947"/>
      <c r="F116" s="2947"/>
      <c r="G116" s="2960">
        <v>8930</v>
      </c>
    </row>
    <row r="117" spans="1:7" s="2781" customFormat="1" ht="14.25" customHeight="1">
      <c r="A117" s="2947" t="s">
        <v>303</v>
      </c>
      <c r="B117" s="2947" t="s">
        <v>2975</v>
      </c>
      <c r="C117" s="2947">
        <v>17120</v>
      </c>
      <c r="D117" s="2947">
        <v>17040</v>
      </c>
      <c r="E117" s="2947"/>
      <c r="F117" s="2947"/>
      <c r="G117" s="2960">
        <v>11260</v>
      </c>
    </row>
    <row r="118" spans="1:7" s="2781" customFormat="1" ht="14.25" customHeight="1">
      <c r="A118" s="2947" t="s">
        <v>303</v>
      </c>
      <c r="B118" s="2947" t="s">
        <v>2980</v>
      </c>
      <c r="C118" s="2947">
        <v>14860</v>
      </c>
      <c r="D118" s="2947">
        <v>14790</v>
      </c>
      <c r="E118" s="2947"/>
      <c r="F118" s="2947"/>
      <c r="G118" s="2960">
        <v>9780</v>
      </c>
    </row>
    <row r="119" spans="1:7" s="2781" customFormat="1" ht="14.25" customHeight="1">
      <c r="A119" s="2947" t="s">
        <v>303</v>
      </c>
      <c r="B119" s="2947" t="s">
        <v>2984</v>
      </c>
      <c r="C119" s="2947">
        <v>16470</v>
      </c>
      <c r="D119" s="2947">
        <v>16400</v>
      </c>
      <c r="E119" s="2947"/>
      <c r="F119" s="2947"/>
      <c r="G119" s="2960">
        <v>10840</v>
      </c>
    </row>
    <row r="120" spans="1:7" s="2781" customFormat="1" ht="14.25" customHeight="1">
      <c r="A120" s="2947" t="s">
        <v>303</v>
      </c>
      <c r="B120" s="2947" t="s">
        <v>3070</v>
      </c>
      <c r="C120" s="2947"/>
      <c r="D120" s="2947"/>
      <c r="E120" s="2947"/>
      <c r="F120" s="2947">
        <v>4160</v>
      </c>
      <c r="G120" s="2960"/>
    </row>
    <row r="121" spans="1:7" s="2781" customFormat="1" ht="14.25" customHeight="1">
      <c r="A121" s="2947" t="s">
        <v>303</v>
      </c>
      <c r="B121" s="2947" t="s">
        <v>3071</v>
      </c>
      <c r="C121" s="2947"/>
      <c r="D121" s="2947"/>
      <c r="E121" s="2947"/>
      <c r="F121" s="2947">
        <v>3880</v>
      </c>
      <c r="G121" s="2960"/>
    </row>
    <row r="122" spans="1:7" s="2781" customFormat="1" ht="14.25" customHeight="1">
      <c r="A122" s="2947" t="s">
        <v>303</v>
      </c>
      <c r="B122" s="2947" t="s">
        <v>3072</v>
      </c>
      <c r="C122" s="2947">
        <v>13750</v>
      </c>
      <c r="D122" s="2947">
        <v>13680</v>
      </c>
      <c r="E122" s="2947">
        <v>16460</v>
      </c>
      <c r="F122" s="2947">
        <v>2880</v>
      </c>
      <c r="G122" s="2960">
        <v>9040</v>
      </c>
    </row>
    <row r="123" spans="1:7" s="2781" customFormat="1" ht="14.25" customHeight="1">
      <c r="A123" s="2947" t="s">
        <v>303</v>
      </c>
      <c r="B123" s="2947" t="s">
        <v>3003</v>
      </c>
      <c r="C123" s="2947">
        <v>13590</v>
      </c>
      <c r="D123" s="2947">
        <v>13520</v>
      </c>
      <c r="E123" s="2947">
        <v>16290</v>
      </c>
      <c r="F123" s="2947">
        <v>2790</v>
      </c>
      <c r="G123" s="2960">
        <v>8930</v>
      </c>
    </row>
    <row r="124" spans="1:7" s="2781" customFormat="1" ht="14.25" customHeight="1">
      <c r="A124" s="2947" t="s">
        <v>303</v>
      </c>
      <c r="B124" s="2947" t="s">
        <v>3008</v>
      </c>
      <c r="C124" s="2947">
        <v>13400</v>
      </c>
      <c r="D124" s="2947">
        <v>13320</v>
      </c>
      <c r="E124" s="2947">
        <v>16100</v>
      </c>
      <c r="F124" s="2947">
        <v>2320</v>
      </c>
      <c r="G124" s="2960">
        <v>8800</v>
      </c>
    </row>
    <row r="125" spans="1:7" s="2781" customFormat="1" ht="14.25" customHeight="1">
      <c r="A125" s="2947" t="s">
        <v>303</v>
      </c>
      <c r="B125" s="2947" t="s">
        <v>3013</v>
      </c>
      <c r="C125" s="2947">
        <v>12860</v>
      </c>
      <c r="D125" s="2947">
        <v>12790</v>
      </c>
      <c r="E125" s="2947">
        <v>15370</v>
      </c>
      <c r="F125" s="2947">
        <v>2280</v>
      </c>
      <c r="G125" s="2960">
        <v>8450</v>
      </c>
    </row>
    <row r="126" spans="1:7" s="2781" customFormat="1" ht="14.25" customHeight="1" thickBot="1">
      <c r="A126" s="2961" t="s">
        <v>303</v>
      </c>
      <c r="B126" s="2954" t="s">
        <v>3018</v>
      </c>
      <c r="C126" s="2954">
        <v>12960</v>
      </c>
      <c r="D126" s="2954">
        <v>12890</v>
      </c>
      <c r="E126" s="2954">
        <v>15530</v>
      </c>
      <c r="F126" s="2954">
        <v>2910</v>
      </c>
      <c r="G126" s="2962">
        <v>8520</v>
      </c>
    </row>
    <row r="127" spans="1:7" s="2781" customFormat="1" ht="14.25" customHeight="1">
      <c r="A127" s="2952" t="s">
        <v>29</v>
      </c>
      <c r="B127" s="2943" t="s">
        <v>3073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3074</v>
      </c>
      <c r="C148" s="2947">
        <v>10370</v>
      </c>
      <c r="D148" s="2947">
        <v>10310</v>
      </c>
      <c r="E148" s="2947">
        <v>12970</v>
      </c>
      <c r="F148" s="2947"/>
      <c r="G148" s="2947">
        <v>6630</v>
      </c>
    </row>
    <row r="149" spans="1:7" s="2781" customFormat="1" ht="14.25" customHeight="1">
      <c r="A149" s="2947" t="s">
        <v>29</v>
      </c>
      <c r="B149" s="2947" t="s">
        <v>3075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2949</v>
      </c>
      <c r="C153" s="2947">
        <v>10880</v>
      </c>
      <c r="D153" s="2947">
        <v>10820</v>
      </c>
      <c r="E153" s="2947">
        <v>13660</v>
      </c>
      <c r="F153" s="2947">
        <v>2260</v>
      </c>
      <c r="G153" s="2947">
        <v>6970</v>
      </c>
    </row>
    <row r="154" spans="1:7" s="2781" customFormat="1" ht="14.25" customHeight="1">
      <c r="A154" s="2947" t="s">
        <v>29</v>
      </c>
      <c r="B154" s="2947" t="s">
        <v>3076</v>
      </c>
      <c r="C154" s="2947">
        <v>11220</v>
      </c>
      <c r="D154" s="2947">
        <v>11160</v>
      </c>
      <c r="E154" s="2947">
        <v>14130</v>
      </c>
      <c r="F154" s="2947">
        <v>2230</v>
      </c>
      <c r="G154" s="2947">
        <v>7180</v>
      </c>
    </row>
    <row r="155" spans="1:7" s="2781" customFormat="1" ht="14.25" customHeight="1">
      <c r="A155" s="2947" t="s">
        <v>29</v>
      </c>
      <c r="B155" s="2947" t="s">
        <v>2962</v>
      </c>
      <c r="C155" s="2947">
        <v>10430</v>
      </c>
      <c r="D155" s="2947">
        <v>10380</v>
      </c>
      <c r="E155" s="2947">
        <v>13140</v>
      </c>
      <c r="F155" s="2947">
        <v>2080</v>
      </c>
      <c r="G155" s="2947">
        <v>6650</v>
      </c>
    </row>
    <row r="156" spans="1:7" s="2781" customFormat="1" ht="14.25" customHeight="1">
      <c r="A156" s="2947" t="s">
        <v>29</v>
      </c>
      <c r="B156" s="2947" t="s">
        <v>3077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3078</v>
      </c>
      <c r="C160" s="2947">
        <v>11180</v>
      </c>
      <c r="D160" s="2947">
        <v>11140</v>
      </c>
      <c r="E160" s="2947">
        <v>14050</v>
      </c>
      <c r="F160" s="2947">
        <v>2270</v>
      </c>
      <c r="G160" s="2947">
        <v>7170</v>
      </c>
    </row>
    <row r="161" spans="1:7" s="2781" customFormat="1" ht="14.25" customHeight="1">
      <c r="A161" s="2947" t="s">
        <v>29</v>
      </c>
      <c r="B161" s="2947" t="s">
        <v>2994</v>
      </c>
      <c r="C161" s="2947">
        <v>11160</v>
      </c>
      <c r="D161" s="2947">
        <v>11120</v>
      </c>
      <c r="E161" s="2947">
        <v>14020</v>
      </c>
      <c r="F161" s="2947">
        <v>2150</v>
      </c>
      <c r="G161" s="2947">
        <v>7160</v>
      </c>
    </row>
    <row r="162" spans="1:7" s="2781" customFormat="1" ht="14.25" customHeight="1">
      <c r="A162" s="2947" t="s">
        <v>29</v>
      </c>
      <c r="B162" s="2947" t="s">
        <v>2999</v>
      </c>
      <c r="C162" s="2947">
        <v>9620</v>
      </c>
      <c r="D162" s="2947">
        <v>9570</v>
      </c>
      <c r="E162" s="2947">
        <v>12320</v>
      </c>
      <c r="F162" s="2947">
        <v>2010</v>
      </c>
      <c r="G162" s="2947">
        <v>6160</v>
      </c>
    </row>
    <row r="163" spans="1:7" s="2781" customFormat="1" ht="14.25" customHeight="1">
      <c r="A163" s="2947" t="s">
        <v>29</v>
      </c>
      <c r="B163" s="2947" t="s">
        <v>3004</v>
      </c>
      <c r="C163" s="2947">
        <v>9320</v>
      </c>
      <c r="D163" s="2947">
        <v>9270</v>
      </c>
      <c r="E163" s="2947">
        <v>11790</v>
      </c>
      <c r="F163" s="2947">
        <v>1920</v>
      </c>
      <c r="G163" s="2947">
        <v>5960</v>
      </c>
    </row>
    <row r="164" spans="1:7" s="2781" customFormat="1" ht="14.25" customHeight="1">
      <c r="A164" s="2947" t="s">
        <v>29</v>
      </c>
      <c r="B164" s="2947" t="s">
        <v>3009</v>
      </c>
      <c r="C164" s="2947"/>
      <c r="D164" s="2947"/>
      <c r="E164" s="2947"/>
      <c r="F164" s="2947">
        <v>1980</v>
      </c>
      <c r="G164" s="2947"/>
    </row>
    <row r="165" spans="1:7" s="2781" customFormat="1" ht="14.25" customHeight="1">
      <c r="A165" s="2947" t="s">
        <v>29</v>
      </c>
      <c r="B165" s="2947" t="s">
        <v>3079</v>
      </c>
      <c r="C165" s="2947">
        <v>11060</v>
      </c>
      <c r="D165" s="2947">
        <v>11030</v>
      </c>
      <c r="E165" s="2947">
        <v>13850</v>
      </c>
      <c r="F165" s="2947">
        <v>2170</v>
      </c>
      <c r="G165" s="2947">
        <v>7090</v>
      </c>
    </row>
    <row r="166" spans="1:7" s="2781" customFormat="1" ht="14.25" customHeight="1">
      <c r="A166" s="2947" t="s">
        <v>29</v>
      </c>
      <c r="B166" s="2947" t="s">
        <v>3019</v>
      </c>
      <c r="C166" s="2947">
        <v>11050</v>
      </c>
      <c r="D166" s="2947">
        <v>11010</v>
      </c>
      <c r="E166" s="2947">
        <v>13920</v>
      </c>
      <c r="F166" s="2947">
        <v>2140</v>
      </c>
      <c r="G166" s="2947">
        <v>7080</v>
      </c>
    </row>
    <row r="167" spans="1:7" s="2781" customFormat="1" ht="14.25" customHeight="1">
      <c r="A167" s="2947" t="s">
        <v>29</v>
      </c>
      <c r="B167" s="2947" t="s">
        <v>3023</v>
      </c>
      <c r="C167" s="2947">
        <v>10930</v>
      </c>
      <c r="D167" s="2947">
        <v>10890</v>
      </c>
      <c r="E167" s="2947">
        <v>13790</v>
      </c>
      <c r="F167" s="2947">
        <v>2010</v>
      </c>
      <c r="G167" s="2947">
        <v>7000</v>
      </c>
    </row>
    <row r="168" spans="1:7" s="2781" customFormat="1" ht="14.25" customHeight="1">
      <c r="A168" s="2947" t="s">
        <v>29</v>
      </c>
      <c r="B168" s="2947" t="s">
        <v>3028</v>
      </c>
      <c r="C168" s="2947">
        <v>9420</v>
      </c>
      <c r="D168" s="2947">
        <v>9380</v>
      </c>
      <c r="E168" s="2947">
        <v>11970</v>
      </c>
      <c r="F168" s="2947"/>
      <c r="G168" s="2947">
        <v>6040</v>
      </c>
    </row>
    <row r="169" spans="1:7" s="2781" customFormat="1" ht="14.25" customHeight="1">
      <c r="A169" s="2947" t="s">
        <v>29</v>
      </c>
      <c r="B169" s="2947" t="s">
        <v>3080</v>
      </c>
      <c r="C169" s="2947"/>
      <c r="D169" s="2947"/>
      <c r="E169" s="2947"/>
      <c r="F169" s="2947">
        <v>2880</v>
      </c>
      <c r="G169" s="2947"/>
    </row>
    <row r="170" spans="1:7" s="2781" customFormat="1" ht="14.25" customHeight="1">
      <c r="A170" s="2947" t="s">
        <v>29</v>
      </c>
      <c r="B170" s="2947" t="s">
        <v>3036</v>
      </c>
      <c r="C170" s="2947"/>
      <c r="D170" s="2947"/>
      <c r="E170" s="2947"/>
      <c r="F170" s="2947">
        <v>2880</v>
      </c>
      <c r="G170" s="2947"/>
    </row>
    <row r="171" spans="1:7" s="2781" customFormat="1" ht="14.25" customHeight="1">
      <c r="A171" s="2947" t="s">
        <v>29</v>
      </c>
      <c r="B171" s="2947" t="s">
        <v>3039</v>
      </c>
      <c r="C171" s="2947"/>
      <c r="D171" s="2947"/>
      <c r="E171" s="2947"/>
      <c r="F171" s="2947">
        <v>2880</v>
      </c>
      <c r="G171" s="2947"/>
    </row>
    <row r="172" spans="1:7" s="2781" customFormat="1" ht="14.25" customHeight="1">
      <c r="A172" s="2947" t="s">
        <v>29</v>
      </c>
      <c r="B172" s="2947" t="s">
        <v>3041</v>
      </c>
      <c r="C172" s="2947"/>
      <c r="D172" s="2947"/>
      <c r="E172" s="2947"/>
      <c r="F172" s="2947">
        <v>2880</v>
      </c>
      <c r="G172" s="2947"/>
    </row>
    <row r="173" spans="1:7" s="2781" customFormat="1" ht="14.25" customHeight="1">
      <c r="A173" s="2947" t="s">
        <v>29</v>
      </c>
      <c r="B173" s="2947" t="s">
        <v>3043</v>
      </c>
      <c r="C173" s="2947"/>
      <c r="D173" s="2947"/>
      <c r="E173" s="2947"/>
      <c r="F173" s="2947">
        <v>2150</v>
      </c>
      <c r="G173" s="2947"/>
    </row>
    <row r="174" spans="1:7" s="2781" customFormat="1" ht="14.25" customHeight="1">
      <c r="A174" s="2947" t="s">
        <v>29</v>
      </c>
      <c r="B174" s="2947" t="s">
        <v>3045</v>
      </c>
      <c r="C174" s="2947"/>
      <c r="D174" s="2947"/>
      <c r="E174" s="2947"/>
      <c r="F174" s="2947">
        <v>2030</v>
      </c>
      <c r="G174" s="2947"/>
    </row>
    <row r="175" spans="1:7" s="2781" customFormat="1" ht="14.25" customHeight="1">
      <c r="A175" s="2947" t="s">
        <v>29</v>
      </c>
      <c r="B175" s="2947" t="s">
        <v>3047</v>
      </c>
      <c r="C175" s="2947"/>
      <c r="D175" s="2947"/>
      <c r="E175" s="2947"/>
      <c r="F175" s="2947">
        <v>2780</v>
      </c>
      <c r="G175" s="2947"/>
    </row>
    <row r="176" spans="1:7" s="2781" customFormat="1" ht="14.25" customHeight="1">
      <c r="A176" s="2947" t="s">
        <v>29</v>
      </c>
      <c r="B176" s="2947" t="s">
        <v>3049</v>
      </c>
      <c r="C176" s="2947"/>
      <c r="D176" s="2947"/>
      <c r="E176" s="2947"/>
      <c r="F176" s="2947">
        <v>2780</v>
      </c>
      <c r="G176" s="2947"/>
    </row>
    <row r="177" spans="1:7" s="2781" customFormat="1" ht="14.25" customHeight="1">
      <c r="A177" s="2947" t="s">
        <v>29</v>
      </c>
      <c r="B177" s="2947" t="s">
        <v>3081</v>
      </c>
      <c r="C177" s="2947"/>
      <c r="D177" s="2947"/>
      <c r="E177" s="2947"/>
      <c r="F177" s="2947">
        <v>2780</v>
      </c>
      <c r="G177" s="2947"/>
    </row>
    <row r="178" spans="1:7" s="2781" customFormat="1" ht="14.25" customHeight="1">
      <c r="A178" s="2947" t="s">
        <v>29</v>
      </c>
      <c r="B178" s="2947" t="s">
        <v>3082</v>
      </c>
      <c r="C178" s="2947"/>
      <c r="D178" s="2947"/>
      <c r="E178" s="2947"/>
      <c r="F178" s="2947">
        <v>2060</v>
      </c>
      <c r="G178" s="2947"/>
    </row>
    <row r="179" spans="1:7" s="2781" customFormat="1" ht="14.25" customHeight="1">
      <c r="A179" s="2947" t="s">
        <v>29</v>
      </c>
      <c r="B179" s="2947" t="s">
        <v>3083</v>
      </c>
      <c r="C179" s="2947"/>
      <c r="D179" s="2947"/>
      <c r="E179" s="2947"/>
      <c r="F179" s="2947">
        <v>2120</v>
      </c>
      <c r="G179" s="2947"/>
    </row>
    <row r="180" spans="1:7" s="2781" customFormat="1" ht="14.25" customHeight="1">
      <c r="A180" s="2947" t="s">
        <v>29</v>
      </c>
      <c r="B180" s="2947" t="s">
        <v>3055</v>
      </c>
      <c r="C180" s="2947"/>
      <c r="D180" s="2947"/>
      <c r="E180" s="2947"/>
      <c r="F180" s="2947">
        <v>2340</v>
      </c>
      <c r="G180" s="2947"/>
    </row>
    <row r="181" spans="1:7" s="2781" customFormat="1" ht="14.25" customHeight="1">
      <c r="A181" s="2947" t="s">
        <v>29</v>
      </c>
      <c r="B181" s="2947" t="s">
        <v>3056</v>
      </c>
      <c r="C181" s="2947"/>
      <c r="D181" s="2947"/>
      <c r="E181" s="2947"/>
      <c r="F181" s="2947">
        <v>2340</v>
      </c>
      <c r="G181" s="2947"/>
    </row>
    <row r="182" spans="1:7" s="2781" customFormat="1" ht="14.25" customHeight="1">
      <c r="A182" s="2947" t="s">
        <v>29</v>
      </c>
      <c r="B182" s="2947" t="s">
        <v>3057</v>
      </c>
      <c r="C182" s="2947"/>
      <c r="D182" s="2947"/>
      <c r="E182" s="2947"/>
      <c r="F182" s="2947">
        <v>2340</v>
      </c>
      <c r="G182" s="2947"/>
    </row>
    <row r="183" spans="1:7" s="2781" customFormat="1" ht="14.25" customHeight="1">
      <c r="A183" s="2947" t="s">
        <v>29</v>
      </c>
      <c r="B183" s="2947" t="s">
        <v>3058</v>
      </c>
      <c r="C183" s="2947"/>
      <c r="D183" s="2947"/>
      <c r="E183" s="2947"/>
      <c r="F183" s="2947">
        <v>2340</v>
      </c>
      <c r="G183" s="2947"/>
    </row>
    <row r="184" spans="1:7" s="2781" customFormat="1" ht="14.25" customHeight="1">
      <c r="A184" s="2947" t="s">
        <v>29</v>
      </c>
      <c r="B184" s="2947" t="s">
        <v>3059</v>
      </c>
      <c r="C184" s="2947"/>
      <c r="D184" s="2947"/>
      <c r="E184" s="2947"/>
      <c r="F184" s="2947">
        <v>2340</v>
      </c>
      <c r="G184" s="2947"/>
    </row>
    <row r="185" spans="1:7" s="2781" customFormat="1" ht="14.25" customHeight="1">
      <c r="A185" s="2947" t="s">
        <v>29</v>
      </c>
      <c r="B185" s="2947" t="s">
        <v>3060</v>
      </c>
      <c r="C185" s="2947"/>
      <c r="D185" s="2947"/>
      <c r="E185" s="2947"/>
      <c r="F185" s="2947">
        <v>2530</v>
      </c>
      <c r="G185" s="2947"/>
    </row>
    <row r="186" spans="1:7" s="2781" customFormat="1" ht="14.25" customHeight="1">
      <c r="A186" s="2947" t="s">
        <v>29</v>
      </c>
      <c r="B186" s="2947" t="s">
        <v>3061</v>
      </c>
      <c r="C186" s="2947"/>
      <c r="D186" s="2947"/>
      <c r="E186" s="2947"/>
      <c r="F186" s="2947">
        <v>2550</v>
      </c>
      <c r="G186" s="2947"/>
    </row>
    <row r="187" spans="1:7" s="2781" customFormat="1" ht="14.25" customHeight="1">
      <c r="A187" s="2947" t="s">
        <v>29</v>
      </c>
      <c r="B187" s="2947" t="s">
        <v>3062</v>
      </c>
      <c r="C187" s="2947"/>
      <c r="D187" s="2947"/>
      <c r="E187" s="2947"/>
      <c r="F187" s="2947">
        <v>2070</v>
      </c>
      <c r="G187" s="2947"/>
    </row>
    <row r="188" spans="1:7" s="2781" customFormat="1" ht="14.25" customHeight="1">
      <c r="A188" s="2947" t="s">
        <v>29</v>
      </c>
      <c r="B188" s="2947" t="s">
        <v>3063</v>
      </c>
      <c r="C188" s="2947"/>
      <c r="D188" s="2947"/>
      <c r="E188" s="2947"/>
      <c r="F188" s="2947">
        <v>2340</v>
      </c>
      <c r="G188" s="2947"/>
    </row>
    <row r="189" spans="1:7" s="2781" customFormat="1" ht="14.25" customHeight="1" thickBot="1">
      <c r="A189" s="2955" t="s">
        <v>29</v>
      </c>
      <c r="B189" s="2958" t="s">
        <v>3064</v>
      </c>
      <c r="C189" s="2958"/>
      <c r="D189" s="2958"/>
      <c r="E189" s="2958"/>
      <c r="F189" s="2958">
        <v>2050</v>
      </c>
      <c r="G189" s="2958"/>
    </row>
    <row r="190" spans="1:7" s="2781" customFormat="1" ht="14.25" customHeight="1">
      <c r="A190" s="2952" t="s">
        <v>304</v>
      </c>
      <c r="B190" s="2943" t="s">
        <v>3084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3085</v>
      </c>
      <c r="C199" s="2947">
        <v>8690</v>
      </c>
      <c r="D199" s="2947">
        <v>8630</v>
      </c>
      <c r="E199" s="2947">
        <v>11350</v>
      </c>
      <c r="F199" s="2947">
        <v>1600</v>
      </c>
      <c r="G199" s="2960">
        <v>5450</v>
      </c>
    </row>
    <row r="200" spans="1:7" s="2781" customFormat="1" ht="14.25" customHeight="1">
      <c r="A200" s="2947" t="s">
        <v>304</v>
      </c>
      <c r="B200" s="2947" t="s">
        <v>2896</v>
      </c>
      <c r="C200" s="2947"/>
      <c r="D200" s="2947"/>
      <c r="E200" s="2947"/>
      <c r="F200" s="2947">
        <v>1510</v>
      </c>
      <c r="G200" s="2960"/>
    </row>
    <row r="201" spans="1:7" s="2781" customFormat="1" ht="14.25" customHeight="1">
      <c r="A201" s="2947" t="s">
        <v>304</v>
      </c>
      <c r="B201" s="2947" t="s">
        <v>3086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3087</v>
      </c>
      <c r="C203" s="2947">
        <v>8130</v>
      </c>
      <c r="D203" s="2947">
        <v>8070</v>
      </c>
      <c r="E203" s="2947">
        <v>10820</v>
      </c>
      <c r="F203" s="2947">
        <v>1690</v>
      </c>
      <c r="G203" s="2960">
        <v>5100</v>
      </c>
    </row>
    <row r="204" spans="1:7" s="2781" customFormat="1" ht="14.25" customHeight="1">
      <c r="A204" s="2947" t="s">
        <v>304</v>
      </c>
      <c r="B204" s="2947" t="s">
        <v>2907</v>
      </c>
      <c r="C204" s="2947">
        <v>8350</v>
      </c>
      <c r="D204" s="2947">
        <v>8290</v>
      </c>
      <c r="E204" s="2947">
        <v>11080</v>
      </c>
      <c r="F204" s="2947">
        <v>1450</v>
      </c>
      <c r="G204" s="2960">
        <v>5240</v>
      </c>
    </row>
    <row r="205" spans="1:7" s="2781" customFormat="1" ht="14.25" customHeight="1">
      <c r="A205" s="2947" t="s">
        <v>304</v>
      </c>
      <c r="B205" s="2947" t="s">
        <v>2909</v>
      </c>
      <c r="C205" s="2947">
        <v>7190</v>
      </c>
      <c r="D205" s="2947">
        <v>7130</v>
      </c>
      <c r="E205" s="2947">
        <v>9490</v>
      </c>
      <c r="F205" s="2947">
        <v>1470</v>
      </c>
      <c r="G205" s="2960">
        <v>4510</v>
      </c>
    </row>
    <row r="206" spans="1:7" s="2781" customFormat="1" ht="14.25" customHeight="1">
      <c r="A206" s="2947" t="s">
        <v>304</v>
      </c>
      <c r="B206" s="2947" t="s">
        <v>2912</v>
      </c>
      <c r="C206" s="2947">
        <v>7000</v>
      </c>
      <c r="D206" s="2947">
        <v>6950</v>
      </c>
      <c r="E206" s="2947">
        <v>9170</v>
      </c>
      <c r="F206" s="2947">
        <v>1400</v>
      </c>
      <c r="G206" s="2960">
        <v>4380</v>
      </c>
    </row>
    <row r="207" spans="1:7" s="2781" customFormat="1" ht="14.25" customHeight="1">
      <c r="A207" s="2947" t="s">
        <v>304</v>
      </c>
      <c r="B207" s="2947" t="s">
        <v>2914</v>
      </c>
      <c r="C207" s="2947">
        <v>6950</v>
      </c>
      <c r="D207" s="2947">
        <v>6900</v>
      </c>
      <c r="E207" s="2947">
        <v>9110</v>
      </c>
      <c r="F207" s="2947">
        <v>1790</v>
      </c>
      <c r="G207" s="2960">
        <v>4360</v>
      </c>
    </row>
    <row r="208" spans="1:7" s="2781" customFormat="1" ht="14.25" customHeight="1">
      <c r="A208" s="2947" t="s">
        <v>304</v>
      </c>
      <c r="B208" s="2947" t="s">
        <v>3088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2924</v>
      </c>
      <c r="C210" s="2947">
        <v>8710</v>
      </c>
      <c r="D210" s="2947">
        <v>8660</v>
      </c>
      <c r="E210" s="2947">
        <v>11440</v>
      </c>
      <c r="F210" s="2947">
        <v>1740</v>
      </c>
      <c r="G210" s="2960">
        <v>5470</v>
      </c>
    </row>
    <row r="211" spans="1:7" s="2781" customFormat="1" ht="14.25" customHeight="1">
      <c r="A211" s="2947" t="s">
        <v>304</v>
      </c>
      <c r="B211" s="2947" t="s">
        <v>3089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3090</v>
      </c>
      <c r="C214" s="2947">
        <v>8090</v>
      </c>
      <c r="D214" s="2947">
        <v>8030</v>
      </c>
      <c r="E214" s="2947">
        <v>10780</v>
      </c>
      <c r="F214" s="2947">
        <v>1570</v>
      </c>
      <c r="G214" s="2960">
        <v>5070</v>
      </c>
    </row>
    <row r="215" spans="1:7" s="2781" customFormat="1" ht="14.25" customHeight="1">
      <c r="A215" s="2947" t="s">
        <v>304</v>
      </c>
      <c r="B215" s="2947" t="s">
        <v>3091</v>
      </c>
      <c r="C215" s="2947">
        <v>7950</v>
      </c>
      <c r="D215" s="2947">
        <v>7900</v>
      </c>
      <c r="E215" s="2947">
        <v>10560</v>
      </c>
      <c r="F215" s="2947">
        <v>1630</v>
      </c>
      <c r="G215" s="2960">
        <v>4990</v>
      </c>
    </row>
    <row r="216" spans="1:7" s="2781" customFormat="1" ht="14.25" customHeight="1">
      <c r="A216" s="2947" t="s">
        <v>304</v>
      </c>
      <c r="B216" s="2947" t="s">
        <v>3092</v>
      </c>
      <c r="C216" s="2947">
        <v>8490</v>
      </c>
      <c r="D216" s="2947">
        <v>8440</v>
      </c>
      <c r="E216" s="2947">
        <v>11260</v>
      </c>
      <c r="F216" s="2947">
        <v>1690</v>
      </c>
      <c r="G216" s="2960">
        <v>5330</v>
      </c>
    </row>
    <row r="217" spans="1:7" s="2781" customFormat="1" ht="14.25" customHeight="1">
      <c r="A217" s="2947" t="s">
        <v>304</v>
      </c>
      <c r="B217" s="2947" t="s">
        <v>2957</v>
      </c>
      <c r="C217" s="2947">
        <v>8200</v>
      </c>
      <c r="D217" s="2947">
        <v>8150</v>
      </c>
      <c r="E217" s="2947">
        <v>10910</v>
      </c>
      <c r="F217" s="2947">
        <v>1670</v>
      </c>
      <c r="G217" s="2960">
        <v>5150</v>
      </c>
    </row>
    <row r="218" spans="1:7" s="2781" customFormat="1" ht="14.25" customHeight="1">
      <c r="A218" s="2947" t="s">
        <v>304</v>
      </c>
      <c r="B218" s="2947" t="s">
        <v>3093</v>
      </c>
      <c r="C218" s="2947"/>
      <c r="D218" s="2947"/>
      <c r="E218" s="2947"/>
      <c r="F218" s="2947">
        <v>2040</v>
      </c>
      <c r="G218" s="2960"/>
    </row>
    <row r="219" spans="1:7" s="2781" customFormat="1" ht="14.25" customHeight="1">
      <c r="A219" s="2947" t="s">
        <v>304</v>
      </c>
      <c r="B219" s="2947" t="s">
        <v>3094</v>
      </c>
      <c r="C219" s="2947"/>
      <c r="D219" s="2947"/>
      <c r="E219" s="2947"/>
      <c r="F219" s="2947">
        <v>2040</v>
      </c>
      <c r="G219" s="2960"/>
    </row>
    <row r="220" spans="1:7" s="2781" customFormat="1" ht="14.25" customHeight="1">
      <c r="A220" s="2947" t="s">
        <v>304</v>
      </c>
      <c r="B220" s="2947" t="s">
        <v>3095</v>
      </c>
      <c r="C220" s="2947"/>
      <c r="D220" s="2947"/>
      <c r="E220" s="2947"/>
      <c r="F220" s="2947">
        <v>2040</v>
      </c>
      <c r="G220" s="2960"/>
    </row>
    <row r="221" spans="1:7" s="2781" customFormat="1" ht="14.25" customHeight="1">
      <c r="A221" s="2947" t="s">
        <v>304</v>
      </c>
      <c r="B221" s="2947" t="s">
        <v>3096</v>
      </c>
      <c r="C221" s="2947"/>
      <c r="D221" s="2947"/>
      <c r="E221" s="2947"/>
      <c r="F221" s="2947">
        <v>2040</v>
      </c>
      <c r="G221" s="2960"/>
    </row>
    <row r="222" spans="1:7" s="2781" customFormat="1" ht="14.25" customHeight="1">
      <c r="A222" s="2947" t="s">
        <v>304</v>
      </c>
      <c r="B222" s="2947" t="s">
        <v>3097</v>
      </c>
      <c r="C222" s="2947"/>
      <c r="D222" s="2947"/>
      <c r="E222" s="2947"/>
      <c r="F222" s="2947">
        <v>2040</v>
      </c>
      <c r="G222" s="2960"/>
    </row>
    <row r="223" spans="1:7" s="2781" customFormat="1" ht="14.25" customHeight="1">
      <c r="A223" s="2947" t="s">
        <v>304</v>
      </c>
      <c r="B223" s="2947" t="s">
        <v>3098</v>
      </c>
      <c r="C223" s="2947"/>
      <c r="D223" s="2947"/>
      <c r="E223" s="2947"/>
      <c r="F223" s="2947">
        <v>1930</v>
      </c>
      <c r="G223" s="2960"/>
    </row>
    <row r="224" spans="1:7" s="2781" customFormat="1" ht="14.25" customHeight="1">
      <c r="A224" s="2947" t="s">
        <v>304</v>
      </c>
      <c r="B224" s="2947" t="s">
        <v>3099</v>
      </c>
      <c r="C224" s="2947"/>
      <c r="D224" s="2947"/>
      <c r="E224" s="2947"/>
      <c r="F224" s="2947">
        <v>1930</v>
      </c>
      <c r="G224" s="2960"/>
    </row>
    <row r="225" spans="1:7" s="2781" customFormat="1" ht="14.25" customHeight="1">
      <c r="A225" s="2947" t="s">
        <v>304</v>
      </c>
      <c r="B225" s="2947" t="s">
        <v>3100</v>
      </c>
      <c r="C225" s="2947"/>
      <c r="D225" s="2947"/>
      <c r="E225" s="2947"/>
      <c r="F225" s="2947">
        <v>1930</v>
      </c>
      <c r="G225" s="2960"/>
    </row>
    <row r="226" spans="1:7" s="2781" customFormat="1" ht="14.25" customHeight="1">
      <c r="A226" s="2947" t="s">
        <v>304</v>
      </c>
      <c r="B226" s="2947" t="s">
        <v>3101</v>
      </c>
      <c r="C226" s="2947"/>
      <c r="D226" s="2947"/>
      <c r="E226" s="2947"/>
      <c r="F226" s="2947">
        <v>1700</v>
      </c>
      <c r="G226" s="2960"/>
    </row>
    <row r="227" spans="1:7" s="2781" customFormat="1" ht="14.25" customHeight="1">
      <c r="A227" s="2947" t="s">
        <v>304</v>
      </c>
      <c r="B227" s="2947" t="s">
        <v>3102</v>
      </c>
      <c r="C227" s="2947"/>
      <c r="D227" s="2947"/>
      <c r="E227" s="2947"/>
      <c r="F227" s="2947">
        <v>1520</v>
      </c>
      <c r="G227" s="2960"/>
    </row>
    <row r="228" spans="1:7" s="2781" customFormat="1" ht="14.25" customHeight="1">
      <c r="A228" s="2947" t="s">
        <v>304</v>
      </c>
      <c r="B228" s="2947" t="s">
        <v>3103</v>
      </c>
      <c r="C228" s="2947"/>
      <c r="D228" s="2947"/>
      <c r="E228" s="2947"/>
      <c r="F228" s="2947">
        <v>1520</v>
      </c>
      <c r="G228" s="2960"/>
    </row>
    <row r="229" spans="1:7" s="2781" customFormat="1" ht="14.25" customHeight="1">
      <c r="A229" s="2947" t="s">
        <v>304</v>
      </c>
      <c r="B229" s="2947" t="s">
        <v>3020</v>
      </c>
      <c r="C229" s="2947"/>
      <c r="D229" s="2947"/>
      <c r="E229" s="2947"/>
      <c r="F229" s="2947">
        <v>1520</v>
      </c>
      <c r="G229" s="2960"/>
    </row>
    <row r="230" spans="1:7" s="2781" customFormat="1" ht="14.25" customHeight="1">
      <c r="A230" s="2947" t="s">
        <v>304</v>
      </c>
      <c r="B230" s="2947" t="s">
        <v>3104</v>
      </c>
      <c r="C230" s="2947"/>
      <c r="D230" s="2947"/>
      <c r="E230" s="2947"/>
      <c r="F230" s="2947">
        <v>1820</v>
      </c>
      <c r="G230" s="2960"/>
    </row>
    <row r="231" spans="1:7" s="2781" customFormat="1" ht="14.25" customHeight="1">
      <c r="A231" s="2947" t="s">
        <v>304</v>
      </c>
      <c r="B231" s="2947" t="s">
        <v>3105</v>
      </c>
      <c r="C231" s="2947"/>
      <c r="D231" s="2947"/>
      <c r="E231" s="2947"/>
      <c r="F231" s="2947">
        <v>1760</v>
      </c>
      <c r="G231" s="2960"/>
    </row>
    <row r="232" spans="1:7" s="2781" customFormat="1" ht="14.25" customHeight="1">
      <c r="A232" s="2947" t="s">
        <v>304</v>
      </c>
      <c r="B232" s="2947" t="s">
        <v>3106</v>
      </c>
      <c r="C232" s="2947"/>
      <c r="D232" s="2947"/>
      <c r="E232" s="2947"/>
      <c r="F232" s="2947">
        <v>1840</v>
      </c>
      <c r="G232" s="2960"/>
    </row>
    <row r="233" spans="1:7" s="2781" customFormat="1" ht="14.25" customHeight="1" thickBot="1">
      <c r="A233" s="2961" t="s">
        <v>304</v>
      </c>
      <c r="B233" s="2954" t="s">
        <v>3037</v>
      </c>
      <c r="C233" s="2954"/>
      <c r="D233" s="2954"/>
      <c r="E233" s="2954"/>
      <c r="F233" s="2954">
        <v>1770</v>
      </c>
      <c r="G233" s="2962"/>
    </row>
    <row r="234" spans="1:7" s="2781" customFormat="1" ht="14.25" customHeight="1">
      <c r="A234" s="2952" t="s">
        <v>305</v>
      </c>
      <c r="B234" s="2943" t="s">
        <v>3107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2878</v>
      </c>
      <c r="C238" s="2947">
        <v>6920</v>
      </c>
      <c r="D238" s="2947">
        <v>6890</v>
      </c>
      <c r="E238" s="2947">
        <v>8640</v>
      </c>
      <c r="F238" s="2947">
        <v>1310</v>
      </c>
      <c r="G238" s="2947">
        <v>4230</v>
      </c>
    </row>
    <row r="239" spans="1:7" s="2781" customFormat="1" ht="14.25" customHeight="1">
      <c r="A239" s="2947" t="s">
        <v>305</v>
      </c>
      <c r="B239" s="2947" t="s">
        <v>3108</v>
      </c>
      <c r="C239" s="2947">
        <v>6780</v>
      </c>
      <c r="D239" s="2947">
        <v>6750</v>
      </c>
      <c r="E239" s="2947">
        <v>8440</v>
      </c>
      <c r="F239" s="2947">
        <v>1160</v>
      </c>
      <c r="G239" s="2947">
        <v>4140</v>
      </c>
    </row>
    <row r="240" spans="1:7" s="2781" customFormat="1" ht="14.25" customHeight="1">
      <c r="A240" s="2947" t="s">
        <v>305</v>
      </c>
      <c r="B240" s="2947" t="s">
        <v>3109</v>
      </c>
      <c r="C240" s="2947">
        <v>5420</v>
      </c>
      <c r="D240" s="2947">
        <v>5380</v>
      </c>
      <c r="E240" s="2947">
        <v>6640</v>
      </c>
      <c r="F240" s="2947">
        <v>1020</v>
      </c>
      <c r="G240" s="2947">
        <v>3300</v>
      </c>
    </row>
    <row r="241" spans="1:7" s="2781" customFormat="1" ht="14.25" customHeight="1">
      <c r="A241" s="2947" t="s">
        <v>305</v>
      </c>
      <c r="B241" s="2947" t="s">
        <v>3110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2940</v>
      </c>
      <c r="C258" s="2947">
        <v>6190</v>
      </c>
      <c r="D258" s="2947">
        <v>6160</v>
      </c>
      <c r="E258" s="2947">
        <v>7680</v>
      </c>
      <c r="F258" s="2947">
        <v>1170</v>
      </c>
      <c r="G258" s="2947">
        <v>3780</v>
      </c>
    </row>
    <row r="259" spans="1:7" s="2781" customFormat="1" ht="14.25" customHeight="1">
      <c r="A259" s="2947" t="s">
        <v>305</v>
      </c>
      <c r="B259" s="2947" t="s">
        <v>3116</v>
      </c>
      <c r="C259" s="2947">
        <v>7610</v>
      </c>
      <c r="D259" s="2947">
        <v>7570</v>
      </c>
      <c r="E259" s="2947">
        <v>9350</v>
      </c>
      <c r="F259" s="2947">
        <v>1350</v>
      </c>
      <c r="G259" s="2947">
        <v>4650</v>
      </c>
    </row>
    <row r="260" spans="1:7" s="2781" customFormat="1" ht="14.25" customHeight="1">
      <c r="A260" s="2947" t="s">
        <v>305</v>
      </c>
      <c r="B260" s="2947" t="s">
        <v>3117</v>
      </c>
      <c r="C260" s="2947">
        <v>6920</v>
      </c>
      <c r="D260" s="2947">
        <v>6880</v>
      </c>
      <c r="E260" s="2947">
        <v>8380</v>
      </c>
      <c r="F260" s="2947">
        <v>1160</v>
      </c>
      <c r="G260" s="2947">
        <v>4220</v>
      </c>
    </row>
    <row r="261" spans="1:7" s="2781" customFormat="1" ht="14.25" customHeight="1">
      <c r="A261" s="2947" t="s">
        <v>305</v>
      </c>
      <c r="B261" s="2947" t="s">
        <v>3118</v>
      </c>
      <c r="C261" s="2947">
        <v>6850</v>
      </c>
      <c r="D261" s="2947">
        <v>6810</v>
      </c>
      <c r="E261" s="2947">
        <v>8290</v>
      </c>
      <c r="F261" s="2947">
        <v>1130</v>
      </c>
      <c r="G261" s="2947">
        <v>4180</v>
      </c>
    </row>
    <row r="262" spans="1:7" s="2781" customFormat="1" ht="14.25" customHeight="1">
      <c r="A262" s="2947" t="s">
        <v>305</v>
      </c>
      <c r="B262" s="2947" t="s">
        <v>3119</v>
      </c>
      <c r="C262" s="2947">
        <v>5860</v>
      </c>
      <c r="D262" s="2947">
        <v>5820</v>
      </c>
      <c r="E262" s="2947">
        <v>7640</v>
      </c>
      <c r="F262" s="2947">
        <v>1070</v>
      </c>
      <c r="G262" s="2947">
        <v>3570</v>
      </c>
    </row>
    <row r="263" spans="1:7" s="2781" customFormat="1" ht="14.25" customHeight="1">
      <c r="A263" s="2947" t="s">
        <v>305</v>
      </c>
      <c r="B263" s="2947" t="s">
        <v>3120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3121</v>
      </c>
      <c r="C265" s="2947"/>
      <c r="D265" s="2947"/>
      <c r="E265" s="2947"/>
      <c r="F265" s="2947">
        <v>1500</v>
      </c>
      <c r="G265" s="2947"/>
    </row>
    <row r="266" spans="1:7" s="2781" customFormat="1" ht="14.25" customHeight="1">
      <c r="A266" s="2947" t="s">
        <v>305</v>
      </c>
      <c r="B266" s="2947" t="s">
        <v>3122</v>
      </c>
      <c r="C266" s="2947"/>
      <c r="D266" s="2947"/>
      <c r="E266" s="2947"/>
      <c r="F266" s="2947">
        <v>1500</v>
      </c>
      <c r="G266" s="2947"/>
    </row>
    <row r="267" spans="1:7" s="2781" customFormat="1" ht="14.25" customHeight="1">
      <c r="A267" s="2947" t="s">
        <v>305</v>
      </c>
      <c r="B267" s="2947" t="s">
        <v>3123</v>
      </c>
      <c r="C267" s="2947"/>
      <c r="D267" s="2947"/>
      <c r="E267" s="2947"/>
      <c r="F267" s="2947">
        <v>1500</v>
      </c>
      <c r="G267" s="2947"/>
    </row>
    <row r="268" spans="1:7" s="2781" customFormat="1" ht="14.25" customHeight="1">
      <c r="A268" s="2947" t="s">
        <v>305</v>
      </c>
      <c r="B268" s="2947" t="s">
        <v>3124</v>
      </c>
      <c r="C268" s="2947"/>
      <c r="D268" s="2947"/>
      <c r="E268" s="2947"/>
      <c r="F268" s="2947">
        <v>1290</v>
      </c>
      <c r="G268" s="2947"/>
    </row>
    <row r="269" spans="1:7" s="2781" customFormat="1" ht="14.25" customHeight="1">
      <c r="A269" s="2947" t="s">
        <v>305</v>
      </c>
      <c r="B269" s="2947" t="s">
        <v>3125</v>
      </c>
      <c r="C269" s="2947"/>
      <c r="D269" s="2947"/>
      <c r="E269" s="2947"/>
      <c r="F269" s="2947">
        <v>1150</v>
      </c>
      <c r="G269" s="2947"/>
    </row>
    <row r="270" spans="1:7" s="2781" customFormat="1" ht="14.25" customHeight="1">
      <c r="A270" s="2947" t="s">
        <v>305</v>
      </c>
      <c r="B270" s="2947" t="s">
        <v>3126</v>
      </c>
      <c r="C270" s="2947"/>
      <c r="D270" s="2947"/>
      <c r="E270" s="2947"/>
      <c r="F270" s="2947">
        <v>1380</v>
      </c>
      <c r="G270" s="2947"/>
    </row>
    <row r="271" spans="1:7" s="2781" customFormat="1" ht="14.25" customHeight="1">
      <c r="A271" s="2947" t="s">
        <v>305</v>
      </c>
      <c r="B271" s="2947" t="s">
        <v>3127</v>
      </c>
      <c r="C271" s="2947"/>
      <c r="D271" s="2947"/>
      <c r="E271" s="2947"/>
      <c r="F271" s="2947">
        <v>1460</v>
      </c>
      <c r="G271" s="2947"/>
    </row>
    <row r="272" spans="1:7" s="2781" customFormat="1" ht="14.25" customHeight="1">
      <c r="A272" s="2947" t="s">
        <v>305</v>
      </c>
      <c r="B272" s="2947" t="s">
        <v>3128</v>
      </c>
      <c r="C272" s="2947"/>
      <c r="D272" s="2947"/>
      <c r="E272" s="2947"/>
      <c r="F272" s="2947">
        <v>1460</v>
      </c>
      <c r="G272" s="2947"/>
    </row>
    <row r="273" spans="1:7" s="2781" customFormat="1" ht="14.25" customHeight="1">
      <c r="A273" s="2947" t="s">
        <v>305</v>
      </c>
      <c r="B273" s="2947" t="s">
        <v>3021</v>
      </c>
      <c r="C273" s="2947"/>
      <c r="D273" s="2947"/>
      <c r="E273" s="2947"/>
      <c r="F273" s="2947">
        <v>1490</v>
      </c>
      <c r="G273" s="2947"/>
    </row>
    <row r="274" spans="1:7" s="2781" customFormat="1" ht="14.25" customHeight="1">
      <c r="A274" s="2947" t="s">
        <v>305</v>
      </c>
      <c r="B274" s="2947" t="s">
        <v>3129</v>
      </c>
      <c r="C274" s="2947"/>
      <c r="D274" s="2947"/>
      <c r="E274" s="2947"/>
      <c r="F274" s="2947">
        <v>1490</v>
      </c>
      <c r="G274" s="2947"/>
    </row>
    <row r="275" spans="1:7" s="2781" customFormat="1" ht="14.25" customHeight="1">
      <c r="A275" s="2947" t="s">
        <v>305</v>
      </c>
      <c r="B275" s="2947" t="s">
        <v>3130</v>
      </c>
      <c r="C275" s="2947"/>
      <c r="D275" s="2947"/>
      <c r="E275" s="2947"/>
      <c r="F275" s="2947">
        <v>1220</v>
      </c>
      <c r="G275" s="2947"/>
    </row>
    <row r="276" spans="1:7" s="2781" customFormat="1" ht="14.25" customHeight="1" thickBot="1">
      <c r="A276" s="2955" t="s">
        <v>305</v>
      </c>
      <c r="B276" s="2957" t="s">
        <v>3131</v>
      </c>
      <c r="C276" s="2958"/>
      <c r="D276" s="2958"/>
      <c r="E276" s="2958"/>
      <c r="F276" s="2958">
        <v>1380</v>
      </c>
      <c r="G276" s="2958"/>
    </row>
    <row r="277" spans="1:7" s="2781" customFormat="1" ht="14.25" customHeight="1">
      <c r="A277" s="2952" t="s">
        <v>306</v>
      </c>
      <c r="B277" s="2943" t="s">
        <v>3132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3133</v>
      </c>
      <c r="C279" s="2947">
        <v>4760</v>
      </c>
      <c r="D279" s="2947">
        <v>4720</v>
      </c>
      <c r="E279" s="2947">
        <v>5540</v>
      </c>
      <c r="F279" s="2947">
        <v>810</v>
      </c>
      <c r="G279" s="2960">
        <v>2850</v>
      </c>
    </row>
    <row r="280" spans="1:7" s="2781" customFormat="1" ht="14.25" customHeight="1">
      <c r="A280" s="2947" t="s">
        <v>306</v>
      </c>
      <c r="B280" s="2947" t="s">
        <v>3134</v>
      </c>
      <c r="C280" s="2947">
        <v>4010</v>
      </c>
      <c r="D280" s="2947">
        <v>3950</v>
      </c>
      <c r="E280" s="2947">
        <v>4710</v>
      </c>
      <c r="F280" s="2947">
        <v>800</v>
      </c>
      <c r="G280" s="2960">
        <v>2390</v>
      </c>
    </row>
    <row r="281" spans="1:7" s="2781" customFormat="1" ht="14.25" customHeight="1">
      <c r="A281" s="2947" t="s">
        <v>306</v>
      </c>
      <c r="B281" s="2947" t="s">
        <v>3135</v>
      </c>
      <c r="C281" s="2947">
        <v>4480</v>
      </c>
      <c r="D281" s="2947">
        <v>4420</v>
      </c>
      <c r="E281" s="2947">
        <v>5230</v>
      </c>
      <c r="F281" s="2947">
        <v>870</v>
      </c>
      <c r="G281" s="2960">
        <v>2660</v>
      </c>
    </row>
    <row r="282" spans="1:7" s="2781" customFormat="1" ht="14.25" customHeight="1">
      <c r="A282" s="2947" t="s">
        <v>306</v>
      </c>
      <c r="B282" s="2947" t="s">
        <v>3136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2913</v>
      </c>
      <c r="C293" s="2947">
        <v>5320</v>
      </c>
      <c r="D293" s="2947">
        <v>5270</v>
      </c>
      <c r="E293" s="2947">
        <v>6160</v>
      </c>
      <c r="F293" s="2947">
        <v>990</v>
      </c>
      <c r="G293" s="2960">
        <v>3170</v>
      </c>
    </row>
    <row r="294" spans="1:7" s="2781" customFormat="1" ht="14.25" customHeight="1">
      <c r="A294" s="2947" t="s">
        <v>306</v>
      </c>
      <c r="B294" s="2947" t="s">
        <v>3139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3140</v>
      </c>
      <c r="C302" s="2947">
        <v>5520</v>
      </c>
      <c r="D302" s="2947">
        <v>5470</v>
      </c>
      <c r="E302" s="2947">
        <v>6410</v>
      </c>
      <c r="F302" s="2947">
        <v>950</v>
      </c>
      <c r="G302" s="2960">
        <v>3300</v>
      </c>
    </row>
    <row r="303" spans="1:7" s="2781" customFormat="1" ht="14.25" customHeight="1">
      <c r="A303" s="2947" t="s">
        <v>306</v>
      </c>
      <c r="B303" s="2947" t="s">
        <v>2952</v>
      </c>
      <c r="C303" s="2947">
        <v>5630</v>
      </c>
      <c r="D303" s="2947">
        <v>5590</v>
      </c>
      <c r="E303" s="2947">
        <v>6550</v>
      </c>
      <c r="F303" s="2947">
        <v>1010</v>
      </c>
      <c r="G303" s="2960">
        <v>3370</v>
      </c>
    </row>
    <row r="304" spans="1:7" s="2781" customFormat="1" ht="14.25" customHeight="1">
      <c r="A304" s="2947" t="s">
        <v>306</v>
      </c>
      <c r="B304" s="2947" t="s">
        <v>2959</v>
      </c>
      <c r="C304" s="2947">
        <v>5680</v>
      </c>
      <c r="D304" s="2947">
        <v>5620</v>
      </c>
      <c r="E304" s="2947">
        <v>6620</v>
      </c>
      <c r="F304" s="2947">
        <v>1050</v>
      </c>
      <c r="G304" s="2960">
        <v>3390</v>
      </c>
    </row>
    <row r="305" spans="1:7" s="2781" customFormat="1" ht="14.25" customHeight="1">
      <c r="A305" s="2947" t="s">
        <v>306</v>
      </c>
      <c r="B305" s="2947" t="s">
        <v>2965</v>
      </c>
      <c r="C305" s="2947">
        <v>5590</v>
      </c>
      <c r="D305" s="2947">
        <v>5530</v>
      </c>
      <c r="E305" s="2947">
        <v>6460</v>
      </c>
      <c r="F305" s="2947">
        <v>900</v>
      </c>
      <c r="G305" s="2960">
        <v>3340</v>
      </c>
    </row>
    <row r="306" spans="1:7" s="2781" customFormat="1" ht="14.25" customHeight="1">
      <c r="A306" s="2947" t="s">
        <v>306</v>
      </c>
      <c r="B306" s="2947" t="s">
        <v>3141</v>
      </c>
      <c r="C306" s="2947">
        <v>5560</v>
      </c>
      <c r="D306" s="2947">
        <v>5510</v>
      </c>
      <c r="E306" s="2947">
        <v>6440</v>
      </c>
      <c r="F306" s="2947">
        <v>900</v>
      </c>
      <c r="G306" s="2960">
        <v>3320</v>
      </c>
    </row>
    <row r="307" spans="1:7" s="2781" customFormat="1" ht="14.25" customHeight="1">
      <c r="A307" s="2947" t="s">
        <v>306</v>
      </c>
      <c r="B307" s="2947" t="s">
        <v>2977</v>
      </c>
      <c r="C307" s="2947">
        <v>5650</v>
      </c>
      <c r="D307" s="2947">
        <v>5600</v>
      </c>
      <c r="E307" s="2947">
        <v>6590</v>
      </c>
      <c r="F307" s="2947">
        <v>930</v>
      </c>
      <c r="G307" s="2960">
        <v>3380</v>
      </c>
    </row>
    <row r="308" spans="1:7" s="2781" customFormat="1" ht="14.25" customHeight="1">
      <c r="A308" s="2947" t="s">
        <v>306</v>
      </c>
      <c r="B308" s="2947" t="s">
        <v>3142</v>
      </c>
      <c r="C308" s="2947">
        <v>5620</v>
      </c>
      <c r="D308" s="2947">
        <v>5580</v>
      </c>
      <c r="E308" s="2947">
        <v>6540</v>
      </c>
      <c r="F308" s="2947">
        <v>910</v>
      </c>
      <c r="G308" s="2960">
        <v>3370</v>
      </c>
    </row>
    <row r="309" spans="1:7" s="2781" customFormat="1" ht="14.25" customHeight="1">
      <c r="A309" s="2947" t="s">
        <v>306</v>
      </c>
      <c r="B309" s="2947" t="s">
        <v>3143</v>
      </c>
      <c r="C309" s="2947">
        <v>5060</v>
      </c>
      <c r="D309" s="2947">
        <v>5020</v>
      </c>
      <c r="E309" s="2947">
        <v>6370</v>
      </c>
      <c r="F309" s="2947">
        <v>800</v>
      </c>
      <c r="G309" s="2960">
        <v>3020</v>
      </c>
    </row>
    <row r="310" spans="1:7" s="2781" customFormat="1" ht="14.25" customHeight="1">
      <c r="A310" s="2947" t="s">
        <v>306</v>
      </c>
      <c r="B310" s="2947" t="s">
        <v>2992</v>
      </c>
      <c r="C310" s="2947">
        <v>5150</v>
      </c>
      <c r="D310" s="2947">
        <v>5110</v>
      </c>
      <c r="E310" s="2947">
        <v>6500</v>
      </c>
      <c r="F310" s="2947">
        <v>880</v>
      </c>
      <c r="G310" s="2960">
        <v>3080</v>
      </c>
    </row>
    <row r="311" spans="1:7" s="2781" customFormat="1" ht="14.25" customHeight="1">
      <c r="A311" s="2947" t="s">
        <v>306</v>
      </c>
      <c r="B311" s="2947" t="s">
        <v>3144</v>
      </c>
      <c r="C311" s="2947">
        <v>4750</v>
      </c>
      <c r="D311" s="2947">
        <v>4710</v>
      </c>
      <c r="E311" s="2947">
        <v>5510</v>
      </c>
      <c r="F311" s="2947">
        <v>880</v>
      </c>
      <c r="G311" s="2960">
        <v>2840</v>
      </c>
    </row>
    <row r="312" spans="1:7" s="2781" customFormat="1" ht="14.25" customHeight="1">
      <c r="A312" s="2947" t="s">
        <v>306</v>
      </c>
      <c r="B312" s="2947" t="s">
        <v>3002</v>
      </c>
      <c r="C312" s="2947">
        <v>4690</v>
      </c>
      <c r="D312" s="2947">
        <v>4640</v>
      </c>
      <c r="E312" s="2947">
        <v>5420</v>
      </c>
      <c r="F312" s="2947">
        <v>800</v>
      </c>
      <c r="G312" s="2960">
        <v>2800</v>
      </c>
    </row>
    <row r="313" spans="1:7" s="2781" customFormat="1" ht="14.25" customHeight="1">
      <c r="A313" s="2947" t="s">
        <v>306</v>
      </c>
      <c r="B313" s="2947" t="s">
        <v>3007</v>
      </c>
      <c r="C313" s="2947">
        <v>4810</v>
      </c>
      <c r="D313" s="2947">
        <v>4760</v>
      </c>
      <c r="E313" s="2947">
        <v>5550</v>
      </c>
      <c r="F313" s="2947">
        <v>920</v>
      </c>
      <c r="G313" s="2960">
        <v>2870</v>
      </c>
    </row>
    <row r="314" spans="1:7" s="2781" customFormat="1" ht="14.25" customHeight="1">
      <c r="A314" s="2947" t="s">
        <v>306</v>
      </c>
      <c r="B314" s="2947" t="s">
        <v>3145</v>
      </c>
      <c r="C314" s="2947"/>
      <c r="D314" s="2947"/>
      <c r="E314" s="2947"/>
      <c r="F314" s="2947">
        <v>1020</v>
      </c>
      <c r="G314" s="2960"/>
    </row>
    <row r="315" spans="1:7" s="2781" customFormat="1" ht="14.25" customHeight="1">
      <c r="A315" s="2947" t="s">
        <v>306</v>
      </c>
      <c r="B315" s="2947" t="s">
        <v>3146</v>
      </c>
      <c r="C315" s="2947"/>
      <c r="D315" s="2947"/>
      <c r="E315" s="2947"/>
      <c r="F315" s="2947">
        <v>1050</v>
      </c>
      <c r="G315" s="2960"/>
    </row>
    <row r="316" spans="1:7" s="2781" customFormat="1" ht="14.25" customHeight="1">
      <c r="A316" s="2947" t="s">
        <v>306</v>
      </c>
      <c r="B316" s="2947" t="s">
        <v>3022</v>
      </c>
      <c r="C316" s="2947"/>
      <c r="D316" s="2947"/>
      <c r="E316" s="2947"/>
      <c r="F316" s="2947">
        <v>900</v>
      </c>
      <c r="G316" s="2960"/>
    </row>
    <row r="317" spans="1:7" s="2781" customFormat="1" ht="14.25" customHeight="1">
      <c r="A317" s="2947" t="s">
        <v>306</v>
      </c>
      <c r="B317" s="2947" t="s">
        <v>3147</v>
      </c>
      <c r="C317" s="2947"/>
      <c r="D317" s="2947"/>
      <c r="E317" s="2947"/>
      <c r="F317" s="2947">
        <v>920</v>
      </c>
      <c r="G317" s="2960"/>
    </row>
    <row r="318" spans="1:7" s="2781" customFormat="1" ht="14.25" customHeight="1">
      <c r="A318" s="2947" t="s">
        <v>306</v>
      </c>
      <c r="B318" s="2947" t="s">
        <v>3148</v>
      </c>
      <c r="C318" s="2947"/>
      <c r="D318" s="2947"/>
      <c r="E318" s="2947"/>
      <c r="F318" s="2947">
        <v>1080</v>
      </c>
      <c r="G318" s="2960"/>
    </row>
    <row r="319" spans="1:7" s="2781" customFormat="1" ht="14.25" customHeight="1">
      <c r="A319" s="2947" t="s">
        <v>306</v>
      </c>
      <c r="B319" s="2947" t="s">
        <v>3035</v>
      </c>
      <c r="C319" s="2947"/>
      <c r="D319" s="2947"/>
      <c r="E319" s="2947"/>
      <c r="F319" s="2947">
        <v>1020</v>
      </c>
      <c r="G319" s="2960"/>
    </row>
    <row r="320" spans="1:7" s="2781" customFormat="1" ht="14.25" customHeight="1">
      <c r="A320" s="2947" t="s">
        <v>306</v>
      </c>
      <c r="B320" s="2947" t="s">
        <v>3038</v>
      </c>
      <c r="C320" s="2947"/>
      <c r="D320" s="2947"/>
      <c r="E320" s="2947"/>
      <c r="F320" s="2947">
        <v>1050</v>
      </c>
      <c r="G320" s="2960"/>
    </row>
    <row r="321" spans="1:7" s="2781" customFormat="1" ht="14.25" customHeight="1">
      <c r="A321" s="2947" t="s">
        <v>306</v>
      </c>
      <c r="B321" s="2947" t="s">
        <v>3040</v>
      </c>
      <c r="C321" s="2947"/>
      <c r="D321" s="2947"/>
      <c r="E321" s="2947"/>
      <c r="F321" s="2947">
        <v>960</v>
      </c>
      <c r="G321" s="2960"/>
    </row>
    <row r="322" spans="1:7" s="2781" customFormat="1" ht="14.25" customHeight="1">
      <c r="A322" s="2947" t="s">
        <v>306</v>
      </c>
      <c r="B322" s="2947" t="s">
        <v>3042</v>
      </c>
      <c r="C322" s="2947"/>
      <c r="D322" s="2947"/>
      <c r="E322" s="2947"/>
      <c r="F322" s="2947">
        <v>960</v>
      </c>
      <c r="G322" s="2960"/>
    </row>
    <row r="323" spans="1:7" s="2781" customFormat="1" ht="14.25" customHeight="1">
      <c r="A323" s="2947" t="s">
        <v>306</v>
      </c>
      <c r="B323" s="2947" t="s">
        <v>3044</v>
      </c>
      <c r="C323" s="2947"/>
      <c r="D323" s="2947"/>
      <c r="E323" s="2947"/>
      <c r="F323" s="2947">
        <v>880</v>
      </c>
      <c r="G323" s="2960"/>
    </row>
    <row r="324" spans="1:7" s="2781" customFormat="1" ht="14.25" customHeight="1">
      <c r="A324" s="2947" t="s">
        <v>306</v>
      </c>
      <c r="B324" s="2947" t="s">
        <v>3046</v>
      </c>
      <c r="C324" s="2947"/>
      <c r="D324" s="2947"/>
      <c r="E324" s="2947"/>
      <c r="F324" s="2947">
        <v>930</v>
      </c>
      <c r="G324" s="2960"/>
    </row>
    <row r="325" spans="1:7" s="2781" customFormat="1" ht="14.25" customHeight="1">
      <c r="A325" s="2947" t="s">
        <v>306</v>
      </c>
      <c r="B325" s="2948" t="s">
        <v>3048</v>
      </c>
      <c r="C325" s="2947"/>
      <c r="D325" s="2947"/>
      <c r="E325" s="2947"/>
      <c r="F325" s="2947">
        <v>900</v>
      </c>
      <c r="G325" s="2960"/>
    </row>
    <row r="326" spans="1:7" s="2781" customFormat="1" ht="14.25" customHeight="1" thickBot="1">
      <c r="A326" s="2961" t="s">
        <v>306</v>
      </c>
      <c r="B326" s="2954" t="s">
        <v>3050</v>
      </c>
      <c r="C326" s="2954"/>
      <c r="D326" s="2954"/>
      <c r="E326" s="2954"/>
      <c r="F326" s="2954">
        <v>790</v>
      </c>
      <c r="G326" s="2962"/>
    </row>
    <row r="327" spans="1:7" s="2781" customFormat="1" ht="14.25" customHeight="1">
      <c r="A327" s="2952" t="s">
        <v>307</v>
      </c>
      <c r="B327" s="2943" t="s">
        <v>3149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3150</v>
      </c>
      <c r="C329" s="2947">
        <v>2730</v>
      </c>
      <c r="D329" s="2947">
        <v>2690</v>
      </c>
      <c r="E329" s="2947">
        <v>3100</v>
      </c>
      <c r="F329" s="2947">
        <v>660</v>
      </c>
      <c r="G329" s="2947">
        <v>1610</v>
      </c>
    </row>
    <row r="330" spans="1:7" s="2781" customFormat="1" ht="14.25" customHeight="1">
      <c r="A330" s="2947" t="s">
        <v>307</v>
      </c>
      <c r="B330" s="2947" t="s">
        <v>3151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2884</v>
      </c>
      <c r="C332" s="2947">
        <v>3520</v>
      </c>
      <c r="D332" s="2947">
        <v>3480</v>
      </c>
      <c r="E332" s="2947">
        <v>3830</v>
      </c>
      <c r="F332" s="2947">
        <v>720</v>
      </c>
      <c r="G332" s="2947">
        <v>2090</v>
      </c>
    </row>
    <row r="333" spans="1:7" s="2781" customFormat="1" ht="14.25" customHeight="1">
      <c r="A333" s="2947" t="s">
        <v>307</v>
      </c>
      <c r="B333" s="2947" t="s">
        <v>3152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2894</v>
      </c>
      <c r="C336" s="2947">
        <v>3570</v>
      </c>
      <c r="D336" s="2947">
        <v>3530</v>
      </c>
      <c r="E336" s="2947">
        <v>3880</v>
      </c>
      <c r="F336" s="2947">
        <v>770</v>
      </c>
      <c r="G336" s="2947">
        <v>2110</v>
      </c>
    </row>
    <row r="337" spans="1:10" s="2781" customFormat="1" ht="14.25" customHeight="1">
      <c r="A337" s="2947" t="s">
        <v>307</v>
      </c>
      <c r="B337" s="2947" t="s">
        <v>3153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2919</v>
      </c>
      <c r="C345" s="2947">
        <v>3190</v>
      </c>
      <c r="D345" s="2947">
        <v>3140</v>
      </c>
      <c r="E345" s="2947">
        <v>3450</v>
      </c>
      <c r="F345" s="2947">
        <v>720</v>
      </c>
      <c r="G345" s="2947">
        <v>1880</v>
      </c>
      <c r="J345" s="2781"/>
    </row>
    <row r="346" spans="1:10">
      <c r="A346" s="2947" t="s">
        <v>307</v>
      </c>
      <c r="B346" s="2947" t="s">
        <v>3156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2928</v>
      </c>
      <c r="C348" s="2947">
        <v>4000</v>
      </c>
      <c r="D348" s="2947">
        <v>3950</v>
      </c>
      <c r="E348" s="2947">
        <v>4430</v>
      </c>
      <c r="F348" s="2947">
        <v>760</v>
      </c>
      <c r="G348" s="2947">
        <v>2360</v>
      </c>
      <c r="J348" s="2781"/>
    </row>
    <row r="349" spans="1:10">
      <c r="A349" s="2947" t="s">
        <v>307</v>
      </c>
      <c r="B349" s="2947" t="s">
        <v>2933</v>
      </c>
      <c r="C349" s="2947">
        <v>3820</v>
      </c>
      <c r="D349" s="2947">
        <v>3780</v>
      </c>
      <c r="E349" s="2947">
        <v>4170</v>
      </c>
      <c r="F349" s="2947">
        <v>710</v>
      </c>
      <c r="G349" s="2947">
        <v>2260</v>
      </c>
      <c r="J349" s="2781"/>
    </row>
    <row r="350" spans="1:10">
      <c r="A350" s="2947" t="s">
        <v>307</v>
      </c>
      <c r="B350" s="2947" t="s">
        <v>3157</v>
      </c>
      <c r="C350" s="2947">
        <v>3760</v>
      </c>
      <c r="D350" s="2947">
        <v>3730</v>
      </c>
      <c r="E350" s="2947">
        <v>4100</v>
      </c>
      <c r="F350" s="2947">
        <v>800</v>
      </c>
      <c r="G350" s="2947">
        <v>2230</v>
      </c>
      <c r="J350" s="2781"/>
    </row>
    <row r="351" spans="1:10">
      <c r="A351" s="2947" t="s">
        <v>307</v>
      </c>
      <c r="B351" s="2947" t="s">
        <v>2941</v>
      </c>
      <c r="C351" s="2947">
        <v>3610</v>
      </c>
      <c r="D351" s="2947">
        <v>3580</v>
      </c>
      <c r="E351" s="2947">
        <v>3930</v>
      </c>
      <c r="F351" s="2947">
        <v>700</v>
      </c>
      <c r="G351" s="2947">
        <v>2140</v>
      </c>
      <c r="J351" s="2781"/>
    </row>
    <row r="352" spans="1:10">
      <c r="A352" s="2947" t="s">
        <v>307</v>
      </c>
      <c r="B352" s="2947" t="s">
        <v>2946</v>
      </c>
      <c r="C352" s="2947">
        <v>3670</v>
      </c>
      <c r="D352" s="2947">
        <v>3630</v>
      </c>
      <c r="E352" s="2947">
        <v>4000</v>
      </c>
      <c r="F352" s="2947">
        <v>750</v>
      </c>
      <c r="G352" s="2947">
        <v>2180</v>
      </c>
    </row>
    <row r="353" spans="1:7" s="2782" customFormat="1">
      <c r="A353" s="2947" t="s">
        <v>307</v>
      </c>
      <c r="B353" s="2947" t="s">
        <v>3158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2966</v>
      </c>
      <c r="C355" s="2947">
        <v>3650</v>
      </c>
      <c r="D355" s="2947">
        <v>3610</v>
      </c>
      <c r="E355" s="2947">
        <v>4200</v>
      </c>
      <c r="F355" s="2947">
        <v>640</v>
      </c>
      <c r="G355" s="2947">
        <v>2160</v>
      </c>
    </row>
    <row r="356" spans="1:7" s="2782" customFormat="1">
      <c r="A356" s="2947" t="s">
        <v>307</v>
      </c>
      <c r="B356" s="2947" t="s">
        <v>2973</v>
      </c>
      <c r="C356" s="2947">
        <v>3260</v>
      </c>
      <c r="D356" s="2947">
        <v>3230</v>
      </c>
      <c r="E356" s="2947">
        <v>3740</v>
      </c>
      <c r="F356" s="2947">
        <v>600</v>
      </c>
      <c r="G356" s="2947">
        <v>1930</v>
      </c>
    </row>
    <row r="357" spans="1:7" s="2782" customFormat="1" ht="12" thickBot="1">
      <c r="A357" s="2955" t="s">
        <v>307</v>
      </c>
      <c r="B357" s="2958" t="s">
        <v>3159</v>
      </c>
      <c r="C357" s="2958">
        <v>3690</v>
      </c>
      <c r="D357" s="2958">
        <v>3650</v>
      </c>
      <c r="E357" s="2958">
        <v>4020</v>
      </c>
      <c r="F357" s="2958">
        <v>700</v>
      </c>
      <c r="G357" s="2958">
        <v>2190</v>
      </c>
    </row>
    <row r="358" spans="1:7" s="2782" customFormat="1">
      <c r="A358" s="2952" t="s">
        <v>3160</v>
      </c>
      <c r="B358" s="2943" t="s">
        <v>3161</v>
      </c>
      <c r="C358" s="2943">
        <v>2080</v>
      </c>
      <c r="D358" s="2943">
        <v>2040</v>
      </c>
      <c r="E358" s="2943">
        <v>2010</v>
      </c>
      <c r="F358" s="2943">
        <v>530</v>
      </c>
      <c r="G358" s="2959">
        <v>1230</v>
      </c>
    </row>
    <row r="359" spans="1:7" s="2782" customFormat="1">
      <c r="A359" s="2947" t="s">
        <v>3160</v>
      </c>
      <c r="B359" s="2947" t="s">
        <v>3162</v>
      </c>
      <c r="C359" s="2947">
        <v>1850</v>
      </c>
      <c r="D359" s="2947">
        <v>1820</v>
      </c>
      <c r="E359" s="2947">
        <v>1780</v>
      </c>
      <c r="F359" s="2947">
        <v>520</v>
      </c>
      <c r="G359" s="2960">
        <v>1100</v>
      </c>
    </row>
    <row r="360" spans="1:7" s="2782" customFormat="1">
      <c r="A360" s="2947" t="s">
        <v>3160</v>
      </c>
      <c r="B360" s="2947" t="s">
        <v>3163</v>
      </c>
      <c r="C360" s="2947">
        <v>2020</v>
      </c>
      <c r="D360" s="2947">
        <v>1990</v>
      </c>
      <c r="E360" s="2947">
        <v>1950</v>
      </c>
      <c r="F360" s="2947">
        <v>500</v>
      </c>
      <c r="G360" s="2960">
        <v>1200</v>
      </c>
    </row>
    <row r="361" spans="1:7" s="2782" customFormat="1">
      <c r="A361" s="2947" t="s">
        <v>3160</v>
      </c>
      <c r="B361" s="2947" t="s">
        <v>153</v>
      </c>
      <c r="C361" s="2947">
        <v>2260</v>
      </c>
      <c r="D361" s="2947">
        <v>2220</v>
      </c>
      <c r="E361" s="2947">
        <v>2180</v>
      </c>
      <c r="F361" s="2947">
        <v>580</v>
      </c>
      <c r="G361" s="2960">
        <v>1340</v>
      </c>
    </row>
    <row r="362" spans="1:7" s="2782" customFormat="1">
      <c r="A362" s="2947" t="s">
        <v>3160</v>
      </c>
      <c r="B362" s="2947" t="s">
        <v>3164</v>
      </c>
      <c r="C362" s="2947">
        <v>2650</v>
      </c>
      <c r="D362" s="2947">
        <v>2610</v>
      </c>
      <c r="E362" s="2947">
        <v>2570</v>
      </c>
      <c r="F362" s="2947">
        <v>630</v>
      </c>
      <c r="G362" s="2960">
        <v>1570</v>
      </c>
    </row>
    <row r="363" spans="1:7" s="2782" customFormat="1">
      <c r="A363" s="2947" t="s">
        <v>3160</v>
      </c>
      <c r="B363" s="2947" t="s">
        <v>2885</v>
      </c>
      <c r="C363" s="2947">
        <v>2390</v>
      </c>
      <c r="D363" s="2947">
        <v>2360</v>
      </c>
      <c r="E363" s="2947">
        <v>2320</v>
      </c>
      <c r="F363" s="2947">
        <v>600</v>
      </c>
      <c r="G363" s="2960">
        <v>1420</v>
      </c>
    </row>
    <row r="364" spans="1:7" s="2782" customFormat="1">
      <c r="A364" s="2947" t="s">
        <v>3160</v>
      </c>
      <c r="B364" s="2947" t="s">
        <v>3165</v>
      </c>
      <c r="C364" s="2947">
        <v>2050</v>
      </c>
      <c r="D364" s="2947">
        <v>2030</v>
      </c>
      <c r="E364" s="2947">
        <v>1990</v>
      </c>
      <c r="F364" s="2947">
        <v>550</v>
      </c>
      <c r="G364" s="2960">
        <v>1220</v>
      </c>
    </row>
    <row r="365" spans="1:7" s="2782" customFormat="1">
      <c r="A365" s="2947" t="s">
        <v>3160</v>
      </c>
      <c r="B365" s="2947" t="s">
        <v>200</v>
      </c>
      <c r="C365" s="2947">
        <v>2140</v>
      </c>
      <c r="D365" s="2947">
        <v>2100</v>
      </c>
      <c r="E365" s="2947">
        <v>2060</v>
      </c>
      <c r="F365" s="2947">
        <v>540</v>
      </c>
      <c r="G365" s="2960">
        <v>1270</v>
      </c>
    </row>
    <row r="366" spans="1:7" s="2782" customFormat="1">
      <c r="A366" s="2947" t="s">
        <v>3160</v>
      </c>
      <c r="B366" s="2947" t="s">
        <v>2892</v>
      </c>
      <c r="C366" s="2947">
        <v>2410</v>
      </c>
      <c r="D366" s="2947">
        <v>2370</v>
      </c>
      <c r="E366" s="2947">
        <v>2330</v>
      </c>
      <c r="F366" s="2947">
        <v>570</v>
      </c>
      <c r="G366" s="2960">
        <v>1440</v>
      </c>
    </row>
    <row r="367" spans="1:7" s="2782" customFormat="1">
      <c r="A367" s="2947" t="s">
        <v>3160</v>
      </c>
      <c r="B367" s="2947" t="s">
        <v>3166</v>
      </c>
      <c r="C367" s="2947">
        <v>2300</v>
      </c>
      <c r="D367" s="2947">
        <v>2260</v>
      </c>
      <c r="E367" s="2947">
        <v>2220</v>
      </c>
      <c r="F367" s="2947">
        <v>560</v>
      </c>
      <c r="G367" s="2960">
        <v>1370</v>
      </c>
    </row>
    <row r="368" spans="1:7" s="2782" customFormat="1">
      <c r="A368" s="2947" t="s">
        <v>3160</v>
      </c>
      <c r="B368" s="2947" t="s">
        <v>3167</v>
      </c>
      <c r="C368" s="2947">
        <v>2430</v>
      </c>
      <c r="D368" s="2947">
        <v>2390</v>
      </c>
      <c r="E368" s="2947">
        <v>2350</v>
      </c>
      <c r="F368" s="2947">
        <v>570</v>
      </c>
      <c r="G368" s="2960">
        <v>1450</v>
      </c>
    </row>
    <row r="369" spans="1:7" s="2782" customFormat="1">
      <c r="A369" s="2947" t="s">
        <v>3160</v>
      </c>
      <c r="B369" s="2947" t="s">
        <v>214</v>
      </c>
      <c r="C369" s="2947">
        <v>2320</v>
      </c>
      <c r="D369" s="2947">
        <v>2290</v>
      </c>
      <c r="E369" s="2947">
        <v>2250</v>
      </c>
      <c r="F369" s="2947">
        <v>550</v>
      </c>
      <c r="G369" s="2960">
        <v>1380</v>
      </c>
    </row>
    <row r="370" spans="1:7" s="2782" customFormat="1">
      <c r="A370" s="2947" t="s">
        <v>3160</v>
      </c>
      <c r="B370" s="2947" t="s">
        <v>221</v>
      </c>
      <c r="C370" s="2947">
        <v>2190</v>
      </c>
      <c r="D370" s="2947">
        <v>2170</v>
      </c>
      <c r="E370" s="2947">
        <v>2130</v>
      </c>
      <c r="F370" s="2947">
        <v>530</v>
      </c>
      <c r="G370" s="2960">
        <v>1310</v>
      </c>
    </row>
    <row r="371" spans="1:7" s="2782" customFormat="1">
      <c r="A371" s="2947" t="s">
        <v>3160</v>
      </c>
      <c r="B371" s="2947" t="s">
        <v>229</v>
      </c>
      <c r="C371" s="2947">
        <v>2460</v>
      </c>
      <c r="D371" s="2947">
        <v>2420</v>
      </c>
      <c r="E371" s="2947">
        <v>2370</v>
      </c>
      <c r="F371" s="2947">
        <v>560</v>
      </c>
      <c r="G371" s="2960">
        <v>1470</v>
      </c>
    </row>
    <row r="372" spans="1:7" s="2782" customFormat="1">
      <c r="A372" s="2947" t="s">
        <v>3160</v>
      </c>
      <c r="B372" s="2947" t="s">
        <v>3168</v>
      </c>
      <c r="C372" s="2947">
        <v>2250</v>
      </c>
      <c r="D372" s="2947">
        <v>2210</v>
      </c>
      <c r="E372" s="2947">
        <v>2180</v>
      </c>
      <c r="F372" s="2947">
        <v>550</v>
      </c>
      <c r="G372" s="2960">
        <v>1340</v>
      </c>
    </row>
    <row r="373" spans="1:7" s="2782" customFormat="1">
      <c r="A373" s="2947" t="s">
        <v>3160</v>
      </c>
      <c r="B373" s="2947" t="s">
        <v>258</v>
      </c>
      <c r="C373" s="2947">
        <v>2210</v>
      </c>
      <c r="D373" s="2947">
        <v>2190</v>
      </c>
      <c r="E373" s="2947">
        <v>2150</v>
      </c>
      <c r="F373" s="2947">
        <v>530</v>
      </c>
      <c r="G373" s="2960">
        <v>1320</v>
      </c>
    </row>
    <row r="374" spans="1:7" s="2782" customFormat="1">
      <c r="A374" s="2947" t="s">
        <v>3160</v>
      </c>
      <c r="B374" s="2947" t="s">
        <v>266</v>
      </c>
      <c r="C374" s="2947">
        <v>2320</v>
      </c>
      <c r="D374" s="2947">
        <v>2280</v>
      </c>
      <c r="E374" s="2947">
        <v>2230</v>
      </c>
      <c r="F374" s="2947">
        <v>580</v>
      </c>
      <c r="G374" s="2960">
        <v>1380</v>
      </c>
    </row>
    <row r="375" spans="1:7" s="2782" customFormat="1">
      <c r="A375" s="2947" t="s">
        <v>3160</v>
      </c>
      <c r="B375" s="2947" t="s">
        <v>3169</v>
      </c>
      <c r="C375" s="2947">
        <v>2090</v>
      </c>
      <c r="D375" s="2947">
        <v>2050</v>
      </c>
      <c r="E375" s="2947">
        <v>2020</v>
      </c>
      <c r="F375" s="2947">
        <v>520</v>
      </c>
      <c r="G375" s="2960">
        <v>1240</v>
      </c>
    </row>
    <row r="376" spans="1:7" s="2782" customFormat="1">
      <c r="A376" s="2947" t="s">
        <v>3160</v>
      </c>
      <c r="B376" s="2947" t="s">
        <v>277</v>
      </c>
      <c r="C376" s="2947">
        <v>2010</v>
      </c>
      <c r="D376" s="2947">
        <v>1980</v>
      </c>
      <c r="E376" s="2947">
        <v>1940</v>
      </c>
      <c r="F376" s="2947">
        <v>540</v>
      </c>
      <c r="G376" s="2960">
        <v>1190</v>
      </c>
    </row>
    <row r="377" spans="1:7" s="2782" customFormat="1" ht="12" thickBot="1">
      <c r="A377" s="2955" t="s">
        <v>3160</v>
      </c>
      <c r="B377" s="2958" t="s">
        <v>2922</v>
      </c>
      <c r="C377" s="2958">
        <v>1930</v>
      </c>
      <c r="D377" s="2958">
        <v>1890</v>
      </c>
      <c r="E377" s="2958">
        <v>1860</v>
      </c>
      <c r="F377" s="2958">
        <v>530</v>
      </c>
      <c r="G377" s="2963">
        <v>1150</v>
      </c>
    </row>
    <row r="378" spans="1:7" s="2782" customFormat="1">
      <c r="A378" s="2964" t="s">
        <v>3170</v>
      </c>
      <c r="B378" s="2943" t="s">
        <v>3171</v>
      </c>
      <c r="C378" s="2943">
        <v>1520</v>
      </c>
      <c r="D378" s="2943">
        <v>1490</v>
      </c>
      <c r="E378" s="2943">
        <v>1460</v>
      </c>
      <c r="F378" s="2943">
        <v>460</v>
      </c>
      <c r="G378" s="2959">
        <v>940</v>
      </c>
    </row>
    <row r="379" spans="1:7" s="2782" customFormat="1">
      <c r="A379" s="2965" t="s">
        <v>3170</v>
      </c>
      <c r="B379" s="2947" t="s">
        <v>3172</v>
      </c>
      <c r="C379" s="2947">
        <v>1500</v>
      </c>
      <c r="D379" s="2947">
        <v>1470</v>
      </c>
      <c r="E379" s="2947">
        <v>1430</v>
      </c>
      <c r="F379" s="2947">
        <v>460</v>
      </c>
      <c r="G379" s="2960">
        <v>920</v>
      </c>
    </row>
    <row r="380" spans="1:7" s="2782" customFormat="1">
      <c r="A380" s="2965" t="s">
        <v>3170</v>
      </c>
      <c r="B380" s="2947" t="s">
        <v>3173</v>
      </c>
      <c r="C380" s="2947">
        <v>1620</v>
      </c>
      <c r="D380" s="2947">
        <v>1590</v>
      </c>
      <c r="E380" s="2947">
        <v>1560</v>
      </c>
      <c r="F380" s="2947">
        <v>480</v>
      </c>
      <c r="G380" s="2960">
        <v>1000</v>
      </c>
    </row>
    <row r="381" spans="1:7" s="2782" customFormat="1">
      <c r="A381" s="2965" t="s">
        <v>3170</v>
      </c>
      <c r="B381" s="2947" t="s">
        <v>3174</v>
      </c>
      <c r="C381" s="2947">
        <v>1460</v>
      </c>
      <c r="D381" s="2947">
        <v>1430</v>
      </c>
      <c r="E381" s="2947">
        <v>1390</v>
      </c>
      <c r="F381" s="2947">
        <v>450</v>
      </c>
      <c r="G381" s="2960">
        <v>900</v>
      </c>
    </row>
    <row r="382" spans="1:7" s="2782" customFormat="1">
      <c r="A382" s="2965" t="s">
        <v>3170</v>
      </c>
      <c r="B382" s="2947" t="s">
        <v>3175</v>
      </c>
      <c r="C382" s="2947">
        <v>1310</v>
      </c>
      <c r="D382" s="2947">
        <v>1280</v>
      </c>
      <c r="E382" s="2947">
        <v>1250</v>
      </c>
      <c r="F382" s="2947">
        <v>440</v>
      </c>
      <c r="G382" s="2960">
        <v>800</v>
      </c>
    </row>
    <row r="383" spans="1:7" s="2782" customFormat="1">
      <c r="A383" s="2965" t="s">
        <v>3170</v>
      </c>
      <c r="B383" s="2947" t="s">
        <v>3176</v>
      </c>
      <c r="C383" s="2947">
        <v>1260</v>
      </c>
      <c r="D383" s="2947">
        <v>1230</v>
      </c>
      <c r="E383" s="2947">
        <v>1200</v>
      </c>
      <c r="F383" s="2947">
        <v>420</v>
      </c>
      <c r="G383" s="2960">
        <v>770</v>
      </c>
    </row>
    <row r="384" spans="1:7" s="2782" customFormat="1" ht="12" thickBot="1">
      <c r="A384" s="2966" t="s">
        <v>3170</v>
      </c>
      <c r="B384" s="2954" t="s">
        <v>3177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3178</v>
      </c>
      <c r="B1" s="3503"/>
    </row>
    <row r="2" spans="1:7" ht="14.25" thickBot="1">
      <c r="A2" s="2968"/>
      <c r="B2" s="2968"/>
    </row>
    <row r="3" spans="1:7" ht="14.25" thickBot="1">
      <c r="A3" s="2968"/>
      <c r="B3" s="2968"/>
      <c r="C3" s="2969" t="s">
        <v>2808</v>
      </c>
      <c r="D3" s="2969" t="s">
        <v>2864</v>
      </c>
      <c r="E3" s="2969" t="s">
        <v>2810</v>
      </c>
      <c r="F3" s="2969" t="s">
        <v>2865</v>
      </c>
      <c r="G3" s="2969" t="s">
        <v>2628</v>
      </c>
    </row>
    <row r="4" spans="1:7" ht="14.25" thickBot="1">
      <c r="A4" s="2970" t="s">
        <v>2863</v>
      </c>
      <c r="B4" s="2971" t="s">
        <v>2869</v>
      </c>
      <c r="C4" s="2969"/>
      <c r="D4" s="2969"/>
      <c r="E4" s="2969"/>
      <c r="F4" s="2969"/>
      <c r="G4" s="2969"/>
    </row>
    <row r="5" spans="1:7">
      <c r="A5" s="2972" t="s">
        <v>2837</v>
      </c>
      <c r="B5" s="2973" t="s">
        <v>2851</v>
      </c>
      <c r="C5" s="2974">
        <v>9.8000000000000004E-2</v>
      </c>
      <c r="D5" s="2974">
        <v>8.6999999999999994E-2</v>
      </c>
      <c r="E5" s="2974">
        <v>8.6999999999999994E-2</v>
      </c>
      <c r="F5" s="2974">
        <v>9.8000000000000004E-2</v>
      </c>
      <c r="G5" s="2975">
        <v>9.5000000000000001E-2</v>
      </c>
    </row>
    <row r="6" spans="1:7">
      <c r="A6" s="2976" t="s">
        <v>144</v>
      </c>
      <c r="B6" s="2977" t="s">
        <v>2866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2920</v>
      </c>
      <c r="C29" s="2986"/>
      <c r="D29" s="2982">
        <v>5.1999999999999998E-2</v>
      </c>
      <c r="E29" s="2982">
        <v>7.0000000000000007E-2</v>
      </c>
      <c r="F29" s="2986"/>
      <c r="G29" s="2984">
        <v>7.0999999999999994E-2</v>
      </c>
    </row>
    <row r="30" spans="1:7">
      <c r="A30" s="2987" t="s">
        <v>296</v>
      </c>
      <c r="B30" s="2973" t="s">
        <v>2853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2923</v>
      </c>
      <c r="C50" s="2978">
        <v>9.8000000000000004E-2</v>
      </c>
      <c r="D50" s="2978">
        <v>7.2999999999999995E-2</v>
      </c>
      <c r="E50" s="2978">
        <v>7.0999999999999994E-2</v>
      </c>
      <c r="F50" s="2989"/>
      <c r="G50" s="2979">
        <v>7.2999999999999995E-2</v>
      </c>
    </row>
    <row r="51" spans="1:7">
      <c r="A51" s="2988" t="s">
        <v>296</v>
      </c>
      <c r="B51" s="2977" t="s">
        <v>2925</v>
      </c>
      <c r="C51" s="2978">
        <v>9.9000000000000005E-2</v>
      </c>
      <c r="D51" s="2978">
        <v>8.5000000000000006E-2</v>
      </c>
      <c r="E51" s="2978">
        <v>6.3E-2</v>
      </c>
      <c r="F51" s="2989"/>
      <c r="G51" s="2979">
        <v>9.6000000000000002E-2</v>
      </c>
    </row>
    <row r="52" spans="1:7">
      <c r="A52" s="2988" t="s">
        <v>296</v>
      </c>
      <c r="B52" s="2977" t="s">
        <v>2929</v>
      </c>
      <c r="C52" s="2978">
        <v>7.3999999999999996E-2</v>
      </c>
      <c r="D52" s="2978">
        <v>9.6000000000000002E-2</v>
      </c>
      <c r="E52" s="2978">
        <v>0.05</v>
      </c>
      <c r="F52" s="2989"/>
      <c r="G52" s="2979">
        <v>9.8000000000000004E-2</v>
      </c>
    </row>
    <row r="53" spans="1:7">
      <c r="A53" s="2988" t="s">
        <v>296</v>
      </c>
      <c r="B53" s="2977" t="s">
        <v>2934</v>
      </c>
      <c r="C53" s="2978">
        <v>8.5999999999999993E-2</v>
      </c>
      <c r="D53" s="2989"/>
      <c r="E53" s="2978">
        <v>9.1999999999999998E-2</v>
      </c>
      <c r="F53" s="2989"/>
      <c r="G53" s="2990"/>
    </row>
    <row r="54" spans="1:7" ht="14.25" thickBot="1">
      <c r="A54" s="2991" t="s">
        <v>296</v>
      </c>
      <c r="B54" s="2981" t="s">
        <v>2937</v>
      </c>
      <c r="C54" s="2982">
        <v>9.6000000000000002E-2</v>
      </c>
      <c r="D54" s="2983"/>
      <c r="E54" s="2992"/>
      <c r="F54" s="2983"/>
      <c r="G54" s="2993"/>
    </row>
    <row r="55" spans="1:7">
      <c r="A55" s="2987" t="s">
        <v>110</v>
      </c>
      <c r="B55" s="2973" t="s">
        <v>2854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2935</v>
      </c>
      <c r="C78" s="2978">
        <v>0.1</v>
      </c>
      <c r="D78" s="2978">
        <v>8.5000000000000006E-2</v>
      </c>
      <c r="E78" s="2978">
        <v>9.6000000000000002E-2</v>
      </c>
      <c r="F78" s="2989"/>
      <c r="G78" s="2979">
        <v>9.6000000000000002E-2</v>
      </c>
    </row>
    <row r="79" spans="1:7">
      <c r="A79" s="2988" t="s">
        <v>110</v>
      </c>
      <c r="B79" s="2977" t="s">
        <v>2938</v>
      </c>
      <c r="C79" s="2978">
        <v>0.05</v>
      </c>
      <c r="D79" s="2978">
        <v>9.6000000000000002E-2</v>
      </c>
      <c r="E79" s="2978">
        <v>9.5000000000000001E-2</v>
      </c>
      <c r="F79" s="2989"/>
      <c r="G79" s="2979">
        <v>9.8000000000000004E-2</v>
      </c>
    </row>
    <row r="80" spans="1:7">
      <c r="A80" s="2988" t="s">
        <v>110</v>
      </c>
      <c r="B80" s="2977" t="s">
        <v>2942</v>
      </c>
      <c r="C80" s="2978">
        <v>8.5999999999999993E-2</v>
      </c>
      <c r="D80" s="2994"/>
      <c r="E80" s="2978">
        <v>0.1</v>
      </c>
      <c r="F80" s="2989"/>
      <c r="G80" s="2990"/>
    </row>
    <row r="81" spans="1:7">
      <c r="A81" s="2988" t="s">
        <v>110</v>
      </c>
      <c r="B81" s="2977" t="s">
        <v>2947</v>
      </c>
      <c r="C81" s="2978">
        <v>9.6000000000000002E-2</v>
      </c>
      <c r="D81" s="2989"/>
      <c r="E81" s="2978">
        <v>9.8000000000000004E-2</v>
      </c>
      <c r="F81" s="2989"/>
      <c r="G81" s="2990"/>
    </row>
    <row r="82" spans="1:7">
      <c r="A82" s="2988" t="s">
        <v>110</v>
      </c>
      <c r="B82" s="2977" t="s">
        <v>2954</v>
      </c>
      <c r="C82" s="2994"/>
      <c r="D82" s="2989"/>
      <c r="E82" s="2978">
        <v>7.6999999999999999E-2</v>
      </c>
      <c r="F82" s="2989"/>
      <c r="G82" s="2990"/>
    </row>
    <row r="83" spans="1:7">
      <c r="A83" s="2988" t="s">
        <v>110</v>
      </c>
      <c r="B83" s="2977" t="s">
        <v>2960</v>
      </c>
      <c r="C83" s="2989"/>
      <c r="D83" s="2989"/>
      <c r="E83" s="2989"/>
      <c r="F83" s="2978">
        <v>0.1</v>
      </c>
      <c r="G83" s="2995"/>
    </row>
    <row r="84" spans="1:7">
      <c r="A84" s="2988" t="s">
        <v>110</v>
      </c>
      <c r="B84" s="2977" t="s">
        <v>2967</v>
      </c>
      <c r="C84" s="2989"/>
      <c r="D84" s="2989"/>
      <c r="E84" s="2989"/>
      <c r="F84" s="2978">
        <v>0.1</v>
      </c>
      <c r="G84" s="2995"/>
    </row>
    <row r="85" spans="1:7">
      <c r="A85" s="2988" t="s">
        <v>110</v>
      </c>
      <c r="B85" s="2977" t="s">
        <v>2974</v>
      </c>
      <c r="C85" s="2989"/>
      <c r="D85" s="2989"/>
      <c r="E85" s="2989"/>
      <c r="F85" s="2978">
        <v>0.1</v>
      </c>
      <c r="G85" s="2995"/>
    </row>
    <row r="86" spans="1:7" ht="14.25" thickBot="1">
      <c r="A86" s="2991" t="s">
        <v>110</v>
      </c>
      <c r="B86" s="2981" t="s">
        <v>2979</v>
      </c>
      <c r="C86" s="2982">
        <v>9.8000000000000004E-2</v>
      </c>
      <c r="D86" s="2982">
        <v>9.8000000000000004E-2</v>
      </c>
      <c r="E86" s="2982">
        <v>9.6000000000000002E-2</v>
      </c>
      <c r="F86" s="2992"/>
      <c r="G86" s="2984">
        <v>0.1</v>
      </c>
    </row>
    <row r="87" spans="1:7">
      <c r="A87" s="2987" t="s">
        <v>303</v>
      </c>
      <c r="B87" s="2973" t="s">
        <v>2855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2948</v>
      </c>
      <c r="C113" s="2978">
        <v>0.1</v>
      </c>
      <c r="D113" s="2978">
        <v>0.1</v>
      </c>
      <c r="E113" s="2989"/>
      <c r="F113" s="2989"/>
      <c r="G113" s="2979">
        <v>0.1</v>
      </c>
    </row>
    <row r="114" spans="1:7">
      <c r="A114" s="2988" t="s">
        <v>303</v>
      </c>
      <c r="B114" s="2977" t="s">
        <v>2955</v>
      </c>
      <c r="C114" s="2978">
        <v>9.7000000000000003E-2</v>
      </c>
      <c r="D114" s="2978">
        <v>9.7000000000000003E-2</v>
      </c>
      <c r="E114" s="2989"/>
      <c r="F114" s="2989"/>
      <c r="G114" s="2979">
        <v>9.9000000000000005E-2</v>
      </c>
    </row>
    <row r="115" spans="1:7">
      <c r="A115" s="2988" t="s">
        <v>303</v>
      </c>
      <c r="B115" s="2977" t="s">
        <v>2961</v>
      </c>
      <c r="C115" s="2978">
        <v>0.1</v>
      </c>
      <c r="D115" s="2978">
        <v>0.1</v>
      </c>
      <c r="E115" s="2989"/>
      <c r="F115" s="2989"/>
      <c r="G115" s="2979">
        <v>0.1</v>
      </c>
    </row>
    <row r="116" spans="1:7">
      <c r="A116" s="2988" t="s">
        <v>303</v>
      </c>
      <c r="B116" s="2977" t="s">
        <v>2968</v>
      </c>
      <c r="C116" s="2978">
        <v>0.1</v>
      </c>
      <c r="D116" s="2978">
        <v>0.1</v>
      </c>
      <c r="E116" s="2989"/>
      <c r="F116" s="2989"/>
      <c r="G116" s="2979">
        <v>0.1</v>
      </c>
    </row>
    <row r="117" spans="1:7">
      <c r="A117" s="2988" t="s">
        <v>303</v>
      </c>
      <c r="B117" s="2977" t="s">
        <v>2975</v>
      </c>
      <c r="C117" s="2978">
        <v>9.7000000000000003E-2</v>
      </c>
      <c r="D117" s="2978">
        <v>9.7000000000000003E-2</v>
      </c>
      <c r="E117" s="2989"/>
      <c r="F117" s="2989"/>
      <c r="G117" s="2979">
        <v>9.7000000000000003E-2</v>
      </c>
    </row>
    <row r="118" spans="1:7">
      <c r="A118" s="2988" t="s">
        <v>303</v>
      </c>
      <c r="B118" s="2977" t="s">
        <v>2980</v>
      </c>
      <c r="C118" s="2978">
        <v>0.1</v>
      </c>
      <c r="D118" s="2978">
        <v>0.1</v>
      </c>
      <c r="E118" s="2989"/>
      <c r="F118" s="2989"/>
      <c r="G118" s="2979">
        <v>0.1</v>
      </c>
    </row>
    <row r="119" spans="1:7">
      <c r="A119" s="2988" t="s">
        <v>303</v>
      </c>
      <c r="B119" s="2977" t="s">
        <v>2984</v>
      </c>
      <c r="C119" s="2978">
        <v>5.0999999999999997E-2</v>
      </c>
      <c r="D119" s="2978">
        <v>5.1999999999999998E-2</v>
      </c>
      <c r="E119" s="2989"/>
      <c r="F119" s="2994"/>
      <c r="G119" s="2979">
        <v>0.06</v>
      </c>
    </row>
    <row r="120" spans="1:7">
      <c r="A120" s="2988" t="s">
        <v>303</v>
      </c>
      <c r="B120" s="2977" t="s">
        <v>2988</v>
      </c>
      <c r="C120" s="2989"/>
      <c r="D120" s="2989"/>
      <c r="E120" s="2989"/>
      <c r="F120" s="2978">
        <v>0.1</v>
      </c>
      <c r="G120" s="2995"/>
    </row>
    <row r="121" spans="1:7">
      <c r="A121" s="2988" t="s">
        <v>303</v>
      </c>
      <c r="B121" s="2977" t="s">
        <v>2993</v>
      </c>
      <c r="C121" s="2989"/>
      <c r="D121" s="2989"/>
      <c r="E121" s="2989"/>
      <c r="F121" s="2978">
        <v>0.1</v>
      </c>
      <c r="G121" s="2995"/>
    </row>
    <row r="122" spans="1:7">
      <c r="A122" s="2988" t="s">
        <v>303</v>
      </c>
      <c r="B122" s="2977" t="s">
        <v>2998</v>
      </c>
      <c r="C122" s="2978">
        <v>0.1</v>
      </c>
      <c r="D122" s="2978">
        <v>0.1</v>
      </c>
      <c r="E122" s="2978">
        <v>9.8000000000000004E-2</v>
      </c>
      <c r="F122" s="2978">
        <v>0.1</v>
      </c>
      <c r="G122" s="2979">
        <v>0.1</v>
      </c>
    </row>
    <row r="123" spans="1:7">
      <c r="A123" s="2988" t="s">
        <v>303</v>
      </c>
      <c r="B123" s="2977" t="s">
        <v>3003</v>
      </c>
      <c r="C123" s="2978">
        <v>0.1</v>
      </c>
      <c r="D123" s="2978">
        <v>0.1</v>
      </c>
      <c r="E123" s="2978">
        <v>9.8000000000000004E-2</v>
      </c>
      <c r="F123" s="2978">
        <v>0.1</v>
      </c>
      <c r="G123" s="2979">
        <v>0.1</v>
      </c>
    </row>
    <row r="124" spans="1:7">
      <c r="A124" s="2988" t="s">
        <v>303</v>
      </c>
      <c r="B124" s="2977" t="s">
        <v>3008</v>
      </c>
      <c r="C124" s="2978">
        <v>0.1</v>
      </c>
      <c r="D124" s="2978">
        <v>0.1</v>
      </c>
      <c r="E124" s="2978">
        <v>9.8000000000000004E-2</v>
      </c>
      <c r="F124" s="2994"/>
      <c r="G124" s="2979">
        <v>0.1</v>
      </c>
    </row>
    <row r="125" spans="1:7">
      <c r="A125" s="2988" t="s">
        <v>303</v>
      </c>
      <c r="B125" s="2977" t="s">
        <v>3013</v>
      </c>
      <c r="C125" s="2978">
        <v>9.8000000000000004E-2</v>
      </c>
      <c r="D125" s="2978">
        <v>9.8000000000000004E-2</v>
      </c>
      <c r="E125" s="2978">
        <v>9.6000000000000002E-2</v>
      </c>
      <c r="F125" s="2994"/>
      <c r="G125" s="2979">
        <v>0.1</v>
      </c>
    </row>
    <row r="126" spans="1:7" ht="14.25" thickBot="1">
      <c r="A126" s="2991" t="s">
        <v>303</v>
      </c>
      <c r="B126" s="2981" t="s">
        <v>3179</v>
      </c>
      <c r="C126" s="2982">
        <v>0.1</v>
      </c>
      <c r="D126" s="2982">
        <v>0.1</v>
      </c>
      <c r="E126" s="2982">
        <v>9.8000000000000004E-2</v>
      </c>
      <c r="F126" s="2982">
        <v>0.1</v>
      </c>
      <c r="G126" s="2984">
        <v>0.1</v>
      </c>
    </row>
    <row r="127" spans="1:7">
      <c r="A127" s="2987" t="s">
        <v>29</v>
      </c>
      <c r="B127" s="2973" t="s">
        <v>2856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2926</v>
      </c>
      <c r="C148" s="2978">
        <v>0.13</v>
      </c>
      <c r="D148" s="2978">
        <v>0.13</v>
      </c>
      <c r="E148" s="2978">
        <v>0.13</v>
      </c>
      <c r="F148" s="2989"/>
      <c r="G148" s="2979">
        <v>0.13</v>
      </c>
    </row>
    <row r="149" spans="1:7">
      <c r="A149" s="2988" t="s">
        <v>29</v>
      </c>
      <c r="B149" s="2977" t="s">
        <v>2930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2949</v>
      </c>
      <c r="C153" s="2978">
        <v>0.13</v>
      </c>
      <c r="D153" s="2978">
        <v>0.13</v>
      </c>
      <c r="E153" s="2978">
        <v>0.13</v>
      </c>
      <c r="F153" s="2978">
        <v>0.13</v>
      </c>
      <c r="G153" s="2979">
        <v>0.13</v>
      </c>
    </row>
    <row r="154" spans="1:7">
      <c r="A154" s="2988" t="s">
        <v>29</v>
      </c>
      <c r="B154" s="2977" t="s">
        <v>2956</v>
      </c>
      <c r="C154" s="2978">
        <v>0.121</v>
      </c>
      <c r="D154" s="2978">
        <v>0.121</v>
      </c>
      <c r="E154" s="2978">
        <v>0.105</v>
      </c>
      <c r="F154" s="2978">
        <v>0.121</v>
      </c>
      <c r="G154" s="2979">
        <v>0.123</v>
      </c>
    </row>
    <row r="155" spans="1:7">
      <c r="A155" s="2988" t="s">
        <v>29</v>
      </c>
      <c r="B155" s="2977" t="s">
        <v>2962</v>
      </c>
      <c r="C155" s="2978">
        <v>0.1</v>
      </c>
      <c r="D155" s="2978">
        <v>0.1</v>
      </c>
      <c r="E155" s="2978">
        <v>0.1</v>
      </c>
      <c r="F155" s="2978">
        <v>0.1</v>
      </c>
      <c r="G155" s="2979">
        <v>0.1</v>
      </c>
    </row>
    <row r="156" spans="1:7">
      <c r="A156" s="2988" t="s">
        <v>29</v>
      </c>
      <c r="B156" s="2977" t="s">
        <v>2969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2989</v>
      </c>
      <c r="C160" s="2978">
        <v>0.13</v>
      </c>
      <c r="D160" s="2978">
        <v>0.13</v>
      </c>
      <c r="E160" s="2978">
        <v>0.124</v>
      </c>
      <c r="F160" s="2978">
        <v>0.126</v>
      </c>
      <c r="G160" s="2979">
        <v>0.13</v>
      </c>
    </row>
    <row r="161" spans="1:7">
      <c r="A161" s="2988" t="s">
        <v>29</v>
      </c>
      <c r="B161" s="2977" t="s">
        <v>2994</v>
      </c>
      <c r="C161" s="2978">
        <v>0.13</v>
      </c>
      <c r="D161" s="2978">
        <v>0.13</v>
      </c>
      <c r="E161" s="2978">
        <v>0.124</v>
      </c>
      <c r="F161" s="2978">
        <v>0.127</v>
      </c>
      <c r="G161" s="2979">
        <v>0.13</v>
      </c>
    </row>
    <row r="162" spans="1:7">
      <c r="A162" s="2988" t="s">
        <v>29</v>
      </c>
      <c r="B162" s="2977" t="s">
        <v>2999</v>
      </c>
      <c r="C162" s="2978">
        <v>0.1</v>
      </c>
      <c r="D162" s="2978">
        <v>0.1</v>
      </c>
      <c r="E162" s="2978">
        <v>0.1</v>
      </c>
      <c r="F162" s="2978">
        <v>0.121</v>
      </c>
      <c r="G162" s="2979">
        <v>0.105</v>
      </c>
    </row>
    <row r="163" spans="1:7">
      <c r="A163" s="2988" t="s">
        <v>29</v>
      </c>
      <c r="B163" s="2977" t="s">
        <v>3004</v>
      </c>
      <c r="C163" s="2978">
        <v>0.1</v>
      </c>
      <c r="D163" s="2978">
        <v>0.1</v>
      </c>
      <c r="E163" s="2978">
        <v>0.1</v>
      </c>
      <c r="F163" s="2978">
        <v>0.1</v>
      </c>
      <c r="G163" s="2979">
        <v>0.1</v>
      </c>
    </row>
    <row r="164" spans="1:7">
      <c r="A164" s="2988" t="s">
        <v>29</v>
      </c>
      <c r="B164" s="2977" t="s">
        <v>3009</v>
      </c>
      <c r="C164" s="2994"/>
      <c r="D164" s="2994"/>
      <c r="E164" s="2994"/>
      <c r="F164" s="2978">
        <v>0.1</v>
      </c>
      <c r="G164" s="2990"/>
    </row>
    <row r="165" spans="1:7">
      <c r="A165" s="2988" t="s">
        <v>29</v>
      </c>
      <c r="B165" s="2977" t="s">
        <v>3180</v>
      </c>
      <c r="C165" s="2978">
        <v>0.126</v>
      </c>
      <c r="D165" s="2978">
        <v>0.126</v>
      </c>
      <c r="E165" s="2978">
        <v>0.11899999999999999</v>
      </c>
      <c r="F165" s="2978">
        <v>0.13</v>
      </c>
      <c r="G165" s="2979">
        <v>0.128</v>
      </c>
    </row>
    <row r="166" spans="1:7">
      <c r="A166" s="2988" t="s">
        <v>29</v>
      </c>
      <c r="B166" s="2977" t="s">
        <v>3019</v>
      </c>
      <c r="C166" s="2978">
        <v>0.129</v>
      </c>
      <c r="D166" s="2978">
        <v>0.129</v>
      </c>
      <c r="E166" s="2978">
        <v>0.123</v>
      </c>
      <c r="F166" s="2978">
        <v>0.128</v>
      </c>
      <c r="G166" s="2979">
        <v>0.13</v>
      </c>
    </row>
    <row r="167" spans="1:7">
      <c r="A167" s="2988" t="s">
        <v>29</v>
      </c>
      <c r="B167" s="2977" t="s">
        <v>3023</v>
      </c>
      <c r="C167" s="2978">
        <v>0.125</v>
      </c>
      <c r="D167" s="2978">
        <v>0.125</v>
      </c>
      <c r="E167" s="2978">
        <v>0.11700000000000001</v>
      </c>
      <c r="F167" s="2978">
        <v>0.13</v>
      </c>
      <c r="G167" s="2979">
        <v>0.126</v>
      </c>
    </row>
    <row r="168" spans="1:7">
      <c r="A168" s="2988" t="s">
        <v>29</v>
      </c>
      <c r="B168" s="2977" t="s">
        <v>3028</v>
      </c>
      <c r="C168" s="2978">
        <v>0.128</v>
      </c>
      <c r="D168" s="2978">
        <v>0.128</v>
      </c>
      <c r="E168" s="2978">
        <v>0.123</v>
      </c>
      <c r="F168" s="2989"/>
      <c r="G168" s="2979">
        <v>0.13</v>
      </c>
    </row>
    <row r="169" spans="1:7">
      <c r="A169" s="2988" t="s">
        <v>29</v>
      </c>
      <c r="B169" s="2977" t="s">
        <v>3181</v>
      </c>
      <c r="C169" s="2994"/>
      <c r="D169" s="2994"/>
      <c r="E169" s="2994"/>
      <c r="F169" s="2978">
        <v>0.05</v>
      </c>
      <c r="G169" s="2990"/>
    </row>
    <row r="170" spans="1:7">
      <c r="A170" s="2988" t="s">
        <v>29</v>
      </c>
      <c r="B170" s="2977" t="s">
        <v>3182</v>
      </c>
      <c r="C170" s="2994"/>
      <c r="D170" s="2994"/>
      <c r="E170" s="2994"/>
      <c r="F170" s="2978">
        <v>0.05</v>
      </c>
      <c r="G170" s="2990"/>
    </row>
    <row r="171" spans="1:7">
      <c r="A171" s="2988" t="s">
        <v>29</v>
      </c>
      <c r="B171" s="2977" t="s">
        <v>3183</v>
      </c>
      <c r="C171" s="2994"/>
      <c r="D171" s="2994"/>
      <c r="E171" s="2994"/>
      <c r="F171" s="2978">
        <v>0.05</v>
      </c>
      <c r="G171" s="2995"/>
    </row>
    <row r="172" spans="1:7">
      <c r="A172" s="2988" t="s">
        <v>29</v>
      </c>
      <c r="B172" s="2977" t="s">
        <v>3184</v>
      </c>
      <c r="C172" s="2994"/>
      <c r="D172" s="2994"/>
      <c r="E172" s="2994"/>
      <c r="F172" s="2978">
        <v>0.05</v>
      </c>
      <c r="G172" s="2995"/>
    </row>
    <row r="173" spans="1:7">
      <c r="A173" s="2988" t="s">
        <v>29</v>
      </c>
      <c r="B173" s="2977" t="s">
        <v>3185</v>
      </c>
      <c r="C173" s="2994"/>
      <c r="D173" s="2994"/>
      <c r="E173" s="2994"/>
      <c r="F173" s="2978">
        <v>0.05</v>
      </c>
      <c r="G173" s="2990"/>
    </row>
    <row r="174" spans="1:7">
      <c r="A174" s="2988" t="s">
        <v>29</v>
      </c>
      <c r="B174" s="2977" t="s">
        <v>3186</v>
      </c>
      <c r="C174" s="2994"/>
      <c r="D174" s="2994"/>
      <c r="E174" s="2994"/>
      <c r="F174" s="2978">
        <v>0.05</v>
      </c>
      <c r="G174" s="2990"/>
    </row>
    <row r="175" spans="1:7">
      <c r="A175" s="2988" t="s">
        <v>29</v>
      </c>
      <c r="B175" s="2977" t="s">
        <v>3187</v>
      </c>
      <c r="C175" s="2994"/>
      <c r="D175" s="2994"/>
      <c r="E175" s="2994"/>
      <c r="F175" s="2978">
        <v>0.05</v>
      </c>
      <c r="G175" s="2990"/>
    </row>
    <row r="176" spans="1:7">
      <c r="A176" s="2988" t="s">
        <v>29</v>
      </c>
      <c r="B176" s="2977" t="s">
        <v>3188</v>
      </c>
      <c r="C176" s="2994"/>
      <c r="D176" s="2994"/>
      <c r="E176" s="2994"/>
      <c r="F176" s="2978">
        <v>0.05</v>
      </c>
      <c r="G176" s="2990"/>
    </row>
    <row r="177" spans="1:7">
      <c r="A177" s="2988" t="s">
        <v>29</v>
      </c>
      <c r="B177" s="2977" t="s">
        <v>3189</v>
      </c>
      <c r="C177" s="2989"/>
      <c r="D177" s="2989"/>
      <c r="E177" s="2989"/>
      <c r="F177" s="2978">
        <v>0.05</v>
      </c>
      <c r="G177" s="2995"/>
    </row>
    <row r="178" spans="1:7">
      <c r="A178" s="2988" t="s">
        <v>29</v>
      </c>
      <c r="B178" s="2977" t="s">
        <v>3190</v>
      </c>
      <c r="C178" s="2989"/>
      <c r="D178" s="2989"/>
      <c r="E178" s="2989"/>
      <c r="F178" s="2978">
        <v>0.05</v>
      </c>
      <c r="G178" s="2995"/>
    </row>
    <row r="179" spans="1:7">
      <c r="A179" s="2988" t="s">
        <v>29</v>
      </c>
      <c r="B179" s="2977" t="s">
        <v>3191</v>
      </c>
      <c r="C179" s="2989"/>
      <c r="D179" s="2989"/>
      <c r="E179" s="2989"/>
      <c r="F179" s="2978">
        <v>0.05</v>
      </c>
      <c r="G179" s="2995"/>
    </row>
    <row r="180" spans="1:7">
      <c r="A180" s="2988" t="s">
        <v>29</v>
      </c>
      <c r="B180" s="2977" t="s">
        <v>3192</v>
      </c>
      <c r="C180" s="2989"/>
      <c r="D180" s="2989"/>
      <c r="E180" s="2989"/>
      <c r="F180" s="2978">
        <v>0.05</v>
      </c>
      <c r="G180" s="2995"/>
    </row>
    <row r="181" spans="1:7">
      <c r="A181" s="2988" t="s">
        <v>29</v>
      </c>
      <c r="B181" s="2977" t="s">
        <v>3193</v>
      </c>
      <c r="C181" s="2989"/>
      <c r="D181" s="2989"/>
      <c r="E181" s="2989"/>
      <c r="F181" s="2978">
        <v>0.05</v>
      </c>
      <c r="G181" s="2995"/>
    </row>
    <row r="182" spans="1:7">
      <c r="A182" s="2988" t="s">
        <v>29</v>
      </c>
      <c r="B182" s="2977" t="s">
        <v>3194</v>
      </c>
      <c r="C182" s="2989"/>
      <c r="D182" s="2989"/>
      <c r="E182" s="2989"/>
      <c r="F182" s="2978">
        <v>0.05</v>
      </c>
      <c r="G182" s="2995"/>
    </row>
    <row r="183" spans="1:7">
      <c r="A183" s="2988" t="s">
        <v>29</v>
      </c>
      <c r="B183" s="2977" t="s">
        <v>3195</v>
      </c>
      <c r="C183" s="2989"/>
      <c r="D183" s="2989"/>
      <c r="E183" s="2989"/>
      <c r="F183" s="2978">
        <v>0.05</v>
      </c>
      <c r="G183" s="2995"/>
    </row>
    <row r="184" spans="1:7">
      <c r="A184" s="2988" t="s">
        <v>29</v>
      </c>
      <c r="B184" s="2977" t="s">
        <v>3196</v>
      </c>
      <c r="C184" s="2989"/>
      <c r="D184" s="2989"/>
      <c r="E184" s="2989"/>
      <c r="F184" s="2978">
        <v>0.05</v>
      </c>
      <c r="G184" s="2995"/>
    </row>
    <row r="185" spans="1:7">
      <c r="A185" s="2988" t="s">
        <v>29</v>
      </c>
      <c r="B185" s="2977" t="s">
        <v>3197</v>
      </c>
      <c r="C185" s="2989"/>
      <c r="D185" s="2989"/>
      <c r="E185" s="2989"/>
      <c r="F185" s="2978">
        <v>0.05</v>
      </c>
      <c r="G185" s="2995"/>
    </row>
    <row r="186" spans="1:7">
      <c r="A186" s="2988" t="s">
        <v>29</v>
      </c>
      <c r="B186" s="2977" t="s">
        <v>3198</v>
      </c>
      <c r="C186" s="2989"/>
      <c r="D186" s="2989"/>
      <c r="E186" s="2989"/>
      <c r="F186" s="2978">
        <v>0.05</v>
      </c>
      <c r="G186" s="2995"/>
    </row>
    <row r="187" spans="1:7">
      <c r="A187" s="2988" t="s">
        <v>29</v>
      </c>
      <c r="B187" s="2977" t="s">
        <v>3199</v>
      </c>
      <c r="C187" s="2989"/>
      <c r="D187" s="2989"/>
      <c r="E187" s="2989"/>
      <c r="F187" s="2978">
        <v>0.05</v>
      </c>
      <c r="G187" s="2995"/>
    </row>
    <row r="188" spans="1:7">
      <c r="A188" s="2988" t="s">
        <v>29</v>
      </c>
      <c r="B188" s="2977" t="s">
        <v>3200</v>
      </c>
      <c r="C188" s="2989"/>
      <c r="D188" s="2989"/>
      <c r="E188" s="2989"/>
      <c r="F188" s="2978">
        <v>0.05</v>
      </c>
      <c r="G188" s="2995"/>
    </row>
    <row r="189" spans="1:7" ht="14.25" thickBot="1">
      <c r="A189" s="2991" t="s">
        <v>29</v>
      </c>
      <c r="B189" s="2981" t="s">
        <v>3201</v>
      </c>
      <c r="C189" s="2983"/>
      <c r="D189" s="2983"/>
      <c r="E189" s="2983"/>
      <c r="F189" s="2982">
        <v>0.05</v>
      </c>
      <c r="G189" s="2996"/>
    </row>
    <row r="190" spans="1:7">
      <c r="A190" s="2987" t="s">
        <v>304</v>
      </c>
      <c r="B190" s="2973" t="s">
        <v>2857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2893</v>
      </c>
      <c r="C199" s="2978">
        <v>0.13</v>
      </c>
      <c r="D199" s="2978">
        <v>0.13</v>
      </c>
      <c r="E199" s="2978">
        <v>0.13</v>
      </c>
      <c r="F199" s="2978">
        <v>0.13</v>
      </c>
      <c r="G199" s="2979">
        <v>0.13</v>
      </c>
    </row>
    <row r="200" spans="1:7">
      <c r="A200" s="2988" t="s">
        <v>304</v>
      </c>
      <c r="B200" s="2977" t="s">
        <v>2896</v>
      </c>
      <c r="C200" s="2994"/>
      <c r="D200" s="2994"/>
      <c r="E200" s="2994"/>
      <c r="F200" s="2978">
        <v>0.13</v>
      </c>
      <c r="G200" s="2990"/>
    </row>
    <row r="201" spans="1:7">
      <c r="A201" s="2988" t="s">
        <v>304</v>
      </c>
      <c r="B201" s="2977" t="s">
        <v>2901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2904</v>
      </c>
      <c r="C203" s="2978">
        <v>0.129</v>
      </c>
      <c r="D203" s="2978">
        <v>0.129</v>
      </c>
      <c r="E203" s="2978">
        <v>0.13</v>
      </c>
      <c r="F203" s="2978">
        <v>0.13</v>
      </c>
      <c r="G203" s="2979">
        <v>0.13</v>
      </c>
    </row>
    <row r="204" spans="1:7">
      <c r="A204" s="2988" t="s">
        <v>304</v>
      </c>
      <c r="B204" s="2977" t="s">
        <v>2907</v>
      </c>
      <c r="C204" s="2978">
        <v>0.129</v>
      </c>
      <c r="D204" s="2978">
        <v>0.129</v>
      </c>
      <c r="E204" s="2978">
        <v>0.123</v>
      </c>
      <c r="F204" s="2978">
        <v>0.13</v>
      </c>
      <c r="G204" s="2979">
        <v>0.13</v>
      </c>
    </row>
    <row r="205" spans="1:7">
      <c r="A205" s="2988" t="s">
        <v>304</v>
      </c>
      <c r="B205" s="2977" t="s">
        <v>2909</v>
      </c>
      <c r="C205" s="2978">
        <v>0.13</v>
      </c>
      <c r="D205" s="2978">
        <v>0.13</v>
      </c>
      <c r="E205" s="2978">
        <v>0.13</v>
      </c>
      <c r="F205" s="2978">
        <v>0.13</v>
      </c>
      <c r="G205" s="2979">
        <v>0.13</v>
      </c>
    </row>
    <row r="206" spans="1:7">
      <c r="A206" s="2988" t="s">
        <v>304</v>
      </c>
      <c r="B206" s="2977" t="s">
        <v>2912</v>
      </c>
      <c r="C206" s="2978">
        <v>0.13</v>
      </c>
      <c r="D206" s="2978">
        <v>0.13</v>
      </c>
      <c r="E206" s="2978">
        <v>0.13</v>
      </c>
      <c r="F206" s="2978">
        <v>0.128</v>
      </c>
      <c r="G206" s="2979">
        <v>0.13</v>
      </c>
    </row>
    <row r="207" spans="1:7">
      <c r="A207" s="2988" t="s">
        <v>304</v>
      </c>
      <c r="B207" s="2977" t="s">
        <v>2914</v>
      </c>
      <c r="C207" s="2978">
        <v>0.13</v>
      </c>
      <c r="D207" s="2978">
        <v>0.13</v>
      </c>
      <c r="E207" s="2978">
        <v>0.13</v>
      </c>
      <c r="F207" s="2978">
        <v>0.13</v>
      </c>
      <c r="G207" s="2979">
        <v>0.13</v>
      </c>
    </row>
    <row r="208" spans="1:7">
      <c r="A208" s="2988" t="s">
        <v>304</v>
      </c>
      <c r="B208" s="2977" t="s">
        <v>2917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2924</v>
      </c>
      <c r="C210" s="2978">
        <v>0.121</v>
      </c>
      <c r="D210" s="2978">
        <v>0.121</v>
      </c>
      <c r="E210" s="2978">
        <v>0.125</v>
      </c>
      <c r="F210" s="2978">
        <v>0.13</v>
      </c>
      <c r="G210" s="2979">
        <v>0.123</v>
      </c>
    </row>
    <row r="211" spans="1:7">
      <c r="A211" s="2988" t="s">
        <v>304</v>
      </c>
      <c r="B211" s="2977" t="s">
        <v>2927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2939</v>
      </c>
      <c r="C214" s="2978">
        <v>0.128</v>
      </c>
      <c r="D214" s="2978">
        <v>0.128</v>
      </c>
      <c r="E214" s="2978">
        <v>0.13</v>
      </c>
      <c r="F214" s="2978">
        <v>0.13</v>
      </c>
      <c r="G214" s="2979">
        <v>0.13</v>
      </c>
    </row>
    <row r="215" spans="1:7">
      <c r="A215" s="2988" t="s">
        <v>304</v>
      </c>
      <c r="B215" s="2977" t="s">
        <v>2943</v>
      </c>
      <c r="C215" s="2978">
        <v>0.13</v>
      </c>
      <c r="D215" s="2978">
        <v>0.13</v>
      </c>
      <c r="E215" s="2978">
        <v>0.13</v>
      </c>
      <c r="F215" s="2978">
        <v>0.129</v>
      </c>
      <c r="G215" s="2979">
        <v>0.13</v>
      </c>
    </row>
    <row r="216" spans="1:7">
      <c r="A216" s="2988" t="s">
        <v>304</v>
      </c>
      <c r="B216" s="2977" t="s">
        <v>2950</v>
      </c>
      <c r="C216" s="2978">
        <v>0.13</v>
      </c>
      <c r="D216" s="2978">
        <v>0.13</v>
      </c>
      <c r="E216" s="2978">
        <v>0.13</v>
      </c>
      <c r="F216" s="2978">
        <v>0.13</v>
      </c>
      <c r="G216" s="2979">
        <v>0.13</v>
      </c>
    </row>
    <row r="217" spans="1:7">
      <c r="A217" s="2988" t="s">
        <v>304</v>
      </c>
      <c r="B217" s="2977" t="s">
        <v>2957</v>
      </c>
      <c r="C217" s="2978">
        <v>0.129</v>
      </c>
      <c r="D217" s="2978">
        <v>0.129</v>
      </c>
      <c r="E217" s="2978">
        <v>0.13</v>
      </c>
      <c r="F217" s="2978">
        <v>0.13</v>
      </c>
      <c r="G217" s="2979">
        <v>0.13</v>
      </c>
    </row>
    <row r="218" spans="1:7">
      <c r="A218" s="2988" t="s">
        <v>304</v>
      </c>
      <c r="B218" s="2977" t="s">
        <v>2963</v>
      </c>
      <c r="C218" s="2989"/>
      <c r="D218" s="2989"/>
      <c r="E218" s="2989"/>
      <c r="F218" s="2978">
        <v>0.05</v>
      </c>
      <c r="G218" s="2995"/>
    </row>
    <row r="219" spans="1:7">
      <c r="A219" s="2988" t="s">
        <v>304</v>
      </c>
      <c r="B219" s="2977" t="s">
        <v>2970</v>
      </c>
      <c r="C219" s="2989"/>
      <c r="D219" s="2989"/>
      <c r="E219" s="2989"/>
      <c r="F219" s="2978">
        <v>0.05</v>
      </c>
      <c r="G219" s="2995"/>
    </row>
    <row r="220" spans="1:7">
      <c r="A220" s="2988" t="s">
        <v>304</v>
      </c>
      <c r="B220" s="2977" t="s">
        <v>2976</v>
      </c>
      <c r="C220" s="2989"/>
      <c r="D220" s="2989"/>
      <c r="E220" s="2989"/>
      <c r="F220" s="2978">
        <v>0.05</v>
      </c>
      <c r="G220" s="2995"/>
    </row>
    <row r="221" spans="1:7">
      <c r="A221" s="2988" t="s">
        <v>304</v>
      </c>
      <c r="B221" s="2977" t="s">
        <v>2981</v>
      </c>
      <c r="C221" s="2989"/>
      <c r="D221" s="2989"/>
      <c r="E221" s="2989"/>
      <c r="F221" s="2978">
        <v>0.05</v>
      </c>
      <c r="G221" s="2995"/>
    </row>
    <row r="222" spans="1:7">
      <c r="A222" s="2988" t="s">
        <v>304</v>
      </c>
      <c r="B222" s="2977" t="s">
        <v>2985</v>
      </c>
      <c r="C222" s="2989"/>
      <c r="D222" s="2989"/>
      <c r="E222" s="2989"/>
      <c r="F222" s="2978">
        <v>0.05</v>
      </c>
      <c r="G222" s="2995"/>
    </row>
    <row r="223" spans="1:7">
      <c r="A223" s="2988" t="s">
        <v>304</v>
      </c>
      <c r="B223" s="2977" t="s">
        <v>2990</v>
      </c>
      <c r="C223" s="2989"/>
      <c r="D223" s="2989"/>
      <c r="E223" s="2989"/>
      <c r="F223" s="2978">
        <v>0.05</v>
      </c>
      <c r="G223" s="2995"/>
    </row>
    <row r="224" spans="1:7">
      <c r="A224" s="2988" t="s">
        <v>304</v>
      </c>
      <c r="B224" s="2977" t="s">
        <v>2995</v>
      </c>
      <c r="C224" s="2989"/>
      <c r="D224" s="2989"/>
      <c r="E224" s="2989"/>
      <c r="F224" s="2978">
        <v>0.05</v>
      </c>
      <c r="G224" s="2995"/>
    </row>
    <row r="225" spans="1:7">
      <c r="A225" s="2988" t="s">
        <v>304</v>
      </c>
      <c r="B225" s="2977" t="s">
        <v>3000</v>
      </c>
      <c r="C225" s="2989"/>
      <c r="D225" s="2989"/>
      <c r="E225" s="2989"/>
      <c r="F225" s="2978">
        <v>0.05</v>
      </c>
      <c r="G225" s="2995"/>
    </row>
    <row r="226" spans="1:7">
      <c r="A226" s="2988" t="s">
        <v>304</v>
      </c>
      <c r="B226" s="2977" t="s">
        <v>3202</v>
      </c>
      <c r="C226" s="2989"/>
      <c r="D226" s="2989"/>
      <c r="E226" s="2989"/>
      <c r="F226" s="2978">
        <v>0.05</v>
      </c>
      <c r="G226" s="2995"/>
    </row>
    <row r="227" spans="1:7">
      <c r="A227" s="2988" t="s">
        <v>304</v>
      </c>
      <c r="B227" s="2977" t="s">
        <v>3203</v>
      </c>
      <c r="C227" s="2989"/>
      <c r="D227" s="2989"/>
      <c r="E227" s="2989"/>
      <c r="F227" s="2978">
        <v>0.05</v>
      </c>
      <c r="G227" s="2995"/>
    </row>
    <row r="228" spans="1:7">
      <c r="A228" s="2988" t="s">
        <v>304</v>
      </c>
      <c r="B228" s="2977" t="s">
        <v>3204</v>
      </c>
      <c r="C228" s="2989"/>
      <c r="D228" s="2989"/>
      <c r="E228" s="2989"/>
      <c r="F228" s="2978">
        <v>0.05</v>
      </c>
      <c r="G228" s="2995"/>
    </row>
    <row r="229" spans="1:7">
      <c r="A229" s="2988" t="s">
        <v>304</v>
      </c>
      <c r="B229" s="2977" t="s">
        <v>3205</v>
      </c>
      <c r="C229" s="2989"/>
      <c r="D229" s="2989"/>
      <c r="E229" s="2989"/>
      <c r="F229" s="2978">
        <v>0.05</v>
      </c>
      <c r="G229" s="2995"/>
    </row>
    <row r="230" spans="1:7">
      <c r="A230" s="2988" t="s">
        <v>304</v>
      </c>
      <c r="B230" s="2977" t="s">
        <v>3206</v>
      </c>
      <c r="C230" s="2989"/>
      <c r="D230" s="2989"/>
      <c r="E230" s="2989"/>
      <c r="F230" s="2978">
        <v>0.05</v>
      </c>
      <c r="G230" s="2995"/>
    </row>
    <row r="231" spans="1:7">
      <c r="A231" s="2988" t="s">
        <v>304</v>
      </c>
      <c r="B231" s="2977" t="s">
        <v>3207</v>
      </c>
      <c r="C231" s="2989"/>
      <c r="D231" s="2989"/>
      <c r="E231" s="2989"/>
      <c r="F231" s="2978">
        <v>0.05</v>
      </c>
      <c r="G231" s="2995"/>
    </row>
    <row r="232" spans="1:7">
      <c r="A232" s="2988" t="s">
        <v>304</v>
      </c>
      <c r="B232" s="2977" t="s">
        <v>3208</v>
      </c>
      <c r="C232" s="2989"/>
      <c r="D232" s="2989"/>
      <c r="E232" s="2989"/>
      <c r="F232" s="2978">
        <v>0.05</v>
      </c>
      <c r="G232" s="2995"/>
    </row>
    <row r="233" spans="1:7" ht="14.25" thickBot="1">
      <c r="A233" s="2991" t="s">
        <v>304</v>
      </c>
      <c r="B233" s="2981" t="s">
        <v>3209</v>
      </c>
      <c r="C233" s="2983"/>
      <c r="D233" s="2983"/>
      <c r="E233" s="2983"/>
      <c r="F233" s="2982">
        <v>0.05</v>
      </c>
      <c r="G233" s="2996"/>
    </row>
    <row r="234" spans="1:7">
      <c r="A234" s="2987" t="s">
        <v>305</v>
      </c>
      <c r="B234" s="2973" t="s">
        <v>2858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2878</v>
      </c>
      <c r="C238" s="2978">
        <v>0.14899999999999999</v>
      </c>
      <c r="D238" s="2978">
        <v>0.14899999999999999</v>
      </c>
      <c r="E238" s="2978">
        <v>0.15</v>
      </c>
      <c r="F238" s="2978">
        <v>0.15</v>
      </c>
      <c r="G238" s="2979">
        <v>0.15</v>
      </c>
    </row>
    <row r="239" spans="1:7">
      <c r="A239" s="2988" t="s">
        <v>305</v>
      </c>
      <c r="B239" s="2977" t="s">
        <v>2882</v>
      </c>
      <c r="C239" s="2978">
        <v>0.15</v>
      </c>
      <c r="D239" s="2978">
        <v>0.15</v>
      </c>
      <c r="E239" s="2978">
        <v>0.15</v>
      </c>
      <c r="F239" s="2978">
        <v>0.15</v>
      </c>
      <c r="G239" s="2979">
        <v>0.15</v>
      </c>
    </row>
    <row r="240" spans="1:7">
      <c r="A240" s="2988" t="s">
        <v>305</v>
      </c>
      <c r="B240" s="2977" t="s">
        <v>2887</v>
      </c>
      <c r="C240" s="2978">
        <v>0.15</v>
      </c>
      <c r="D240" s="2978">
        <v>0.15</v>
      </c>
      <c r="E240" s="2978">
        <v>0.15</v>
      </c>
      <c r="F240" s="2978">
        <v>0.15</v>
      </c>
      <c r="G240" s="2979">
        <v>0.15</v>
      </c>
    </row>
    <row r="241" spans="1:7">
      <c r="A241" s="2988" t="s">
        <v>305</v>
      </c>
      <c r="B241" s="2977" t="s">
        <v>2891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2940</v>
      </c>
      <c r="C258" s="2978">
        <v>0.14299999999999999</v>
      </c>
      <c r="D258" s="2978">
        <v>0.14299999999999999</v>
      </c>
      <c r="E258" s="2978">
        <v>0.15</v>
      </c>
      <c r="F258" s="2978">
        <v>0.14799999999999999</v>
      </c>
      <c r="G258" s="2979">
        <v>0.14599999999999999</v>
      </c>
    </row>
    <row r="259" spans="1:7">
      <c r="A259" s="2988" t="s">
        <v>305</v>
      </c>
      <c r="B259" s="2977" t="s">
        <v>2944</v>
      </c>
      <c r="C259" s="2978">
        <v>0.14399999999999999</v>
      </c>
      <c r="D259" s="2978">
        <v>0.14399999999999999</v>
      </c>
      <c r="E259" s="2978">
        <v>0.14899999999999999</v>
      </c>
      <c r="F259" s="2978">
        <v>0.14699999999999999</v>
      </c>
      <c r="G259" s="2979">
        <v>0.14599999999999999</v>
      </c>
    </row>
    <row r="260" spans="1:7">
      <c r="A260" s="2988" t="s">
        <v>305</v>
      </c>
      <c r="B260" s="2977" t="s">
        <v>2951</v>
      </c>
      <c r="C260" s="2978">
        <v>0.109</v>
      </c>
      <c r="D260" s="2978">
        <v>0.111</v>
      </c>
      <c r="E260" s="2978">
        <v>0.13100000000000001</v>
      </c>
      <c r="F260" s="2978">
        <v>0.126</v>
      </c>
      <c r="G260" s="2979">
        <v>0.11899999999999999</v>
      </c>
    </row>
    <row r="261" spans="1:7">
      <c r="A261" s="2988" t="s">
        <v>305</v>
      </c>
      <c r="B261" s="2977" t="s">
        <v>2958</v>
      </c>
      <c r="C261" s="2978">
        <v>0.1</v>
      </c>
      <c r="D261" s="2978">
        <v>0.1</v>
      </c>
      <c r="E261" s="2978">
        <v>0.11799999999999999</v>
      </c>
      <c r="F261" s="2978">
        <v>0.108</v>
      </c>
      <c r="G261" s="2979">
        <v>0.107</v>
      </c>
    </row>
    <row r="262" spans="1:7">
      <c r="A262" s="2988" t="s">
        <v>305</v>
      </c>
      <c r="B262" s="2977" t="s">
        <v>2964</v>
      </c>
      <c r="C262" s="2978">
        <v>0.1</v>
      </c>
      <c r="D262" s="2978">
        <v>0.1</v>
      </c>
      <c r="E262" s="2978">
        <v>0.1</v>
      </c>
      <c r="F262" s="2978">
        <v>0.14099999999999999</v>
      </c>
      <c r="G262" s="2979">
        <v>0.1</v>
      </c>
    </row>
    <row r="263" spans="1:7">
      <c r="A263" s="2988" t="s">
        <v>305</v>
      </c>
      <c r="B263" s="2977" t="s">
        <v>2971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2982</v>
      </c>
      <c r="C265" s="2989"/>
      <c r="D265" s="2989"/>
      <c r="E265" s="2989"/>
      <c r="F265" s="2978">
        <v>0.05</v>
      </c>
      <c r="G265" s="2995"/>
    </row>
    <row r="266" spans="1:7">
      <c r="A266" s="2988" t="s">
        <v>305</v>
      </c>
      <c r="B266" s="2977" t="s">
        <v>2986</v>
      </c>
      <c r="C266" s="2989"/>
      <c r="D266" s="2989"/>
      <c r="E266" s="2989"/>
      <c r="F266" s="2978">
        <v>0.05</v>
      </c>
      <c r="G266" s="2995"/>
    </row>
    <row r="267" spans="1:7">
      <c r="A267" s="2988" t="s">
        <v>305</v>
      </c>
      <c r="B267" s="2977" t="s">
        <v>2991</v>
      </c>
      <c r="C267" s="2989"/>
      <c r="D267" s="2989"/>
      <c r="E267" s="2989"/>
      <c r="F267" s="2978">
        <v>0.05</v>
      </c>
      <c r="G267" s="2995"/>
    </row>
    <row r="268" spans="1:7">
      <c r="A268" s="2988" t="s">
        <v>305</v>
      </c>
      <c r="B268" s="2977" t="s">
        <v>2996</v>
      </c>
      <c r="C268" s="2989"/>
      <c r="D268" s="2989"/>
      <c r="E268" s="2989"/>
      <c r="F268" s="2978">
        <v>0.05</v>
      </c>
      <c r="G268" s="2995"/>
    </row>
    <row r="269" spans="1:7">
      <c r="A269" s="2988" t="s">
        <v>305</v>
      </c>
      <c r="B269" s="2977" t="s">
        <v>3001</v>
      </c>
      <c r="C269" s="2989"/>
      <c r="D269" s="2989"/>
      <c r="E269" s="2989"/>
      <c r="F269" s="2978">
        <v>0.05</v>
      </c>
      <c r="G269" s="2995"/>
    </row>
    <row r="270" spans="1:7">
      <c r="A270" s="2988" t="s">
        <v>305</v>
      </c>
      <c r="B270" s="2977" t="s">
        <v>3006</v>
      </c>
      <c r="C270" s="2989"/>
      <c r="D270" s="2989"/>
      <c r="E270" s="2989"/>
      <c r="F270" s="2978">
        <v>0.05</v>
      </c>
      <c r="G270" s="2995"/>
    </row>
    <row r="271" spans="1:7">
      <c r="A271" s="2988" t="s">
        <v>305</v>
      </c>
      <c r="B271" s="2977" t="s">
        <v>3210</v>
      </c>
      <c r="C271" s="2989"/>
      <c r="D271" s="2989"/>
      <c r="E271" s="2989"/>
      <c r="F271" s="2978">
        <v>0.05</v>
      </c>
      <c r="G271" s="2995"/>
    </row>
    <row r="272" spans="1:7">
      <c r="A272" s="2988" t="s">
        <v>305</v>
      </c>
      <c r="B272" s="2977" t="s">
        <v>3211</v>
      </c>
      <c r="C272" s="2989"/>
      <c r="D272" s="2989"/>
      <c r="E272" s="2989"/>
      <c r="F272" s="2978">
        <v>0.05</v>
      </c>
      <c r="G272" s="2995"/>
    </row>
    <row r="273" spans="1:7">
      <c r="A273" s="2988" t="s">
        <v>305</v>
      </c>
      <c r="B273" s="2977" t="s">
        <v>3212</v>
      </c>
      <c r="C273" s="2989"/>
      <c r="D273" s="2989"/>
      <c r="E273" s="2989"/>
      <c r="F273" s="2978">
        <v>0.05</v>
      </c>
      <c r="G273" s="2995"/>
    </row>
    <row r="274" spans="1:7">
      <c r="A274" s="2988" t="s">
        <v>305</v>
      </c>
      <c r="B274" s="2977" t="s">
        <v>3213</v>
      </c>
      <c r="C274" s="2989"/>
      <c r="D274" s="2989"/>
      <c r="E274" s="2989"/>
      <c r="F274" s="2978">
        <v>0.05</v>
      </c>
      <c r="G274" s="2995"/>
    </row>
    <row r="275" spans="1:7">
      <c r="A275" s="2988" t="s">
        <v>305</v>
      </c>
      <c r="B275" s="2977" t="s">
        <v>3214</v>
      </c>
      <c r="C275" s="2989"/>
      <c r="D275" s="2989"/>
      <c r="E275" s="2989"/>
      <c r="F275" s="2978">
        <v>0.05</v>
      </c>
      <c r="G275" s="2995"/>
    </row>
    <row r="276" spans="1:7" ht="14.25" thickBot="1">
      <c r="A276" s="2991" t="s">
        <v>305</v>
      </c>
      <c r="B276" s="2981" t="s">
        <v>3215</v>
      </c>
      <c r="C276" s="2983"/>
      <c r="D276" s="2983"/>
      <c r="E276" s="2983"/>
      <c r="F276" s="2982">
        <v>0.05</v>
      </c>
      <c r="G276" s="2996"/>
    </row>
    <row r="277" spans="1:7">
      <c r="A277" s="2987" t="s">
        <v>306</v>
      </c>
      <c r="B277" s="2973" t="s">
        <v>2859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2871</v>
      </c>
      <c r="C279" s="2978">
        <v>0.15</v>
      </c>
      <c r="D279" s="2978">
        <v>0.15</v>
      </c>
      <c r="E279" s="2978">
        <v>0.15</v>
      </c>
      <c r="F279" s="2978">
        <v>0.15</v>
      </c>
      <c r="G279" s="2979">
        <v>0.15</v>
      </c>
    </row>
    <row r="280" spans="1:7">
      <c r="A280" s="2988" t="s">
        <v>306</v>
      </c>
      <c r="B280" s="2977" t="s">
        <v>2875</v>
      </c>
      <c r="C280" s="2978">
        <v>0.15</v>
      </c>
      <c r="D280" s="2978">
        <v>0.15</v>
      </c>
      <c r="E280" s="2978">
        <v>0.15</v>
      </c>
      <c r="F280" s="2978">
        <v>0.15</v>
      </c>
      <c r="G280" s="2979">
        <v>0.15</v>
      </c>
    </row>
    <row r="281" spans="1:7">
      <c r="A281" s="2988" t="s">
        <v>306</v>
      </c>
      <c r="B281" s="2977" t="s">
        <v>2879</v>
      </c>
      <c r="C281" s="2978">
        <v>0.15</v>
      </c>
      <c r="D281" s="2978">
        <v>0.15</v>
      </c>
      <c r="E281" s="2978">
        <v>0.15</v>
      </c>
      <c r="F281" s="2978">
        <v>0.15</v>
      </c>
      <c r="G281" s="2979">
        <v>0.15</v>
      </c>
    </row>
    <row r="282" spans="1:7">
      <c r="A282" s="2988" t="s">
        <v>306</v>
      </c>
      <c r="B282" s="2977" t="s">
        <v>2883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2913</v>
      </c>
      <c r="C293" s="2978">
        <v>0.15</v>
      </c>
      <c r="D293" s="2978">
        <v>0.15</v>
      </c>
      <c r="E293" s="2978">
        <v>0.15</v>
      </c>
      <c r="F293" s="2978">
        <v>0.14499999999999999</v>
      </c>
      <c r="G293" s="2979">
        <v>0.15</v>
      </c>
    </row>
    <row r="294" spans="1:7">
      <c r="A294" s="2988" t="s">
        <v>306</v>
      </c>
      <c r="B294" s="2977" t="s">
        <v>2915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2945</v>
      </c>
      <c r="C302" s="2978">
        <v>0.15</v>
      </c>
      <c r="D302" s="2978">
        <v>0.15</v>
      </c>
      <c r="E302" s="2978">
        <v>0.15</v>
      </c>
      <c r="F302" s="2978">
        <v>0.14699999999999999</v>
      </c>
      <c r="G302" s="2979">
        <v>0.15</v>
      </c>
    </row>
    <row r="303" spans="1:7">
      <c r="A303" s="2988" t="s">
        <v>306</v>
      </c>
      <c r="B303" s="2977" t="s">
        <v>2952</v>
      </c>
      <c r="C303" s="2978">
        <v>0.15</v>
      </c>
      <c r="D303" s="2978">
        <v>0.15</v>
      </c>
      <c r="E303" s="2978">
        <v>0.15</v>
      </c>
      <c r="F303" s="2978">
        <v>0.14199999999999999</v>
      </c>
      <c r="G303" s="2979">
        <v>0.15</v>
      </c>
    </row>
    <row r="304" spans="1:7">
      <c r="A304" s="2988" t="s">
        <v>306</v>
      </c>
      <c r="B304" s="2977" t="s">
        <v>2959</v>
      </c>
      <c r="C304" s="2978">
        <v>0.15</v>
      </c>
      <c r="D304" s="2978">
        <v>0.15</v>
      </c>
      <c r="E304" s="2978">
        <v>0.15</v>
      </c>
      <c r="F304" s="2978">
        <v>0.14499999999999999</v>
      </c>
      <c r="G304" s="2979">
        <v>0.15</v>
      </c>
    </row>
    <row r="305" spans="1:7">
      <c r="A305" s="2988" t="s">
        <v>306</v>
      </c>
      <c r="B305" s="2977" t="s">
        <v>2965</v>
      </c>
      <c r="C305" s="2978">
        <v>0.15</v>
      </c>
      <c r="D305" s="2978">
        <v>0.15</v>
      </c>
      <c r="E305" s="2978">
        <v>0.15</v>
      </c>
      <c r="F305" s="2978">
        <v>0.111</v>
      </c>
      <c r="G305" s="2979">
        <v>0.15</v>
      </c>
    </row>
    <row r="306" spans="1:7">
      <c r="A306" s="2988" t="s">
        <v>306</v>
      </c>
      <c r="B306" s="2977" t="s">
        <v>2972</v>
      </c>
      <c r="C306" s="2978">
        <v>0.15</v>
      </c>
      <c r="D306" s="2978">
        <v>0.15</v>
      </c>
      <c r="E306" s="2978">
        <v>0.15</v>
      </c>
      <c r="F306" s="2978">
        <v>0.126</v>
      </c>
      <c r="G306" s="2979">
        <v>0.15</v>
      </c>
    </row>
    <row r="307" spans="1:7">
      <c r="A307" s="2988" t="s">
        <v>306</v>
      </c>
      <c r="B307" s="2977" t="s">
        <v>2977</v>
      </c>
      <c r="C307" s="2978">
        <v>0.15</v>
      </c>
      <c r="D307" s="2978">
        <v>0.15</v>
      </c>
      <c r="E307" s="2978">
        <v>0.15</v>
      </c>
      <c r="F307" s="2978">
        <v>0.12</v>
      </c>
      <c r="G307" s="2979">
        <v>0.15</v>
      </c>
    </row>
    <row r="308" spans="1:7">
      <c r="A308" s="2988" t="s">
        <v>306</v>
      </c>
      <c r="B308" s="2977" t="s">
        <v>2983</v>
      </c>
      <c r="C308" s="2978">
        <v>0.15</v>
      </c>
      <c r="D308" s="2978">
        <v>0.15</v>
      </c>
      <c r="E308" s="2978">
        <v>0.15</v>
      </c>
      <c r="F308" s="2978">
        <v>0.13</v>
      </c>
      <c r="G308" s="2979">
        <v>0.15</v>
      </c>
    </row>
    <row r="309" spans="1:7">
      <c r="A309" s="2988" t="s">
        <v>306</v>
      </c>
      <c r="B309" s="2977" t="s">
        <v>2987</v>
      </c>
      <c r="C309" s="2978">
        <v>0.15</v>
      </c>
      <c r="D309" s="2978">
        <v>0.15</v>
      </c>
      <c r="E309" s="2978">
        <v>0.15</v>
      </c>
      <c r="F309" s="2978">
        <v>0.14099999999999999</v>
      </c>
      <c r="G309" s="2979">
        <v>0.15</v>
      </c>
    </row>
    <row r="310" spans="1:7">
      <c r="A310" s="2988" t="s">
        <v>306</v>
      </c>
      <c r="B310" s="2977" t="s">
        <v>2992</v>
      </c>
      <c r="C310" s="2978">
        <v>0.15</v>
      </c>
      <c r="D310" s="2978">
        <v>0.15</v>
      </c>
      <c r="E310" s="2978">
        <v>0.15</v>
      </c>
      <c r="F310" s="2978">
        <v>0.15</v>
      </c>
      <c r="G310" s="2979">
        <v>0.15</v>
      </c>
    </row>
    <row r="311" spans="1:7">
      <c r="A311" s="2988" t="s">
        <v>306</v>
      </c>
      <c r="B311" s="2977" t="s">
        <v>2997</v>
      </c>
      <c r="C311" s="2978">
        <v>0.13200000000000001</v>
      </c>
      <c r="D311" s="2978">
        <v>0.13300000000000001</v>
      </c>
      <c r="E311" s="2978">
        <v>0.14499999999999999</v>
      </c>
      <c r="F311" s="2978">
        <v>0.14199999999999999</v>
      </c>
      <c r="G311" s="2979">
        <v>0.14000000000000001</v>
      </c>
    </row>
    <row r="312" spans="1:7">
      <c r="A312" s="2988" t="s">
        <v>306</v>
      </c>
      <c r="B312" s="2977" t="s">
        <v>3002</v>
      </c>
      <c r="C312" s="2978">
        <v>0.13800000000000001</v>
      </c>
      <c r="D312" s="2978">
        <v>0.14000000000000001</v>
      </c>
      <c r="E312" s="2978">
        <v>0.14599999999999999</v>
      </c>
      <c r="F312" s="2978">
        <v>0.14899999999999999</v>
      </c>
      <c r="G312" s="2979">
        <v>0.14199999999999999</v>
      </c>
    </row>
    <row r="313" spans="1:7">
      <c r="A313" s="2988" t="s">
        <v>306</v>
      </c>
      <c r="B313" s="2977" t="s">
        <v>3007</v>
      </c>
      <c r="C313" s="2978">
        <v>0.125</v>
      </c>
      <c r="D313" s="2978">
        <v>0.127</v>
      </c>
      <c r="E313" s="2978">
        <v>0.14399999999999999</v>
      </c>
      <c r="F313" s="2978">
        <v>0.115</v>
      </c>
      <c r="G313" s="2979">
        <v>0.13600000000000001</v>
      </c>
    </row>
    <row r="314" spans="1:7">
      <c r="A314" s="2988" t="s">
        <v>306</v>
      </c>
      <c r="B314" s="2977" t="s">
        <v>3216</v>
      </c>
      <c r="C314" s="2994"/>
      <c r="D314" s="2994"/>
      <c r="E314" s="2994"/>
      <c r="F314" s="2978">
        <v>0.05</v>
      </c>
      <c r="G314" s="2995"/>
    </row>
    <row r="315" spans="1:7">
      <c r="A315" s="2988" t="s">
        <v>306</v>
      </c>
      <c r="B315" s="2977" t="s">
        <v>3217</v>
      </c>
      <c r="C315" s="2994"/>
      <c r="D315" s="2994"/>
      <c r="E315" s="2994"/>
      <c r="F315" s="2978">
        <v>0.05</v>
      </c>
      <c r="G315" s="2995"/>
    </row>
    <row r="316" spans="1:7">
      <c r="A316" s="2988" t="s">
        <v>306</v>
      </c>
      <c r="B316" s="2977" t="s">
        <v>3218</v>
      </c>
      <c r="C316" s="2989"/>
      <c r="D316" s="2989"/>
      <c r="E316" s="2989"/>
      <c r="F316" s="2978">
        <v>0.05</v>
      </c>
      <c r="G316" s="2995"/>
    </row>
    <row r="317" spans="1:7">
      <c r="A317" s="2988" t="s">
        <v>306</v>
      </c>
      <c r="B317" s="2977" t="s">
        <v>3219</v>
      </c>
      <c r="C317" s="2989"/>
      <c r="D317" s="2989"/>
      <c r="E317" s="2989"/>
      <c r="F317" s="2978">
        <v>0.05</v>
      </c>
      <c r="G317" s="2995"/>
    </row>
    <row r="318" spans="1:7">
      <c r="A318" s="2988" t="s">
        <v>306</v>
      </c>
      <c r="B318" s="2977" t="s">
        <v>3220</v>
      </c>
      <c r="C318" s="2989"/>
      <c r="D318" s="2989"/>
      <c r="E318" s="2989"/>
      <c r="F318" s="2978">
        <v>0.05</v>
      </c>
      <c r="G318" s="2995"/>
    </row>
    <row r="319" spans="1:7">
      <c r="A319" s="2988" t="s">
        <v>306</v>
      </c>
      <c r="B319" s="2977" t="s">
        <v>3221</v>
      </c>
      <c r="C319" s="2989"/>
      <c r="D319" s="2989"/>
      <c r="E319" s="2989"/>
      <c r="F319" s="2978">
        <v>0.05</v>
      </c>
      <c r="G319" s="2995"/>
    </row>
    <row r="320" spans="1:7">
      <c r="A320" s="2988" t="s">
        <v>306</v>
      </c>
      <c r="B320" s="2977" t="s">
        <v>3222</v>
      </c>
      <c r="C320" s="2989"/>
      <c r="D320" s="2989"/>
      <c r="E320" s="2989"/>
      <c r="F320" s="2978">
        <v>0.05</v>
      </c>
      <c r="G320" s="2995"/>
    </row>
    <row r="321" spans="1:7">
      <c r="A321" s="2988" t="s">
        <v>306</v>
      </c>
      <c r="B321" s="2977" t="s">
        <v>3223</v>
      </c>
      <c r="C321" s="2989"/>
      <c r="D321" s="2989"/>
      <c r="E321" s="2989"/>
      <c r="F321" s="2978">
        <v>0.05</v>
      </c>
      <c r="G321" s="2995"/>
    </row>
    <row r="322" spans="1:7">
      <c r="A322" s="2988" t="s">
        <v>306</v>
      </c>
      <c r="B322" s="2977" t="s">
        <v>3224</v>
      </c>
      <c r="C322" s="2989"/>
      <c r="D322" s="2989"/>
      <c r="E322" s="2989"/>
      <c r="F322" s="2978">
        <v>0.05</v>
      </c>
      <c r="G322" s="2995"/>
    </row>
    <row r="323" spans="1:7">
      <c r="A323" s="2988" t="s">
        <v>306</v>
      </c>
      <c r="B323" s="2977" t="s">
        <v>3225</v>
      </c>
      <c r="C323" s="2989"/>
      <c r="D323" s="2989"/>
      <c r="E323" s="2989"/>
      <c r="F323" s="2978">
        <v>0.05</v>
      </c>
      <c r="G323" s="2995"/>
    </row>
    <row r="324" spans="1:7">
      <c r="A324" s="2988" t="s">
        <v>306</v>
      </c>
      <c r="B324" s="2977" t="s">
        <v>3226</v>
      </c>
      <c r="C324" s="2989"/>
      <c r="D324" s="2989"/>
      <c r="E324" s="2989"/>
      <c r="F324" s="2978">
        <v>0.05</v>
      </c>
      <c r="G324" s="2995"/>
    </row>
    <row r="325" spans="1:7">
      <c r="A325" s="2988" t="s">
        <v>306</v>
      </c>
      <c r="B325" s="2977" t="s">
        <v>3227</v>
      </c>
      <c r="C325" s="2989"/>
      <c r="D325" s="2989"/>
      <c r="E325" s="2989"/>
      <c r="F325" s="2978">
        <v>0.05</v>
      </c>
      <c r="G325" s="2995"/>
    </row>
    <row r="326" spans="1:7" ht="14.25" thickBot="1">
      <c r="A326" s="2991" t="s">
        <v>306</v>
      </c>
      <c r="B326" s="2981" t="s">
        <v>3228</v>
      </c>
      <c r="C326" s="2983"/>
      <c r="D326" s="2983"/>
      <c r="E326" s="2983"/>
      <c r="F326" s="2982">
        <v>0.05</v>
      </c>
      <c r="G326" s="2996"/>
    </row>
    <row r="327" spans="1:7">
      <c r="A327" s="2987" t="s">
        <v>307</v>
      </c>
      <c r="B327" s="2973" t="s">
        <v>2860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2872</v>
      </c>
      <c r="C329" s="2978">
        <v>0.15</v>
      </c>
      <c r="D329" s="2978">
        <v>0.15</v>
      </c>
      <c r="E329" s="2978">
        <v>0.15</v>
      </c>
      <c r="F329" s="2978">
        <v>0.15</v>
      </c>
      <c r="G329" s="2979">
        <v>0.15</v>
      </c>
    </row>
    <row r="330" spans="1:7">
      <c r="A330" s="2988" t="s">
        <v>307</v>
      </c>
      <c r="B330" s="2977" t="s">
        <v>2876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2884</v>
      </c>
      <c r="C332" s="2978">
        <v>0.15</v>
      </c>
      <c r="D332" s="2978">
        <v>0.15</v>
      </c>
      <c r="E332" s="2978">
        <v>0.15</v>
      </c>
      <c r="F332" s="2978">
        <v>0.15</v>
      </c>
      <c r="G332" s="2979">
        <v>0.15</v>
      </c>
    </row>
    <row r="333" spans="1:7">
      <c r="A333" s="2988" t="s">
        <v>307</v>
      </c>
      <c r="B333" s="2977" t="s">
        <v>2888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2894</v>
      </c>
      <c r="C336" s="2978">
        <v>0.15</v>
      </c>
      <c r="D336" s="2978">
        <v>0.15</v>
      </c>
      <c r="E336" s="2978">
        <v>0.15</v>
      </c>
      <c r="F336" s="2978">
        <v>0.14199999999999999</v>
      </c>
      <c r="G336" s="2979">
        <v>0.15</v>
      </c>
    </row>
    <row r="337" spans="1:7">
      <c r="A337" s="2988" t="s">
        <v>307</v>
      </c>
      <c r="B337" s="2977" t="s">
        <v>2899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2919</v>
      </c>
      <c r="C345" s="2978">
        <v>0.15</v>
      </c>
      <c r="D345" s="2978">
        <v>0.15</v>
      </c>
      <c r="E345" s="2978">
        <v>0.15</v>
      </c>
      <c r="F345" s="2978">
        <v>0.13800000000000001</v>
      </c>
      <c r="G345" s="2979">
        <v>0.15</v>
      </c>
    </row>
    <row r="346" spans="1:7">
      <c r="A346" s="2988" t="s">
        <v>307</v>
      </c>
      <c r="B346" s="2977" t="s">
        <v>2921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2928</v>
      </c>
      <c r="C348" s="2978">
        <v>0.15</v>
      </c>
      <c r="D348" s="2978">
        <v>0.15</v>
      </c>
      <c r="E348" s="2978">
        <v>0.15</v>
      </c>
      <c r="F348" s="2978">
        <v>0.14399999999999999</v>
      </c>
      <c r="G348" s="2979">
        <v>0.15</v>
      </c>
    </row>
    <row r="349" spans="1:7">
      <c r="A349" s="2988" t="s">
        <v>307</v>
      </c>
      <c r="B349" s="2977" t="s">
        <v>2933</v>
      </c>
      <c r="C349" s="2978">
        <v>0.15</v>
      </c>
      <c r="D349" s="2978">
        <v>0.15</v>
      </c>
      <c r="E349" s="2978">
        <v>0.15</v>
      </c>
      <c r="F349" s="2978">
        <v>0.15</v>
      </c>
      <c r="G349" s="2979">
        <v>0.15</v>
      </c>
    </row>
    <row r="350" spans="1:7">
      <c r="A350" s="2988" t="s">
        <v>307</v>
      </c>
      <c r="B350" s="2977" t="s">
        <v>2936</v>
      </c>
      <c r="C350" s="2978">
        <v>0.15</v>
      </c>
      <c r="D350" s="2978">
        <v>0.15</v>
      </c>
      <c r="E350" s="2978">
        <v>0.15</v>
      </c>
      <c r="F350" s="2978">
        <v>0.14699999999999999</v>
      </c>
      <c r="G350" s="2979">
        <v>0.15</v>
      </c>
    </row>
    <row r="351" spans="1:7">
      <c r="A351" s="2988" t="s">
        <v>307</v>
      </c>
      <c r="B351" s="2977" t="s">
        <v>2941</v>
      </c>
      <c r="C351" s="2978">
        <v>0.15</v>
      </c>
      <c r="D351" s="2978">
        <v>0.15</v>
      </c>
      <c r="E351" s="2978">
        <v>0.15</v>
      </c>
      <c r="F351" s="2978">
        <v>0.13</v>
      </c>
      <c r="G351" s="2979">
        <v>0.15</v>
      </c>
    </row>
    <row r="352" spans="1:7">
      <c r="A352" s="2988" t="s">
        <v>307</v>
      </c>
      <c r="B352" s="2977" t="s">
        <v>2946</v>
      </c>
      <c r="C352" s="2978">
        <v>0.15</v>
      </c>
      <c r="D352" s="2978">
        <v>0.15</v>
      </c>
      <c r="E352" s="2978">
        <v>0.15</v>
      </c>
      <c r="F352" s="2978">
        <v>0.14599999999999999</v>
      </c>
      <c r="G352" s="2979">
        <v>0.15</v>
      </c>
    </row>
    <row r="353" spans="1:7">
      <c r="A353" s="2988" t="s">
        <v>307</v>
      </c>
      <c r="B353" s="2977" t="s">
        <v>2953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2966</v>
      </c>
      <c r="C355" s="2978">
        <v>0.15</v>
      </c>
      <c r="D355" s="2978">
        <v>0.15</v>
      </c>
      <c r="E355" s="2978">
        <v>0.15</v>
      </c>
      <c r="F355" s="2978">
        <v>0.15</v>
      </c>
      <c r="G355" s="2979">
        <v>0.15</v>
      </c>
    </row>
    <row r="356" spans="1:7">
      <c r="A356" s="2988" t="s">
        <v>307</v>
      </c>
      <c r="B356" s="2977" t="s">
        <v>2973</v>
      </c>
      <c r="C356" s="2978">
        <v>0.15</v>
      </c>
      <c r="D356" s="2978">
        <v>0.15</v>
      </c>
      <c r="E356" s="2978">
        <v>0.15</v>
      </c>
      <c r="F356" s="2978">
        <v>0.15</v>
      </c>
      <c r="G356" s="2979">
        <v>0.15</v>
      </c>
    </row>
    <row r="357" spans="1:7" ht="14.25" thickBot="1">
      <c r="A357" s="2991" t="s">
        <v>307</v>
      </c>
      <c r="B357" s="2981" t="s">
        <v>2978</v>
      </c>
      <c r="C357" s="2982">
        <v>0.126</v>
      </c>
      <c r="D357" s="2982">
        <v>0.127</v>
      </c>
      <c r="E357" s="2982">
        <v>0.14299999999999999</v>
      </c>
      <c r="F357" s="2982">
        <v>0.125</v>
      </c>
      <c r="G357" s="2984">
        <v>0.129</v>
      </c>
    </row>
    <row r="358" spans="1:7">
      <c r="A358" s="2987" t="s">
        <v>2847</v>
      </c>
      <c r="B358" s="2973" t="s">
        <v>2861</v>
      </c>
      <c r="C358" s="2974">
        <v>0.15</v>
      </c>
      <c r="D358" s="2974">
        <v>0.15</v>
      </c>
      <c r="E358" s="2974">
        <v>0.15</v>
      </c>
      <c r="F358" s="2974">
        <v>0.15</v>
      </c>
      <c r="G358" s="2975">
        <v>0.15</v>
      </c>
    </row>
    <row r="359" spans="1:7">
      <c r="A359" s="2988" t="s">
        <v>2847</v>
      </c>
      <c r="B359" s="2977" t="s">
        <v>2867</v>
      </c>
      <c r="C359" s="2978">
        <v>0.1</v>
      </c>
      <c r="D359" s="2978">
        <v>0.1</v>
      </c>
      <c r="E359" s="2978">
        <v>0.1</v>
      </c>
      <c r="F359" s="2978">
        <v>0.1</v>
      </c>
      <c r="G359" s="2979">
        <v>0.1</v>
      </c>
    </row>
    <row r="360" spans="1:7">
      <c r="A360" s="2988" t="s">
        <v>2847</v>
      </c>
      <c r="B360" s="2977" t="s">
        <v>2873</v>
      </c>
      <c r="C360" s="2978">
        <v>0.15</v>
      </c>
      <c r="D360" s="2978">
        <v>0.15</v>
      </c>
      <c r="E360" s="2978">
        <v>0.15</v>
      </c>
      <c r="F360" s="2978">
        <v>0.14899999999999999</v>
      </c>
      <c r="G360" s="2979">
        <v>0.15</v>
      </c>
    </row>
    <row r="361" spans="1:7">
      <c r="A361" s="2988" t="s">
        <v>2847</v>
      </c>
      <c r="B361" s="2977" t="s">
        <v>153</v>
      </c>
      <c r="C361" s="2978">
        <v>0.15</v>
      </c>
      <c r="D361" s="2978">
        <v>0.15</v>
      </c>
      <c r="E361" s="2978">
        <v>0.15</v>
      </c>
      <c r="F361" s="2978">
        <v>0.115</v>
      </c>
      <c r="G361" s="2979">
        <v>0.15</v>
      </c>
    </row>
    <row r="362" spans="1:7">
      <c r="A362" s="2988" t="s">
        <v>2847</v>
      </c>
      <c r="B362" s="2977" t="s">
        <v>2880</v>
      </c>
      <c r="C362" s="2978">
        <v>0.15</v>
      </c>
      <c r="D362" s="2978">
        <v>0.15</v>
      </c>
      <c r="E362" s="2978">
        <v>0.15</v>
      </c>
      <c r="F362" s="2978">
        <v>0.106</v>
      </c>
      <c r="G362" s="2979">
        <v>0.15</v>
      </c>
    </row>
    <row r="363" spans="1:7">
      <c r="A363" s="2988" t="s">
        <v>2847</v>
      </c>
      <c r="B363" s="2977" t="s">
        <v>2885</v>
      </c>
      <c r="C363" s="2978">
        <v>0.15</v>
      </c>
      <c r="D363" s="2978">
        <v>0.15</v>
      </c>
      <c r="E363" s="2978">
        <v>0.15</v>
      </c>
      <c r="F363" s="2978">
        <v>0.14699999999999999</v>
      </c>
      <c r="G363" s="2979">
        <v>0.15</v>
      </c>
    </row>
    <row r="364" spans="1:7">
      <c r="A364" s="2988" t="s">
        <v>2847</v>
      </c>
      <c r="B364" s="2977" t="s">
        <v>2889</v>
      </c>
      <c r="C364" s="2978">
        <v>0.15</v>
      </c>
      <c r="D364" s="2978">
        <v>0.15</v>
      </c>
      <c r="E364" s="2978">
        <v>0.15</v>
      </c>
      <c r="F364" s="2978">
        <v>0.14799999999999999</v>
      </c>
      <c r="G364" s="2979">
        <v>0.15</v>
      </c>
    </row>
    <row r="365" spans="1:7">
      <c r="A365" s="2988" t="s">
        <v>2847</v>
      </c>
      <c r="B365" s="2977" t="s">
        <v>200</v>
      </c>
      <c r="C365" s="2978">
        <v>0.15</v>
      </c>
      <c r="D365" s="2978">
        <v>0.15</v>
      </c>
      <c r="E365" s="2978">
        <v>0.15</v>
      </c>
      <c r="F365" s="2978">
        <v>0.15</v>
      </c>
      <c r="G365" s="2979">
        <v>0.15</v>
      </c>
    </row>
    <row r="366" spans="1:7">
      <c r="A366" s="2988" t="s">
        <v>2847</v>
      </c>
      <c r="B366" s="2977" t="s">
        <v>2892</v>
      </c>
      <c r="C366" s="2978">
        <v>0.15</v>
      </c>
      <c r="D366" s="2978">
        <v>0.15</v>
      </c>
      <c r="E366" s="2978">
        <v>0.15</v>
      </c>
      <c r="F366" s="2978">
        <v>0.15</v>
      </c>
      <c r="G366" s="2979">
        <v>0.15</v>
      </c>
    </row>
    <row r="367" spans="1:7">
      <c r="A367" s="2988" t="s">
        <v>2847</v>
      </c>
      <c r="B367" s="2977" t="s">
        <v>2895</v>
      </c>
      <c r="C367" s="2978">
        <v>0.15</v>
      </c>
      <c r="D367" s="2978">
        <v>0.15</v>
      </c>
      <c r="E367" s="2978">
        <v>0.15</v>
      </c>
      <c r="F367" s="2978">
        <v>0.14699999999999999</v>
      </c>
      <c r="G367" s="2979">
        <v>0.15</v>
      </c>
    </row>
    <row r="368" spans="1:7">
      <c r="A368" s="2988" t="s">
        <v>2847</v>
      </c>
      <c r="B368" s="2977" t="s">
        <v>2900</v>
      </c>
      <c r="C368" s="2978">
        <v>0.15</v>
      </c>
      <c r="D368" s="2978">
        <v>0.15</v>
      </c>
      <c r="E368" s="2978">
        <v>0.15</v>
      </c>
      <c r="F368" s="2978">
        <v>0.13600000000000001</v>
      </c>
      <c r="G368" s="2979">
        <v>0.15</v>
      </c>
    </row>
    <row r="369" spans="1:7">
      <c r="A369" s="2988" t="s">
        <v>2847</v>
      </c>
      <c r="B369" s="2977" t="s">
        <v>214</v>
      </c>
      <c r="C369" s="2978">
        <v>0.15</v>
      </c>
      <c r="D369" s="2978">
        <v>0.15</v>
      </c>
      <c r="E369" s="2978">
        <v>0.15</v>
      </c>
      <c r="F369" s="2978">
        <v>0.14399999999999999</v>
      </c>
      <c r="G369" s="2979">
        <v>0.15</v>
      </c>
    </row>
    <row r="370" spans="1:7">
      <c r="A370" s="2988" t="s">
        <v>2847</v>
      </c>
      <c r="B370" s="2977" t="s">
        <v>221</v>
      </c>
      <c r="C370" s="2978">
        <v>0.15</v>
      </c>
      <c r="D370" s="2978">
        <v>0.15</v>
      </c>
      <c r="E370" s="2978">
        <v>0.15</v>
      </c>
      <c r="F370" s="2978">
        <v>0.14599999999999999</v>
      </c>
      <c r="G370" s="2979">
        <v>0.15</v>
      </c>
    </row>
    <row r="371" spans="1:7">
      <c r="A371" s="2988" t="s">
        <v>2847</v>
      </c>
      <c r="B371" s="2977" t="s">
        <v>229</v>
      </c>
      <c r="C371" s="2978">
        <v>0.15</v>
      </c>
      <c r="D371" s="2978">
        <v>0.15</v>
      </c>
      <c r="E371" s="2978">
        <v>0.15</v>
      </c>
      <c r="F371" s="2978">
        <v>0.12</v>
      </c>
      <c r="G371" s="2979">
        <v>0.15</v>
      </c>
    </row>
    <row r="372" spans="1:7">
      <c r="A372" s="2988" t="s">
        <v>2847</v>
      </c>
      <c r="B372" s="2977" t="s">
        <v>2908</v>
      </c>
      <c r="C372" s="2978">
        <v>0.15</v>
      </c>
      <c r="D372" s="2978">
        <v>0.15</v>
      </c>
      <c r="E372" s="2978">
        <v>0.15</v>
      </c>
      <c r="F372" s="2978">
        <v>0.14299999999999999</v>
      </c>
      <c r="G372" s="2979">
        <v>0.15</v>
      </c>
    </row>
    <row r="373" spans="1:7">
      <c r="A373" s="2988" t="s">
        <v>2847</v>
      </c>
      <c r="B373" s="2977" t="s">
        <v>258</v>
      </c>
      <c r="C373" s="2978">
        <v>0.15</v>
      </c>
      <c r="D373" s="2978">
        <v>0.15</v>
      </c>
      <c r="E373" s="2978">
        <v>0.15</v>
      </c>
      <c r="F373" s="2978">
        <v>0.14599999999999999</v>
      </c>
      <c r="G373" s="2979">
        <v>0.15</v>
      </c>
    </row>
    <row r="374" spans="1:7">
      <c r="A374" s="2988" t="s">
        <v>2847</v>
      </c>
      <c r="B374" s="2977" t="s">
        <v>266</v>
      </c>
      <c r="C374" s="2978">
        <v>0.15</v>
      </c>
      <c r="D374" s="2978">
        <v>0.15</v>
      </c>
      <c r="E374" s="2978">
        <v>0.15</v>
      </c>
      <c r="F374" s="2978">
        <v>0.14399999999999999</v>
      </c>
      <c r="G374" s="2979">
        <v>0.15</v>
      </c>
    </row>
    <row r="375" spans="1:7">
      <c r="A375" s="2988" t="s">
        <v>2847</v>
      </c>
      <c r="B375" s="2977" t="s">
        <v>2916</v>
      </c>
      <c r="C375" s="2978">
        <v>0.15</v>
      </c>
      <c r="D375" s="2978">
        <v>0.15</v>
      </c>
      <c r="E375" s="2978">
        <v>0.15</v>
      </c>
      <c r="F375" s="2978">
        <v>0.13</v>
      </c>
      <c r="G375" s="2979">
        <v>0.15</v>
      </c>
    </row>
    <row r="376" spans="1:7">
      <c r="A376" s="2988" t="s">
        <v>2847</v>
      </c>
      <c r="B376" s="2977" t="s">
        <v>277</v>
      </c>
      <c r="C376" s="2978">
        <v>0.15</v>
      </c>
      <c r="D376" s="2978">
        <v>0.15</v>
      </c>
      <c r="E376" s="2978">
        <v>0.15</v>
      </c>
      <c r="F376" s="2978">
        <v>0.14199999999999999</v>
      </c>
      <c r="G376" s="2979">
        <v>0.15</v>
      </c>
    </row>
    <row r="377" spans="1:7" ht="14.25" thickBot="1">
      <c r="A377" s="2991" t="s">
        <v>2847</v>
      </c>
      <c r="B377" s="2981" t="s">
        <v>2922</v>
      </c>
      <c r="C377" s="2982">
        <v>0.15</v>
      </c>
      <c r="D377" s="2982">
        <v>0.15</v>
      </c>
      <c r="E377" s="2982">
        <v>0.15</v>
      </c>
      <c r="F377" s="2982">
        <v>0.14000000000000001</v>
      </c>
      <c r="G377" s="2984">
        <v>0.15</v>
      </c>
    </row>
    <row r="378" spans="1:7">
      <c r="A378" s="2987" t="s">
        <v>2848</v>
      </c>
      <c r="B378" s="2973" t="s">
        <v>2862</v>
      </c>
      <c r="C378" s="2974">
        <v>0.15</v>
      </c>
      <c r="D378" s="2974">
        <v>0.15</v>
      </c>
      <c r="E378" s="2974">
        <v>0.15</v>
      </c>
      <c r="F378" s="2974">
        <v>0.107</v>
      </c>
      <c r="G378" s="2975">
        <v>0.15</v>
      </c>
    </row>
    <row r="379" spans="1:7">
      <c r="A379" s="2988" t="s">
        <v>2848</v>
      </c>
      <c r="B379" s="2977" t="s">
        <v>2868</v>
      </c>
      <c r="C379" s="2978">
        <v>0.15</v>
      </c>
      <c r="D379" s="2978">
        <v>0.15</v>
      </c>
      <c r="E379" s="2978">
        <v>0.15</v>
      </c>
      <c r="F379" s="2978">
        <v>0.115</v>
      </c>
      <c r="G379" s="2979">
        <v>0.14899999999999999</v>
      </c>
    </row>
    <row r="380" spans="1:7">
      <c r="A380" s="2988" t="s">
        <v>2848</v>
      </c>
      <c r="B380" s="2977" t="s">
        <v>2874</v>
      </c>
      <c r="C380" s="2978">
        <v>0.15</v>
      </c>
      <c r="D380" s="2978">
        <v>0.15</v>
      </c>
      <c r="E380" s="2978">
        <v>0.15</v>
      </c>
      <c r="F380" s="2978">
        <v>0.1</v>
      </c>
      <c r="G380" s="2979">
        <v>0.14799999999999999</v>
      </c>
    </row>
    <row r="381" spans="1:7">
      <c r="A381" s="2988" t="s">
        <v>2848</v>
      </c>
      <c r="B381" s="2977" t="s">
        <v>2877</v>
      </c>
      <c r="C381" s="2978">
        <v>0.15</v>
      </c>
      <c r="D381" s="2978">
        <v>0.15</v>
      </c>
      <c r="E381" s="2978">
        <v>0.15</v>
      </c>
      <c r="F381" s="2978">
        <v>0.126</v>
      </c>
      <c r="G381" s="2979">
        <v>0.15</v>
      </c>
    </row>
    <row r="382" spans="1:7">
      <c r="A382" s="2988" t="s">
        <v>2848</v>
      </c>
      <c r="B382" s="2977" t="s">
        <v>2881</v>
      </c>
      <c r="C382" s="2978">
        <v>0.15</v>
      </c>
      <c r="D382" s="2978">
        <v>0.15</v>
      </c>
      <c r="E382" s="2978">
        <v>0.15</v>
      </c>
      <c r="F382" s="2978">
        <v>0.15</v>
      </c>
      <c r="G382" s="2979">
        <v>0.15</v>
      </c>
    </row>
    <row r="383" spans="1:7">
      <c r="A383" s="2988" t="s">
        <v>2848</v>
      </c>
      <c r="B383" s="2977" t="s">
        <v>2886</v>
      </c>
      <c r="C383" s="2978">
        <v>0.15</v>
      </c>
      <c r="D383" s="2978">
        <v>0.15</v>
      </c>
      <c r="E383" s="2978">
        <v>0.15</v>
      </c>
      <c r="F383" s="2978">
        <v>0.14699999999999999</v>
      </c>
      <c r="G383" s="2979">
        <v>0.15</v>
      </c>
    </row>
    <row r="384" spans="1:7" ht="14.25" thickBot="1">
      <c r="A384" s="2998" t="s">
        <v>2848</v>
      </c>
      <c r="B384" s="2999" t="s">
        <v>2890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04" t="s">
        <v>3229</v>
      </c>
      <c r="B1" s="3504"/>
      <c r="C1" s="3504"/>
      <c r="D1" s="3504"/>
      <c r="E1" s="3504"/>
      <c r="F1" s="3505"/>
    </row>
    <row r="2" spans="1:6">
      <c r="A2" s="3002" t="s">
        <v>3230</v>
      </c>
    </row>
    <row r="3" spans="1:6">
      <c r="A3" s="3002" t="s">
        <v>3231</v>
      </c>
      <c r="F3" s="3003" t="s">
        <v>3232</v>
      </c>
    </row>
    <row r="4" spans="1:6">
      <c r="A4" s="3004" t="s">
        <v>671</v>
      </c>
      <c r="B4" s="3004" t="s">
        <v>672</v>
      </c>
      <c r="C4" s="3004" t="s">
        <v>21</v>
      </c>
      <c r="D4" s="3004" t="s">
        <v>673</v>
      </c>
      <c r="E4" s="3004" t="s">
        <v>3</v>
      </c>
      <c r="F4" s="3004" t="s">
        <v>3233</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40" sqref="E31:F40"/>
    </sheetView>
  </sheetViews>
  <sheetFormatPr defaultRowHeight="13.5"/>
  <cols>
    <col min="1" max="1" width="13.875" customWidth="1"/>
    <col min="11" max="17" width="0" hidden="1" customWidth="1"/>
    <col min="25" max="30" width="0" hidden="1" customWidth="1"/>
  </cols>
  <sheetData>
    <row r="1" spans="1:30">
      <c r="A1" s="2937">
        <f>基准地价修正!G23</f>
        <v>45604</v>
      </c>
      <c r="B1" s="2929" t="s">
        <v>3379</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30" s="2009" customFormat="1" ht="14.25" thickBot="1">
      <c r="B2" s="2881"/>
      <c r="C2" s="2882"/>
      <c r="D2" s="2010" t="s">
        <v>2807</v>
      </c>
      <c r="E2" s="2011" t="s">
        <v>2808</v>
      </c>
      <c r="F2" s="2011" t="s">
        <v>2809</v>
      </c>
      <c r="G2" s="2011" t="s">
        <v>2810</v>
      </c>
      <c r="H2" s="2011" t="s">
        <v>2811</v>
      </c>
      <c r="I2" s="2011" t="s">
        <v>2628</v>
      </c>
      <c r="J2" s="2883"/>
      <c r="K2" s="2010" t="s">
        <v>2807</v>
      </c>
      <c r="L2" s="2011" t="s">
        <v>2808</v>
      </c>
      <c r="M2" s="2011" t="s">
        <v>2809</v>
      </c>
      <c r="N2" s="2011" t="s">
        <v>2810</v>
      </c>
      <c r="O2" s="2011" t="s">
        <v>2812</v>
      </c>
      <c r="P2" s="2011" t="s">
        <v>2628</v>
      </c>
      <c r="Q2" s="2883"/>
      <c r="R2" s="2010" t="s">
        <v>2807</v>
      </c>
      <c r="S2" s="2011" t="s">
        <v>2808</v>
      </c>
      <c r="T2" s="2011" t="s">
        <v>2809</v>
      </c>
      <c r="U2" s="2011" t="s">
        <v>2813</v>
      </c>
      <c r="V2" s="2011" t="s">
        <v>2814</v>
      </c>
      <c r="W2" s="2011" t="s">
        <v>2628</v>
      </c>
      <c r="X2" s="2883"/>
      <c r="Y2" s="2010" t="s">
        <v>2807</v>
      </c>
      <c r="Z2" s="2011" t="s">
        <v>2808</v>
      </c>
      <c r="AA2" s="2011" t="s">
        <v>2809</v>
      </c>
      <c r="AB2" s="2011" t="s">
        <v>2815</v>
      </c>
      <c r="AC2" s="2011" t="s">
        <v>2814</v>
      </c>
      <c r="AD2" s="2011" t="s">
        <v>2628</v>
      </c>
    </row>
    <row r="3" spans="1:30" s="2886" customFormat="1" ht="12.75">
      <c r="A3" s="2884" t="s">
        <v>2816</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3375</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3384</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3383</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3372</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3368</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3367</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3365</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3364</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3363</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3361</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3352</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2817</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2818</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2819</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2820</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2821</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3382</v>
      </c>
    </row>
    <row r="24" spans="1:30">
      <c r="I24" s="1404" t="s">
        <v>2822</v>
      </c>
    </row>
    <row r="26" spans="1:30" s="2008" customFormat="1" ht="12.75">
      <c r="B26" s="2929" t="s">
        <v>3380</v>
      </c>
      <c r="C26" s="2930"/>
      <c r="D26" s="2930"/>
      <c r="E26" s="2930"/>
      <c r="F26" s="2930"/>
      <c r="G26" s="2930"/>
      <c r="H26" s="2930"/>
      <c r="I26" s="2930"/>
      <c r="J26" s="2896"/>
      <c r="K26" s="2930" t="s">
        <v>2823</v>
      </c>
      <c r="L26" s="2930"/>
      <c r="M26" s="2930"/>
      <c r="N26" s="2930"/>
      <c r="O26" s="2930"/>
      <c r="P26" s="2930"/>
      <c r="Q26" s="2896"/>
      <c r="R26" s="3506" t="s">
        <v>2824</v>
      </c>
      <c r="S26" s="3507"/>
      <c r="T26" s="3507"/>
      <c r="U26" s="3507"/>
      <c r="V26" s="3507"/>
      <c r="W26" s="3507"/>
      <c r="X26" s="2896"/>
      <c r="Y26" s="3506" t="s">
        <v>2825</v>
      </c>
      <c r="Z26" s="3507"/>
      <c r="AA26" s="3507"/>
      <c r="AB26" s="3507"/>
      <c r="AC26" s="3507"/>
      <c r="AD26" s="3507"/>
    </row>
    <row r="27" spans="1:30" s="2009" customFormat="1" ht="14.25" thickBot="1">
      <c r="B27" s="2881"/>
      <c r="C27" s="2882"/>
      <c r="D27" s="2010" t="s">
        <v>2826</v>
      </c>
      <c r="E27" s="2011" t="s">
        <v>2827</v>
      </c>
      <c r="F27" s="2011" t="s">
        <v>2828</v>
      </c>
      <c r="G27" s="2011" t="s">
        <v>2829</v>
      </c>
      <c r="H27" s="2011"/>
      <c r="I27" s="2011" t="s">
        <v>2830</v>
      </c>
      <c r="J27" s="2883"/>
      <c r="K27" s="2010" t="s">
        <v>2826</v>
      </c>
      <c r="L27" s="2011" t="s">
        <v>2827</v>
      </c>
      <c r="M27" s="2011" t="s">
        <v>2828</v>
      </c>
      <c r="N27" s="2011" t="s">
        <v>2829</v>
      </c>
      <c r="O27" s="2011"/>
      <c r="P27" s="2011" t="s">
        <v>2830</v>
      </c>
      <c r="Q27" s="2883"/>
      <c r="R27" s="2010" t="s">
        <v>2826</v>
      </c>
      <c r="S27" s="2011" t="s">
        <v>2827</v>
      </c>
      <c r="T27" s="2011" t="s">
        <v>2828</v>
      </c>
      <c r="U27" s="2011" t="s">
        <v>2829</v>
      </c>
      <c r="V27" s="2011"/>
      <c r="W27" s="2011" t="s">
        <v>2830</v>
      </c>
      <c r="X27" s="2883"/>
      <c r="Y27" s="2010" t="s">
        <v>2826</v>
      </c>
      <c r="Z27" s="2011" t="s">
        <v>2827</v>
      </c>
      <c r="AA27" s="2011" t="s">
        <v>2828</v>
      </c>
      <c r="AB27" s="2011" t="s">
        <v>2829</v>
      </c>
      <c r="AC27" s="2011"/>
      <c r="AD27" s="2011" t="s">
        <v>2830</v>
      </c>
    </row>
    <row r="28" spans="1:30" s="2886" customFormat="1" ht="12.75">
      <c r="A28" s="2884" t="s">
        <v>2831</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3375</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3377</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3370</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3371</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3369</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3367</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3366</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3364</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3363</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3362</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3352</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2832</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2833</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2834</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2835</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2821</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2109</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2110</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2125</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2123</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2122</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2121</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2119</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2118</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2120</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2116</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2115</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2108</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2106</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2107</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45604</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2306</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927</v>
      </c>
      <c r="B2" s="3191" t="s">
        <v>928</v>
      </c>
      <c r="C2" s="3191" t="s">
        <v>929</v>
      </c>
      <c r="D2" s="3191" t="str">
        <f>结果表!D116</f>
        <v>出让国有建设用地使用权价值</v>
      </c>
      <c r="E2" s="3191"/>
      <c r="F2" s="3191" t="str">
        <f>结果表!F116</f>
        <v>建筑物价值</v>
      </c>
      <c r="G2" s="3191"/>
      <c r="H2" s="3191" t="str">
        <f>IF(项目基本情况!B9="房地产市场价值","房地产市场价值","房地产价值")</f>
        <v>房地产价值</v>
      </c>
      <c r="I2" s="3191"/>
    </row>
    <row r="3" spans="1:9" ht="15">
      <c r="A3" s="3192"/>
      <c r="B3" s="3192"/>
      <c r="C3" s="3192"/>
      <c r="D3" s="801" t="s">
        <v>924</v>
      </c>
      <c r="E3" s="801" t="s">
        <v>930</v>
      </c>
      <c r="F3" s="801" t="s">
        <v>924</v>
      </c>
      <c r="G3" s="801" t="s">
        <v>925</v>
      </c>
      <c r="H3" s="801" t="s">
        <v>924</v>
      </c>
      <c r="I3" s="801" t="s">
        <v>925</v>
      </c>
    </row>
    <row r="4" spans="1:9" ht="15">
      <c r="A4" s="1402" t="str">
        <f>项目基本情况!S2</f>
        <v>北京市房地产</v>
      </c>
      <c r="B4" s="801">
        <f>项目基本情况!C17</f>
        <v>68049.77999999997</v>
      </c>
      <c r="C4" s="801">
        <f>项目基本情况!C18</f>
        <v>15742.02</v>
      </c>
      <c r="D4" s="801">
        <f ca="1">结果表!D118</f>
        <v>82149</v>
      </c>
      <c r="E4" s="801">
        <f ca="1">结果表!E118</f>
        <v>12072</v>
      </c>
      <c r="F4" s="801">
        <f ca="1">结果表!F118</f>
        <v>45412</v>
      </c>
      <c r="G4" s="801">
        <f ca="1">结果表!G118</f>
        <v>6673</v>
      </c>
      <c r="H4" s="801">
        <f ca="1">结果表!H118</f>
        <v>127561</v>
      </c>
      <c r="I4" s="801">
        <f ca="1">结果表!I118</f>
        <v>18745</v>
      </c>
    </row>
    <row r="5" spans="1:9" ht="30" customHeight="1">
      <c r="A5" s="3192" t="s">
        <v>926</v>
      </c>
      <c r="B5" s="3192"/>
      <c r="C5" s="3192"/>
      <c r="D5" s="3192" t="str">
        <f ca="1">结果表!D119</f>
        <v>捌亿贰仟壹佰肆拾玖万元整</v>
      </c>
      <c r="E5" s="3192"/>
      <c r="F5" s="3192" t="str">
        <f ca="1">结果表!F119</f>
        <v>肆亿伍仟肆佰壹拾贰万元整</v>
      </c>
      <c r="G5" s="3192"/>
      <c r="H5" s="3192" t="str">
        <f ca="1">结果表!H119</f>
        <v>壹拾贰亿柒仟伍佰陆拾壹万元整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926</v>
      </c>
      <c r="B7" s="3192"/>
      <c r="C7" s="3192"/>
      <c r="D7" s="3194" t="str">
        <f>结果表!D121</f>
        <v>零元整</v>
      </c>
      <c r="E7" s="3195"/>
      <c r="F7" s="3195"/>
      <c r="G7" s="3195"/>
      <c r="H7" s="3195"/>
      <c r="I7" s="3196"/>
    </row>
    <row r="8" spans="1:9" ht="15.75">
      <c r="A8" s="3193" t="str">
        <f>结果表!A122</f>
        <v>房地产抵押价值</v>
      </c>
      <c r="B8" s="3193"/>
      <c r="C8" s="3193"/>
      <c r="D8" s="3193">
        <f ca="1">结果表!D122</f>
        <v>127561</v>
      </c>
      <c r="E8" s="3193"/>
      <c r="F8" s="3193"/>
      <c r="G8" s="3193"/>
      <c r="H8" s="3193"/>
      <c r="I8" s="3193"/>
    </row>
    <row r="9" spans="1:9" ht="15">
      <c r="A9" s="3192" t="s">
        <v>926</v>
      </c>
      <c r="B9" s="3192"/>
      <c r="C9" s="3192"/>
      <c r="D9" s="3192" t="str">
        <f ca="1">结果表!D123</f>
        <v>壹拾贰亿柒仟伍佰陆拾壹万元整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926</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926</v>
      </c>
      <c r="B13" s="3197"/>
      <c r="C13" s="3197"/>
      <c r="D13" s="3197" t="e">
        <f>结果表!D127</f>
        <v>#VALUE!</v>
      </c>
      <c r="E13" s="3197"/>
      <c r="F13" s="3197"/>
      <c r="G13" s="3197"/>
      <c r="H13" s="3197"/>
      <c r="I13" s="3197"/>
    </row>
    <row r="14" spans="1:9" ht="15" thickTop="1">
      <c r="A14" s="3198" t="s">
        <v>931</v>
      </c>
      <c r="B14" s="3198"/>
      <c r="C14" s="3198"/>
      <c r="D14" s="3198"/>
      <c r="E14" s="3198"/>
      <c r="F14" s="3198"/>
      <c r="G14" s="3198"/>
      <c r="H14" s="3198"/>
      <c r="I14" s="3198"/>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948</v>
      </c>
      <c r="B1" s="3199"/>
      <c r="C1" s="3199"/>
      <c r="D1" s="3199"/>
    </row>
    <row r="2" spans="1:4" ht="18">
      <c r="A2" s="3200" t="s">
        <v>932</v>
      </c>
      <c r="B2" s="3200"/>
      <c r="C2" s="3200"/>
      <c r="D2" s="3200"/>
    </row>
    <row r="3" spans="1:4" ht="18.75">
      <c r="A3" s="1406" t="s">
        <v>933</v>
      </c>
      <c r="B3" s="1406" t="s">
        <v>934</v>
      </c>
      <c r="C3" s="1406" t="s">
        <v>935</v>
      </c>
      <c r="D3" s="1406" t="s">
        <v>936</v>
      </c>
    </row>
    <row r="4" spans="1:4" ht="56.25" customHeight="1">
      <c r="A4" s="1407" t="str">
        <f>项目基本情况!B4</f>
        <v>吴薇</v>
      </c>
      <c r="B4" s="1408">
        <f ca="1">项目基本情况!C4</f>
        <v>1419970001</v>
      </c>
      <c r="C4" s="1409"/>
      <c r="D4" s="1410" t="s">
        <v>937</v>
      </c>
    </row>
    <row r="5" spans="1:4" ht="56.25" customHeight="1">
      <c r="A5" s="1407" t="str">
        <f>项目基本情况!D4</f>
        <v>郑燚</v>
      </c>
      <c r="B5" s="1408">
        <f ca="1">项目基本情况!E4</f>
        <v>1120070131</v>
      </c>
      <c r="C5" s="1411"/>
      <c r="D5" s="1410" t="s">
        <v>937</v>
      </c>
    </row>
    <row r="6" spans="1:4" ht="18">
      <c r="A6" s="3200" t="s">
        <v>938</v>
      </c>
      <c r="B6" s="3200"/>
      <c r="C6" s="3200"/>
      <c r="D6" s="3200"/>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1" t="s">
        <v>941</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942</v>
      </c>
      <c r="B16" s="3205"/>
      <c r="C16" s="3205"/>
      <c r="D16" s="3205"/>
    </row>
    <row r="17" spans="1:4" ht="144" customHeight="1">
      <c r="A17" s="3205" t="s">
        <v>943</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944</v>
      </c>
      <c r="B22" s="3207"/>
      <c r="C22" s="3207"/>
      <c r="D22" s="3207"/>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3" t="s">
        <v>955</v>
      </c>
      <c r="B15" s="3208" t="s">
        <v>109</v>
      </c>
      <c r="C15" s="3209"/>
    </row>
    <row r="16" spans="1:7" ht="13.5">
      <c r="A16" s="3214"/>
      <c r="B16" s="3208" t="s">
        <v>42</v>
      </c>
      <c r="C16" s="3209"/>
    </row>
    <row r="17" spans="1:3" ht="13.5">
      <c r="A17" s="3214"/>
      <c r="B17" s="3211" t="s">
        <v>956</v>
      </c>
      <c r="C17" s="1428" t="s">
        <v>955</v>
      </c>
    </row>
    <row r="18" spans="1:3" ht="13.5">
      <c r="A18" s="3214"/>
      <c r="B18" s="3211"/>
      <c r="C18" s="1428" t="s">
        <v>957</v>
      </c>
    </row>
    <row r="19" spans="1:3" ht="13.5">
      <c r="A19" s="3214"/>
      <c r="B19" s="3211"/>
      <c r="C19" s="1428" t="s">
        <v>958</v>
      </c>
    </row>
    <row r="20" spans="1:3" ht="13.5">
      <c r="A20" s="3215"/>
      <c r="B20" s="3210" t="s">
        <v>959</v>
      </c>
      <c r="C20" s="3209"/>
    </row>
    <row r="21" spans="1:3" ht="13.5">
      <c r="A21" s="1429" t="s">
        <v>960</v>
      </c>
      <c r="B21" s="1430"/>
      <c r="C21" s="1431"/>
    </row>
    <row r="22" spans="1:3" ht="13.5">
      <c r="A22" s="3212" t="s">
        <v>961</v>
      </c>
      <c r="B22" s="3210" t="s">
        <v>962</v>
      </c>
      <c r="C22" s="3209"/>
    </row>
    <row r="23" spans="1:3" ht="13.5">
      <c r="A23" s="3212"/>
      <c r="B23" s="3210" t="s">
        <v>963</v>
      </c>
      <c r="C23" s="3209"/>
    </row>
    <row r="24" spans="1:3" ht="13.5">
      <c r="A24" s="3212"/>
      <c r="B24" s="3210" t="s">
        <v>964</v>
      </c>
      <c r="C24" s="3209"/>
    </row>
    <row r="25" spans="1:3" ht="13.5">
      <c r="A25" s="3212"/>
      <c r="B25" s="3211" t="s">
        <v>965</v>
      </c>
      <c r="C25" s="1428" t="s">
        <v>966</v>
      </c>
    </row>
    <row r="26" spans="1:3" ht="13.5">
      <c r="A26" s="3212"/>
      <c r="B26" s="3211"/>
      <c r="C26" s="1428" t="s">
        <v>967</v>
      </c>
    </row>
    <row r="27" spans="1:3" ht="13.5">
      <c r="A27" s="3212"/>
      <c r="B27" s="3211"/>
      <c r="C27" s="1428" t="s">
        <v>968</v>
      </c>
    </row>
    <row r="28" spans="1:3" ht="13.5">
      <c r="A28" s="3212"/>
      <c r="B28" s="3211"/>
      <c r="C28" s="1428" t="s">
        <v>969</v>
      </c>
    </row>
    <row r="29" spans="1:3" ht="13.5">
      <c r="A29" s="3212"/>
      <c r="B29" s="3211"/>
      <c r="C29" s="1428" t="s">
        <v>970</v>
      </c>
    </row>
    <row r="30" spans="1:3" ht="13.5">
      <c r="A30" s="3212"/>
      <c r="B30" s="3211"/>
      <c r="C30" s="1428" t="s">
        <v>971</v>
      </c>
    </row>
    <row r="31" spans="1:3" ht="13.5">
      <c r="A31" s="3212"/>
      <c r="B31" s="3211"/>
      <c r="C31" s="1428" t="s">
        <v>972</v>
      </c>
    </row>
    <row r="32" spans="1:3" ht="13.5">
      <c r="A32" s="3212"/>
      <c r="B32" s="3211"/>
      <c r="C32" s="1428" t="s">
        <v>973</v>
      </c>
    </row>
    <row r="33" spans="1:3" ht="13.5">
      <c r="A33" s="3212"/>
      <c r="B33" s="3211"/>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2134</v>
      </c>
      <c r="B2" s="2156">
        <f ca="1">TODAY()</f>
        <v>45614</v>
      </c>
      <c r="C2" s="2157" t="s">
        <v>2135</v>
      </c>
      <c r="D2" s="2157"/>
      <c r="E2" s="2157"/>
      <c r="F2" s="2153"/>
      <c r="G2" s="2153"/>
      <c r="H2" s="2153"/>
    </row>
    <row r="3" spans="1:8" ht="24" customHeight="1">
      <c r="A3" s="2158" t="s">
        <v>2136</v>
      </c>
      <c r="B3" s="1218" t="s">
        <v>2137</v>
      </c>
      <c r="C3" s="1218" t="s">
        <v>2138</v>
      </c>
      <c r="D3" s="2159" t="s">
        <v>2139</v>
      </c>
      <c r="E3" s="2160" t="s">
        <v>2140</v>
      </c>
      <c r="F3" s="1218" t="s">
        <v>2141</v>
      </c>
      <c r="G3" s="1218" t="s">
        <v>2138</v>
      </c>
      <c r="H3" s="2159" t="s">
        <v>2142</v>
      </c>
    </row>
    <row r="4" spans="1:8" ht="24" customHeight="1">
      <c r="A4" s="1218" t="s">
        <v>2143</v>
      </c>
      <c r="B4" s="1218">
        <f ca="1">IF(C4&lt;B2,"已过期",1119970066)</f>
        <v>1119970066</v>
      </c>
      <c r="C4" s="2161">
        <v>45937</v>
      </c>
      <c r="D4" s="2162" t="str">
        <f ca="1">A4&amp;"（注册号："&amp;B4&amp;"）"</f>
        <v>梁津（注册号：1119970066）</v>
      </c>
      <c r="E4" s="2163" t="s">
        <v>2143</v>
      </c>
      <c r="F4" s="1218">
        <f ca="1">IF(G4&lt;B2,"已过期",96010014)</f>
        <v>96010014</v>
      </c>
      <c r="G4" s="2164">
        <v>47118</v>
      </c>
      <c r="H4" s="2165" t="str">
        <f ca="1">E4&amp;"（注册号："&amp;F4&amp;"）"</f>
        <v>梁津（注册号：96010014）</v>
      </c>
    </row>
    <row r="5" spans="1:8" ht="24" customHeight="1">
      <c r="A5" s="1218" t="s">
        <v>2144</v>
      </c>
      <c r="B5" s="1218">
        <f ca="1">IF(C5&lt;B2,"已过期",1119970111)</f>
        <v>1119970111</v>
      </c>
      <c r="C5" s="2161">
        <v>45937</v>
      </c>
      <c r="D5" s="2162" t="str">
        <f t="shared" ref="D5:D15" ca="1" si="0">A5&amp;"（注册号："&amp;B5&amp;"）"</f>
        <v>叶凌（注册号：1119970111）</v>
      </c>
      <c r="E5" s="2163" t="s">
        <v>2144</v>
      </c>
      <c r="F5" s="1218">
        <f ca="1">IF(G5&lt;B2,"已过期",94010078)</f>
        <v>94010078</v>
      </c>
      <c r="G5" s="2164">
        <v>46387</v>
      </c>
      <c r="H5" s="2165" t="str">
        <f t="shared" ref="H5:H16" ca="1" si="1">E5&amp;"（注册号："&amp;F5&amp;"）"</f>
        <v>叶凌（注册号：94010078）</v>
      </c>
    </row>
    <row r="6" spans="1:8" ht="24" customHeight="1">
      <c r="A6" s="1218" t="s">
        <v>2145</v>
      </c>
      <c r="B6" s="1218" t="str">
        <f ca="1">IF(C6&lt;B2,"已过期",1120050019)</f>
        <v>已过期</v>
      </c>
      <c r="C6" s="2161">
        <v>45410</v>
      </c>
      <c r="D6" s="2162" t="str">
        <f t="shared" ca="1" si="0"/>
        <v>王鹏（注册号：已过期）</v>
      </c>
      <c r="E6" s="2163" t="s">
        <v>2145</v>
      </c>
      <c r="F6" s="1218">
        <f ca="1">IF(G6&lt;B2,"已过期",2002110030)</f>
        <v>2002110030</v>
      </c>
      <c r="G6" s="2164">
        <v>46387</v>
      </c>
      <c r="H6" s="2165" t="str">
        <f t="shared" ca="1" si="1"/>
        <v>王鹏（注册号：2002110030）</v>
      </c>
    </row>
    <row r="7" spans="1:8" ht="24" customHeight="1">
      <c r="A7" s="1218" t="s">
        <v>2146</v>
      </c>
      <c r="B7" s="1218">
        <f ca="1">IF(C7&lt;B2,"已过期",1120000080)</f>
        <v>1120000080</v>
      </c>
      <c r="C7" s="2161">
        <v>45937</v>
      </c>
      <c r="D7" s="2162" t="str">
        <f t="shared" ca="1" si="0"/>
        <v>欧红伟（注册号：1120000080）</v>
      </c>
      <c r="E7" s="2163" t="s">
        <v>2146</v>
      </c>
      <c r="F7" s="1218">
        <f ca="1">IF(G7&lt;B2,"已过期",2000110082)</f>
        <v>2000110082</v>
      </c>
      <c r="G7" s="2164">
        <v>46387</v>
      </c>
      <c r="H7" s="2165" t="str">
        <f t="shared" ca="1" si="1"/>
        <v>欧红伟（注册号：2000110082）</v>
      </c>
    </row>
    <row r="8" spans="1:8" ht="24" customHeight="1">
      <c r="A8" s="1218" t="s">
        <v>2147</v>
      </c>
      <c r="B8" s="1218">
        <f ca="1">IF(C8&lt;B2,"已过期",1419970001)</f>
        <v>1419970001</v>
      </c>
      <c r="C8" s="2161">
        <v>45937</v>
      </c>
      <c r="D8" s="2162" t="str">
        <f t="shared" ca="1" si="0"/>
        <v>吴薇（注册号：1419970001）</v>
      </c>
      <c r="E8" s="2163" t="s">
        <v>2147</v>
      </c>
      <c r="F8" s="1218">
        <f ca="1">IF(G8&lt;B2,"已过期",2002110125)</f>
        <v>2002110125</v>
      </c>
      <c r="G8" s="2164">
        <v>47118</v>
      </c>
      <c r="H8" s="2165" t="str">
        <f t="shared" ca="1" si="1"/>
        <v>吴薇（注册号：2002110125）</v>
      </c>
    </row>
    <row r="9" spans="1:8" ht="24" customHeight="1">
      <c r="A9" s="1218" t="s">
        <v>2148</v>
      </c>
      <c r="B9" s="1218" t="str">
        <f ca="1">IF(C9&lt;B2,"已过期",1120060040)</f>
        <v>已过期</v>
      </c>
      <c r="C9" s="2166">
        <v>45592</v>
      </c>
      <c r="D9" s="2162" t="str">
        <f t="shared" ca="1" si="0"/>
        <v>陈颖（注册号：已过期）</v>
      </c>
      <c r="E9" s="2163" t="s">
        <v>2148</v>
      </c>
      <c r="F9" s="1218">
        <f ca="1">IF(G9&lt;B2,"已过期",2004110096)</f>
        <v>2004110096</v>
      </c>
      <c r="G9" s="2164">
        <v>47118</v>
      </c>
      <c r="H9" s="2165" t="str">
        <f t="shared" ca="1" si="1"/>
        <v>陈颖（注册号：2004110096）</v>
      </c>
    </row>
    <row r="10" spans="1:8" ht="24" customHeight="1">
      <c r="A10" s="1218" t="s">
        <v>2149</v>
      </c>
      <c r="B10" s="1218">
        <f ca="1">IF(C10&lt;B2,"已过期",1120100036)</f>
        <v>1120100036</v>
      </c>
      <c r="C10" s="2166">
        <v>45752</v>
      </c>
      <c r="D10" s="2162" t="str">
        <f t="shared" ca="1" si="0"/>
        <v>崔锴（注册号：1120100036）</v>
      </c>
      <c r="E10" s="2163" t="s">
        <v>2149</v>
      </c>
      <c r="F10" s="1218">
        <f ca="1">IF(G10&lt;B2,"已过期",2010110070)</f>
        <v>2010110070</v>
      </c>
      <c r="G10" s="2164">
        <v>47907</v>
      </c>
      <c r="H10" s="2165" t="str">
        <f t="shared" ca="1" si="1"/>
        <v>崔锴（注册号：2010110070）</v>
      </c>
    </row>
    <row r="11" spans="1:8" ht="24" customHeight="1">
      <c r="A11" s="1218" t="s">
        <v>2150</v>
      </c>
      <c r="B11" s="1218">
        <f ca="1">IF(C11&lt;B2,"已过期",1120070131)</f>
        <v>1120070131</v>
      </c>
      <c r="C11" s="2161">
        <v>45937</v>
      </c>
      <c r="D11" s="2162" t="str">
        <f t="shared" ca="1" si="0"/>
        <v>郑燚（注册号：1120070131）</v>
      </c>
      <c r="E11" s="2163" t="s">
        <v>2150</v>
      </c>
      <c r="F11" s="1218">
        <f ca="1">IF(G11&lt;B2,"已过期",2014110011)</f>
        <v>2014110011</v>
      </c>
      <c r="G11" s="2164">
        <v>49302</v>
      </c>
      <c r="H11" s="2165" t="str">
        <f t="shared" ca="1" si="1"/>
        <v>郑燚（注册号：2014110011）</v>
      </c>
    </row>
    <row r="12" spans="1:8" ht="24" customHeight="1">
      <c r="A12" s="1218" t="s">
        <v>2151</v>
      </c>
      <c r="B12" s="1218">
        <f ca="1">IF(C12&lt;B2,"已过期",1120040230)</f>
        <v>1120040230</v>
      </c>
      <c r="C12" s="2166">
        <v>45937</v>
      </c>
      <c r="D12" s="2162" t="str">
        <f t="shared" ca="1" si="0"/>
        <v>苏海（注册号：1120040230）</v>
      </c>
      <c r="E12" s="2163" t="s">
        <v>2151</v>
      </c>
      <c r="F12" s="1218">
        <f ca="1">IF(G12&lt;B2,"已过期",98030020)</f>
        <v>98030020</v>
      </c>
      <c r="G12" s="2164">
        <v>47118</v>
      </c>
      <c r="H12" s="2165" t="str">
        <f t="shared" ca="1" si="1"/>
        <v>苏海（注册号：98030020）</v>
      </c>
    </row>
    <row r="13" spans="1:8" ht="24" customHeight="1">
      <c r="A13" s="1218" t="s">
        <v>2152</v>
      </c>
      <c r="B13" s="1218" t="str">
        <f ca="1">IF(C13&lt;B2,"已过期",1120020033)</f>
        <v>已过期</v>
      </c>
      <c r="C13" s="2161">
        <v>45375</v>
      </c>
      <c r="D13" s="2162" t="str">
        <f t="shared" ca="1" si="0"/>
        <v>刘敬东（注册号：已过期）</v>
      </c>
      <c r="E13" s="2163" t="s">
        <v>2152</v>
      </c>
      <c r="F13" s="1218">
        <f ca="1">IF(G13&lt;B2,"已过期",2000110137)</f>
        <v>2000110137</v>
      </c>
      <c r="G13" s="2164">
        <v>46387</v>
      </c>
      <c r="H13" s="2165" t="str">
        <f t="shared" ca="1" si="1"/>
        <v>刘敬东（注册号：2000110137）</v>
      </c>
    </row>
    <row r="14" spans="1:8" ht="24" customHeight="1">
      <c r="A14" s="1218" t="s">
        <v>2153</v>
      </c>
      <c r="B14" s="1218" t="str">
        <f ca="1">IF(C14&lt;B2,"已过期",1119980106)</f>
        <v>已过期</v>
      </c>
      <c r="C14" s="2166">
        <v>44969</v>
      </c>
      <c r="D14" s="2162" t="str">
        <f t="shared" ca="1" si="0"/>
        <v>刘俊财（注册号：已过期）</v>
      </c>
      <c r="E14" s="2163" t="s">
        <v>2153</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2154</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2155</v>
      </c>
      <c r="B17" s="3216"/>
      <c r="C17" s="3216"/>
      <c r="D17" s="3216"/>
      <c r="E17" s="3216"/>
      <c r="F17" s="3216"/>
      <c r="G17" s="3216"/>
      <c r="H17" s="3216"/>
    </row>
    <row r="18" spans="1:8" ht="24" customHeight="1">
      <c r="A18" s="3217" t="s">
        <v>2156</v>
      </c>
      <c r="B18" s="3217"/>
      <c r="C18" s="3217"/>
      <c r="D18" s="2159"/>
      <c r="E18" s="3218" t="s">
        <v>2157</v>
      </c>
      <c r="F18" s="3217"/>
      <c r="G18" s="3217"/>
    </row>
    <row r="19" spans="1:8" s="2169" customFormat="1" ht="24" customHeight="1">
      <c r="A19" s="2168" t="s">
        <v>2158</v>
      </c>
      <c r="B19" s="1218" t="s">
        <v>2159</v>
      </c>
      <c r="C19" s="1218" t="s">
        <v>2138</v>
      </c>
      <c r="D19" s="2159"/>
      <c r="E19" s="2163" t="s">
        <v>2158</v>
      </c>
      <c r="F19" s="1218" t="s">
        <v>2159</v>
      </c>
      <c r="G19" s="1218" t="s">
        <v>2138</v>
      </c>
    </row>
    <row r="20" spans="1:8" s="2169" customFormat="1" ht="24" customHeight="1">
      <c r="A20" s="2170" t="s">
        <v>2160</v>
      </c>
      <c r="B20" s="2170" t="s">
        <v>2161</v>
      </c>
      <c r="C20" s="2164">
        <v>45898</v>
      </c>
      <c r="D20" s="2171"/>
      <c r="E20" s="2172" t="s">
        <v>2162</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2024-11-18T09:09:07Z</dcterms:modified>
</cp:coreProperties>
</file>