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3-1-0418房山西潞东里\"/>
    </mc:Choice>
  </mc:AlternateContent>
  <xr:revisionPtr revIDLastSave="0" documentId="13_ncr:1_{8E611945-4D1C-4E00-B50C-6E00546E4711}" xr6:coauthVersionLast="45" xr6:coauthVersionMax="45" xr10:uidLastSave="{00000000-0000-0000-0000-000000000000}"/>
  <bookViews>
    <workbookView xWindow="-120" yWindow="-120" windowWidth="21840" windowHeight="13140" tabRatio="899" firstSheet="16"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24" i="9" l="1"/>
  <c r="N21" i="1" l="1"/>
  <c r="N19" i="1"/>
  <c r="N6" i="1"/>
  <c r="C37" i="21"/>
  <c r="E37" i="21"/>
  <c r="F37" i="21"/>
  <c r="AA37" i="21"/>
  <c r="R48" i="21"/>
  <c r="G37" i="21"/>
  <c r="H37" i="21"/>
  <c r="AB37" i="21"/>
  <c r="T48" i="21"/>
  <c r="I37" i="21"/>
  <c r="J37" i="21"/>
  <c r="AC37" i="21"/>
  <c r="V48" i="21"/>
  <c r="R49" i="21"/>
  <c r="C49" i="21"/>
  <c r="B3" i="21"/>
  <c r="C19" i="69"/>
  <c r="D73" i="43"/>
  <c r="D75" i="43"/>
  <c r="E72" i="43"/>
  <c r="B70" i="43"/>
  <c r="C28" i="43"/>
  <c r="C33" i="43"/>
  <c r="C6" i="69"/>
  <c r="C7" i="69"/>
  <c r="N16" i="1"/>
  <c r="F50" i="69"/>
  <c r="B14" i="74"/>
  <c r="M27" i="79"/>
  <c r="T27" i="79"/>
  <c r="W27" i="79"/>
  <c r="N27" i="79"/>
  <c r="U27" i="79"/>
  <c r="L27" i="79"/>
  <c r="S27" i="79"/>
  <c r="P27" i="79"/>
  <c r="I27" i="79"/>
  <c r="E59" i="21"/>
  <c r="F59" i="21"/>
  <c r="G59" i="21"/>
  <c r="H59" i="21"/>
  <c r="I59" i="21"/>
  <c r="J59" i="21"/>
  <c r="K59" i="21"/>
  <c r="L59" i="21"/>
  <c r="M59" i="21"/>
  <c r="N59" i="21"/>
  <c r="O59" i="21"/>
  <c r="P59" i="21"/>
  <c r="Q59" i="21"/>
  <c r="D59" i="21"/>
  <c r="I5" i="21"/>
  <c r="G5" i="21"/>
  <c r="E5" i="21"/>
  <c r="D3" i="4"/>
  <c r="D14" i="9"/>
  <c r="B2" i="1"/>
  <c r="G23" i="43"/>
  <c r="S25" i="79"/>
  <c r="T25" i="79"/>
  <c r="U25" i="79"/>
  <c r="W25" i="79"/>
  <c r="S26" i="79"/>
  <c r="T26" i="79"/>
  <c r="U26" i="79"/>
  <c r="W26" i="79"/>
  <c r="C23" i="43"/>
  <c r="C15" i="4"/>
  <c r="F6" i="1"/>
  <c r="I24" i="43"/>
  <c r="C24" i="43"/>
  <c r="C13" i="43"/>
  <c r="C6" i="43"/>
  <c r="C5" i="43"/>
  <c r="D72" i="43"/>
  <c r="D33" i="43"/>
  <c r="M14" i="4"/>
  <c r="K44" i="67"/>
  <c r="J44" i="67"/>
  <c r="J43" i="67"/>
  <c r="J52" i="67"/>
  <c r="Y6" i="1"/>
  <c r="G1" i="69"/>
  <c r="F19" i="6"/>
  <c r="A7" i="1"/>
  <c r="B7" i="1"/>
  <c r="E7" i="1"/>
  <c r="A8" i="1"/>
  <c r="B8" i="1"/>
  <c r="E8" i="1"/>
  <c r="A9" i="1"/>
  <c r="B9" i="1"/>
  <c r="E9" i="1"/>
  <c r="A10" i="1"/>
  <c r="B10" i="1"/>
  <c r="E10" i="1"/>
  <c r="A11" i="1"/>
  <c r="B11" i="1"/>
  <c r="E11" i="1"/>
  <c r="A12" i="1"/>
  <c r="B12" i="1"/>
  <c r="E12" i="1"/>
  <c r="A13" i="1"/>
  <c r="B13" i="1"/>
  <c r="E13" i="1"/>
  <c r="A6" i="1"/>
  <c r="B6" i="1"/>
  <c r="E6" i="1"/>
  <c r="M26" i="79"/>
  <c r="P26" i="79"/>
  <c r="L26" i="79"/>
  <c r="N26" i="79"/>
  <c r="L28" i="79"/>
  <c r="M28" i="79"/>
  <c r="N28" i="79"/>
  <c r="I26" i="79"/>
  <c r="I28" i="79"/>
  <c r="I6" i="79"/>
  <c r="I7" i="79"/>
  <c r="I8" i="79"/>
  <c r="K6" i="79"/>
  <c r="L6" i="79"/>
  <c r="M6" i="79"/>
  <c r="P6" i="79"/>
  <c r="N6" i="79"/>
  <c r="O6" i="79"/>
  <c r="K7" i="79"/>
  <c r="L7" i="79"/>
  <c r="M7" i="79"/>
  <c r="P7" i="79"/>
  <c r="N7" i="79"/>
  <c r="O7" i="79"/>
  <c r="K8" i="79"/>
  <c r="L8" i="79"/>
  <c r="M8" i="79"/>
  <c r="P8" i="79"/>
  <c r="N8" i="79"/>
  <c r="O8" i="79"/>
  <c r="P28" i="79"/>
  <c r="B10" i="74"/>
  <c r="B8" i="74"/>
  <c r="E111" i="9"/>
  <c r="H112" i="9"/>
  <c r="C8" i="74"/>
  <c r="B7" i="74"/>
  <c r="E109" i="9"/>
  <c r="H109" i="9"/>
  <c r="H110" i="9"/>
  <c r="C7" i="74"/>
  <c r="B3" i="78"/>
  <c r="C7" i="78"/>
  <c r="C6" i="78"/>
  <c r="C5" i="78"/>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23" i="77"/>
  <c r="D9" i="77"/>
  <c r="D10" i="77"/>
  <c r="D12" i="77"/>
  <c r="D14" i="77"/>
  <c r="D15" i="77"/>
  <c r="D16" i="77"/>
  <c r="D11" i="77"/>
  <c r="D17" i="77"/>
  <c r="D7" i="77"/>
  <c r="C26" i="77"/>
  <c r="C30" i="77"/>
  <c r="C29" i="77"/>
  <c r="C32" i="77"/>
  <c r="C38" i="77"/>
  <c r="C39" i="77"/>
  <c r="D23" i="77"/>
  <c r="D38" i="77"/>
  <c r="D39" i="77"/>
  <c r="E23" i="77"/>
  <c r="E38" i="77"/>
  <c r="E39" i="77"/>
  <c r="C40" i="77"/>
  <c r="B2" i="77"/>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c r="C21" i="20"/>
  <c r="B99" i="43"/>
  <c r="C24" i="20"/>
  <c r="B97" i="43"/>
  <c r="B95" i="43"/>
  <c r="C18" i="20"/>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N12" i="43"/>
  <c r="G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T34" i="79"/>
  <c r="W34" i="79"/>
  <c r="L34" i="79"/>
  <c r="S34" i="79"/>
  <c r="I34" i="79"/>
  <c r="AD34" i="79"/>
  <c r="AB33" i="79"/>
  <c r="AA33" i="79"/>
  <c r="Z33" i="79"/>
  <c r="N33" i="79"/>
  <c r="U33" i="79"/>
  <c r="M33" i="79"/>
  <c r="T33" i="79"/>
  <c r="W33" i="79"/>
  <c r="L33" i="79"/>
  <c r="S33" i="79"/>
  <c r="I33" i="79"/>
  <c r="AD33" i="79"/>
  <c r="AB32" i="79"/>
  <c r="AA32" i="79"/>
  <c r="Z32" i="79"/>
  <c r="N32" i="79"/>
  <c r="U32" i="79"/>
  <c r="M32" i="79"/>
  <c r="T32" i="79"/>
  <c r="W32" i="79"/>
  <c r="L32" i="79"/>
  <c r="S32" i="79"/>
  <c r="I32" i="79"/>
  <c r="AD32" i="79"/>
  <c r="AB31" i="79"/>
  <c r="AA31" i="79"/>
  <c r="Z31" i="79"/>
  <c r="N31" i="79"/>
  <c r="U31" i="79"/>
  <c r="M31" i="79"/>
  <c r="T31" i="79"/>
  <c r="W31" i="79"/>
  <c r="L31" i="79"/>
  <c r="S31" i="79"/>
  <c r="I31" i="79"/>
  <c r="AD31" i="79"/>
  <c r="AB30" i="79"/>
  <c r="AA30" i="79"/>
  <c r="Z30" i="79"/>
  <c r="N30" i="79"/>
  <c r="U30" i="79"/>
  <c r="M30" i="79"/>
  <c r="L30" i="79"/>
  <c r="S30" i="79"/>
  <c r="I30" i="79"/>
  <c r="AD30" i="79"/>
  <c r="AB29" i="79"/>
  <c r="AA29" i="79"/>
  <c r="Z29" i="79"/>
  <c r="N29" i="79"/>
  <c r="M29" i="79"/>
  <c r="L29" i="79"/>
  <c r="I29" i="79"/>
  <c r="AD29" i="79"/>
  <c r="AB25" i="79"/>
  <c r="AA25" i="79"/>
  <c r="Z25" i="79"/>
  <c r="N25" i="79"/>
  <c r="M25" i="79"/>
  <c r="L25" i="79"/>
  <c r="I25" i="79"/>
  <c r="AD25" i="79"/>
  <c r="AA23" i="79"/>
  <c r="AD23" i="79"/>
  <c r="U23" i="79"/>
  <c r="T23" i="79"/>
  <c r="W23" i="79"/>
  <c r="N23" i="79"/>
  <c r="M23" i="79"/>
  <c r="P23" i="79"/>
  <c r="L23" i="79"/>
  <c r="G23" i="79"/>
  <c r="F23" i="79"/>
  <c r="I23" i="79"/>
  <c r="E23" i="79"/>
  <c r="AC16" i="79"/>
  <c r="AB16" i="79"/>
  <c r="AA16" i="79"/>
  <c r="AD16" i="79"/>
  <c r="Z16" i="79"/>
  <c r="Y16" i="79"/>
  <c r="W16" i="79"/>
  <c r="M16" i="79"/>
  <c r="P16" i="79"/>
  <c r="O16" i="79"/>
  <c r="N16" i="79"/>
  <c r="L16" i="79"/>
  <c r="K16" i="79"/>
  <c r="I16" i="79"/>
  <c r="AC15" i="79"/>
  <c r="AB15" i="79"/>
  <c r="AA15" i="79"/>
  <c r="AD15" i="79"/>
  <c r="Z15" i="79"/>
  <c r="Y15" i="79"/>
  <c r="O15" i="79"/>
  <c r="V15" i="79"/>
  <c r="N15" i="79"/>
  <c r="U15" i="79"/>
  <c r="M15" i="79"/>
  <c r="P15" i="79"/>
  <c r="L15" i="79"/>
  <c r="S15" i="79"/>
  <c r="K15" i="79"/>
  <c r="R15" i="79"/>
  <c r="I15" i="79"/>
  <c r="AA14" i="79"/>
  <c r="AD14" i="79"/>
  <c r="AC14" i="79"/>
  <c r="AB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P13" i="79"/>
  <c r="L13" i="79"/>
  <c r="S13" i="79"/>
  <c r="K13" i="79"/>
  <c r="R13" i="79"/>
  <c r="I13" i="79"/>
  <c r="AA12" i="79"/>
  <c r="AD12" i="79"/>
  <c r="AC12" i="79"/>
  <c r="AB12" i="79"/>
  <c r="Z12" i="79"/>
  <c r="Y12" i="79"/>
  <c r="O12" i="79"/>
  <c r="V12" i="79"/>
  <c r="N12" i="79"/>
  <c r="U12" i="79"/>
  <c r="M12" i="79"/>
  <c r="T12" i="79"/>
  <c r="W12" i="79"/>
  <c r="L12" i="79"/>
  <c r="S12" i="79"/>
  <c r="K12" i="79"/>
  <c r="R12" i="79"/>
  <c r="I12" i="79"/>
  <c r="AC11" i="79"/>
  <c r="AB11" i="79"/>
  <c r="AA11" i="79"/>
  <c r="AD11" i="79"/>
  <c r="Z11" i="79"/>
  <c r="Y11" i="79"/>
  <c r="O11" i="79"/>
  <c r="V11" i="79"/>
  <c r="N11" i="79"/>
  <c r="U11" i="79"/>
  <c r="M11" i="79"/>
  <c r="P11" i="79"/>
  <c r="L11" i="79"/>
  <c r="S11" i="79"/>
  <c r="K11" i="79"/>
  <c r="R11" i="79"/>
  <c r="I11" i="79"/>
  <c r="AC10" i="79"/>
  <c r="AB10" i="79"/>
  <c r="AA10" i="79"/>
  <c r="AD10" i="79"/>
  <c r="Z10" i="79"/>
  <c r="Y10" i="79"/>
  <c r="O10" i="79"/>
  <c r="V10" i="79"/>
  <c r="N10" i="79"/>
  <c r="U10" i="79"/>
  <c r="M10" i="79"/>
  <c r="T10" i="79"/>
  <c r="W10" i="79"/>
  <c r="L10" i="79"/>
  <c r="S10" i="79"/>
  <c r="K10" i="79"/>
  <c r="R10" i="79"/>
  <c r="I10" i="79"/>
  <c r="AC9" i="79"/>
  <c r="AB9" i="79"/>
  <c r="AA9" i="79"/>
  <c r="AD9" i="79"/>
  <c r="Z9" i="79"/>
  <c r="Y9" i="79"/>
  <c r="O9" i="79"/>
  <c r="N9" i="79"/>
  <c r="M9" i="79"/>
  <c r="L9" i="79"/>
  <c r="K9" i="79"/>
  <c r="I9" i="79"/>
  <c r="AC5" i="79"/>
  <c r="AB5" i="79"/>
  <c r="AA5" i="79"/>
  <c r="AD5" i="79"/>
  <c r="Z5" i="79"/>
  <c r="Y5" i="79"/>
  <c r="M5" i="79"/>
  <c r="P5" i="79"/>
  <c r="O5" i="79"/>
  <c r="N5" i="79"/>
  <c r="L5" i="79"/>
  <c r="K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T28" i="79"/>
  <c r="W28" i="79"/>
  <c r="AB23" i="79"/>
  <c r="S28" i="79"/>
  <c r="U29" i="79"/>
  <c r="U28" i="79"/>
  <c r="R6" i="79"/>
  <c r="R5" i="79"/>
  <c r="R7" i="79"/>
  <c r="R8" i="79"/>
  <c r="P9" i="79"/>
  <c r="T7" i="79"/>
  <c r="W7" i="79"/>
  <c r="T6" i="79"/>
  <c r="W6" i="79"/>
  <c r="T5" i="79"/>
  <c r="W5" i="79"/>
  <c r="T8" i="79"/>
  <c r="W8" i="79"/>
  <c r="V9" i="79"/>
  <c r="V6" i="79"/>
  <c r="V5" i="79"/>
  <c r="V7" i="79"/>
  <c r="V8" i="79"/>
  <c r="S9" i="79"/>
  <c r="S7" i="79"/>
  <c r="S8" i="79"/>
  <c r="S5" i="79"/>
  <c r="S6" i="79"/>
  <c r="U9" i="79"/>
  <c r="U7" i="79"/>
  <c r="U5" i="79"/>
  <c r="U8" i="79"/>
  <c r="U6" i="79"/>
  <c r="R9" i="79"/>
  <c r="S23" i="79"/>
  <c r="P12" i="79"/>
  <c r="P14" i="79"/>
  <c r="R3" i="79"/>
  <c r="Z23" i="79"/>
  <c r="S29" i="79"/>
  <c r="T30" i="79"/>
  <c r="W30"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F11" i="78"/>
  <c r="C15" i="78"/>
  <c r="C18" i="78"/>
  <c r="D7" i="78"/>
  <c r="D6" i="78"/>
  <c r="D5"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R27" i="77"/>
  <c r="M24" i="77"/>
  <c r="R23" i="77"/>
  <c r="R22" i="77"/>
  <c r="R21" i="77"/>
  <c r="N19" i="77"/>
  <c r="R18" i="77"/>
  <c r="D18" i="77"/>
  <c r="R17" i="77"/>
  <c r="R16" i="77"/>
  <c r="M14" i="77"/>
  <c r="N14" i="77"/>
  <c r="R13" i="77"/>
  <c r="R12" i="77"/>
  <c r="R11" i="77"/>
  <c r="E11" i="77"/>
  <c r="E7" i="77"/>
  <c r="C27" i="77"/>
  <c r="R10" i="77"/>
  <c r="R9" i="77"/>
  <c r="R8" i="77"/>
  <c r="R7" i="77"/>
  <c r="R4" i="77"/>
  <c r="R3" i="77"/>
  <c r="R14" i="77"/>
  <c r="R24" i="77"/>
  <c r="R25" i="77"/>
  <c r="D29" i="77"/>
  <c r="D26" i="77"/>
  <c r="D32" i="77"/>
  <c r="R35" i="77"/>
  <c r="U34" i="77"/>
  <c r="AH9" i="71"/>
  <c r="AG9" i="71"/>
  <c r="AE9" i="71"/>
  <c r="AF9" i="71"/>
  <c r="AD9" i="71"/>
  <c r="Q9" i="71"/>
  <c r="P9" i="71"/>
  <c r="O9" i="71"/>
  <c r="N9" i="71"/>
  <c r="R19" i="77"/>
  <c r="R5" i="77"/>
  <c r="U5" i="77"/>
  <c r="E26" i="77"/>
  <c r="E29" i="77"/>
  <c r="E32" i="77"/>
  <c r="AH10" i="71"/>
  <c r="AG10" i="71"/>
  <c r="AE10" i="71"/>
  <c r="AF10" i="7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AA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Y9" i="71"/>
  <c r="Z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X9" i="71"/>
  <c r="B3" i="77"/>
  <c r="C41" i="77"/>
  <c r="E24" i="71"/>
  <c r="E23" i="71"/>
  <c r="E22" i="71"/>
  <c r="E21" i="71"/>
  <c r="E20" i="71"/>
  <c r="E19" i="71"/>
  <c r="E18" i="71"/>
  <c r="E17" i="71"/>
  <c r="E16" i="71"/>
  <c r="E15" i="71"/>
  <c r="E14" i="71"/>
  <c r="E13" i="71"/>
  <c r="E12" i="71"/>
  <c r="V12" i="71"/>
  <c r="C24" i="71"/>
  <c r="C23" i="71"/>
  <c r="C22" i="71"/>
  <c r="C21" i="71"/>
  <c r="C20" i="71"/>
  <c r="C19" i="71"/>
  <c r="C18" i="71"/>
  <c r="C17" i="71"/>
  <c r="C16" i="71"/>
  <c r="C15" i="71"/>
  <c r="C14" i="71"/>
  <c r="C13" i="71"/>
  <c r="C12" i="71"/>
  <c r="D12" i="71"/>
  <c r="D13" i="71"/>
  <c r="U12" i="71"/>
  <c r="T12" i="71"/>
  <c r="B24" i="71"/>
  <c r="B23" i="71"/>
  <c r="B22" i="71"/>
  <c r="B21" i="71"/>
  <c r="B20" i="71"/>
  <c r="B19" i="71"/>
  <c r="B18" i="71"/>
  <c r="B17" i="71"/>
  <c r="B16" i="71"/>
  <c r="B15" i="71"/>
  <c r="B14" i="71"/>
  <c r="B13" i="71"/>
  <c r="B12" i="71"/>
  <c r="S12" i="71"/>
  <c r="E24" i="43"/>
  <c r="Q32" i="43"/>
  <c r="P32" i="43"/>
  <c r="O32" i="43"/>
  <c r="N32" i="43"/>
  <c r="M32" i="43"/>
  <c r="AH11" i="71"/>
  <c r="AG11" i="71"/>
  <c r="AE11" i="71"/>
  <c r="AF11" i="71"/>
  <c r="AD11" i="71"/>
  <c r="AB10" i="71"/>
  <c r="AA10" i="71"/>
  <c r="Y10" i="71"/>
  <c r="Z10" i="71"/>
  <c r="X10" i="71"/>
  <c r="AH12" i="71"/>
  <c r="AG12" i="71"/>
  <c r="AE12" i="71"/>
  <c r="AF12" i="71"/>
  <c r="AD12" i="71"/>
  <c r="AH13" i="71"/>
  <c r="AG13" i="71"/>
  <c r="AE13" i="71"/>
  <c r="AF13" i="71"/>
  <c r="AD13" i="71"/>
  <c r="AB12" i="71"/>
  <c r="AA12" i="71"/>
  <c r="Y12" i="71"/>
  <c r="Z12" i="71"/>
  <c r="X12" i="71"/>
  <c r="AB11" i="71"/>
  <c r="AA11" i="71"/>
  <c r="Y11" i="71"/>
  <c r="Z11" i="71"/>
  <c r="X11" i="71"/>
  <c r="H16" i="49"/>
  <c r="D16" i="49"/>
  <c r="D15" i="49"/>
  <c r="B2" i="49"/>
  <c r="F15" i="49" s="1"/>
  <c r="H15" i="49" s="1"/>
  <c r="K42" i="40"/>
  <c r="K47" i="39"/>
  <c r="K36" i="36"/>
  <c r="E59" i="9"/>
  <c r="K38" i="35"/>
  <c r="K42" i="37"/>
  <c r="K49" i="34"/>
  <c r="K48" i="33"/>
  <c r="K48" i="21"/>
  <c r="H104" i="9"/>
  <c r="F59" i="9"/>
  <c r="AH14" i="71"/>
  <c r="AG14" i="71"/>
  <c r="AE14" i="71"/>
  <c r="AF14" i="71"/>
  <c r="AD14" i="71"/>
  <c r="AB13" i="71"/>
  <c r="AA13" i="71"/>
  <c r="Y13" i="71"/>
  <c r="Z13" i="71"/>
  <c r="X13" i="71"/>
  <c r="V16" i="71"/>
  <c r="D16" i="71"/>
  <c r="D17" i="71"/>
  <c r="U16" i="71"/>
  <c r="T16" i="71"/>
  <c r="S16" i="71"/>
  <c r="AH15" i="71"/>
  <c r="AG15" i="71"/>
  <c r="AE15" i="71"/>
  <c r="AF15" i="71"/>
  <c r="AD15" i="71"/>
  <c r="AB14" i="71"/>
  <c r="AA14" i="71"/>
  <c r="Y14" i="71"/>
  <c r="Z14" i="71"/>
  <c r="X14" i="71"/>
  <c r="AB18" i="71"/>
  <c r="AB17" i="71"/>
  <c r="AA17" i="71"/>
  <c r="Y17" i="71"/>
  <c r="Z17" i="71"/>
  <c r="X17" i="71"/>
  <c r="AH16" i="71"/>
  <c r="AG16" i="71"/>
  <c r="AE16" i="71"/>
  <c r="AF16" i="71"/>
  <c r="AD16" i="71"/>
  <c r="AB15" i="71"/>
  <c r="AA15" i="71"/>
  <c r="X15" i="71"/>
  <c r="F24" i="71"/>
  <c r="F23" i="71"/>
  <c r="F22" i="71"/>
  <c r="F21" i="71"/>
  <c r="F20" i="71"/>
  <c r="F19" i="71"/>
  <c r="F18" i="71"/>
  <c r="F17" i="71"/>
  <c r="E11" i="71"/>
  <c r="E10" i="71"/>
  <c r="E9" i="71"/>
  <c r="E8" i="71"/>
  <c r="E7" i="71"/>
  <c r="E6" i="71"/>
  <c r="E5" i="71"/>
  <c r="AH17" i="71"/>
  <c r="AG17" i="71"/>
  <c r="AE17" i="71"/>
  <c r="AF17" i="71"/>
  <c r="AD17" i="71"/>
  <c r="AH18" i="71"/>
  <c r="AG18" i="71"/>
  <c r="AE18" i="71"/>
  <c r="AF18" i="71"/>
  <c r="AD18" i="71"/>
  <c r="F24" i="12"/>
  <c r="F7" i="69"/>
  <c r="F7" i="68"/>
  <c r="AH19" i="71"/>
  <c r="AG19" i="71"/>
  <c r="AE19" i="71"/>
  <c r="AF19" i="71"/>
  <c r="AD19" i="71"/>
  <c r="AA18" i="71"/>
  <c r="Y18" i="71"/>
  <c r="X18" i="71"/>
  <c r="AD20" i="71"/>
  <c r="AH20" i="71"/>
  <c r="AG20" i="71"/>
  <c r="AE20" i="71"/>
  <c r="AF20" i="71"/>
  <c r="L3" i="71"/>
  <c r="AH3" i="71"/>
  <c r="K3" i="71"/>
  <c r="AG3" i="71"/>
  <c r="J3" i="71"/>
  <c r="AE3" i="71"/>
  <c r="I3" i="71"/>
  <c r="AH21" i="71"/>
  <c r="AG21" i="71"/>
  <c r="AE21" i="71"/>
  <c r="AF21" i="71"/>
  <c r="AD21" i="71"/>
  <c r="AA21" i="71"/>
  <c r="X21" i="71"/>
  <c r="AH22" i="71"/>
  <c r="AG22" i="71"/>
  <c r="AE22" i="71"/>
  <c r="AF22" i="71"/>
  <c r="AD22" i="71"/>
  <c r="AB21" i="71"/>
  <c r="AA22" i="71"/>
  <c r="Y21" i="71"/>
  <c r="Z21" i="71"/>
  <c r="D25" i="71"/>
  <c r="AH23" i="71"/>
  <c r="AG23" i="71"/>
  <c r="AE23" i="71"/>
  <c r="AF23" i="71"/>
  <c r="AD23" i="71"/>
  <c r="AD24" i="71"/>
  <c r="AG24" i="71"/>
  <c r="AH24" i="71"/>
  <c r="AE24" i="71"/>
  <c r="AF24" i="71"/>
  <c r="X22" i="71"/>
  <c r="AB23" i="71"/>
  <c r="AA23" i="71"/>
  <c r="Y22" i="71"/>
  <c r="Z22" i="71"/>
  <c r="Y23" i="71"/>
  <c r="Z23"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AA39" i="71"/>
  <c r="Y39" i="71"/>
  <c r="Z39" i="71"/>
  <c r="X39" i="71"/>
  <c r="AB38" i="71"/>
  <c r="Y38" i="71"/>
  <c r="Z38" i="71"/>
  <c r="F38" i="71"/>
  <c r="F39" i="71"/>
  <c r="F40" i="71"/>
  <c r="V40" i="71"/>
  <c r="D37" i="71"/>
  <c r="AB36" i="71"/>
  <c r="Y36" i="71"/>
  <c r="Z36" i="71"/>
  <c r="AB35" i="71"/>
  <c r="Y35" i="71"/>
  <c r="Z35" i="71"/>
  <c r="AB34" i="71"/>
  <c r="Y34" i="71"/>
  <c r="Z34" i="71"/>
  <c r="F34" i="71"/>
  <c r="F35" i="71"/>
  <c r="F36" i="71"/>
  <c r="V36" i="71"/>
  <c r="D33" i="71"/>
  <c r="AB32" i="71"/>
  <c r="Y32" i="71"/>
  <c r="Z32" i="71"/>
  <c r="AB31" i="71"/>
  <c r="Y31" i="71"/>
  <c r="Z31" i="71"/>
  <c r="AB30" i="71"/>
  <c r="Y30" i="71"/>
  <c r="Z30" i="71"/>
  <c r="F30" i="71"/>
  <c r="F31" i="71"/>
  <c r="F32" i="71"/>
  <c r="V32" i="71"/>
  <c r="D29"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E55" i="71"/>
  <c r="E56" i="71"/>
  <c r="U56" i="71"/>
  <c r="E59" i="71"/>
  <c r="E60" i="71"/>
  <c r="U60" i="71"/>
  <c r="E63" i="71"/>
  <c r="E64" i="71"/>
  <c r="U64" i="71"/>
  <c r="Q65" i="71"/>
  <c r="U68" i="71"/>
  <c r="E67"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AC21" i="37"/>
  <c r="W21" i="37"/>
  <c r="AC21" i="34"/>
  <c r="W21" i="34"/>
  <c r="AC21" i="33"/>
  <c r="W21" i="33"/>
  <c r="AB21" i="21"/>
  <c r="U21" i="21"/>
  <c r="G83" i="21"/>
  <c r="J21" i="21"/>
  <c r="C40" i="69"/>
  <c r="F38" i="68"/>
  <c r="E37" i="68"/>
  <c r="F36" i="68"/>
  <c r="F35" i="68"/>
  <c r="F21" i="68"/>
  <c r="F40" i="68"/>
  <c r="C21" i="68"/>
  <c r="F20" i="68"/>
  <c r="F39" i="68"/>
  <c r="E10" i="68"/>
  <c r="E9" i="68"/>
  <c r="C7"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F8" i="1"/>
  <c r="F3" i="35"/>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B487" i="3"/>
  <c r="BC487" i="3"/>
  <c r="BD487" i="3"/>
  <c r="BE487" i="3"/>
  <c r="BF487" i="3"/>
  <c r="BG487" i="3"/>
  <c r="BH487" i="3"/>
  <c r="BI487" i="3"/>
  <c r="BJ487" i="3"/>
  <c r="BK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B481" i="3"/>
  <c r="BC481" i="3"/>
  <c r="BD481" i="3"/>
  <c r="BE481" i="3"/>
  <c r="BF481" i="3"/>
  <c r="BG481" i="3"/>
  <c r="BH481" i="3"/>
  <c r="BI481" i="3"/>
  <c r="BJ481" i="3"/>
  <c r="BK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B477" i="3"/>
  <c r="BC477" i="3"/>
  <c r="BD477" i="3"/>
  <c r="BE477" i="3"/>
  <c r="BF477" i="3"/>
  <c r="BG477" i="3"/>
  <c r="BH477" i="3"/>
  <c r="BI477" i="3"/>
  <c r="BJ477" i="3"/>
  <c r="BK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B469" i="3"/>
  <c r="BC469" i="3"/>
  <c r="BD469" i="3"/>
  <c r="BE469" i="3"/>
  <c r="BF469" i="3"/>
  <c r="BG469" i="3"/>
  <c r="BH469" i="3"/>
  <c r="BI469" i="3"/>
  <c r="BJ469" i="3"/>
  <c r="BK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B462" i="3"/>
  <c r="BC462" i="3"/>
  <c r="BD462" i="3"/>
  <c r="BE462" i="3"/>
  <c r="BF462" i="3"/>
  <c r="BG462" i="3"/>
  <c r="BH462" i="3"/>
  <c r="BI462" i="3"/>
  <c r="BJ462" i="3"/>
  <c r="BK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B459" i="3"/>
  <c r="BC459" i="3"/>
  <c r="BD459" i="3"/>
  <c r="BE459" i="3"/>
  <c r="BF459" i="3"/>
  <c r="BG459" i="3"/>
  <c r="BH459" i="3"/>
  <c r="BI459" i="3"/>
  <c r="BJ459" i="3"/>
  <c r="BK459" i="3"/>
  <c r="BA459" i="3"/>
  <c r="AZ459" i="3"/>
  <c r="AX459" i="3"/>
  <c r="AW459" i="3"/>
  <c r="AV459" i="3"/>
  <c r="AC459" i="3"/>
  <c r="H459" i="3"/>
  <c r="G459" i="3"/>
  <c r="BT458" i="3"/>
  <c r="BS458" i="3"/>
  <c r="BR458" i="3"/>
  <c r="BQ458" i="3"/>
  <c r="BP458" i="3"/>
  <c r="BO458" i="3"/>
  <c r="BN458" i="3"/>
  <c r="BM458" i="3"/>
  <c r="BL458" i="3"/>
  <c r="BB458" i="3"/>
  <c r="BC458" i="3"/>
  <c r="BD458" i="3"/>
  <c r="BE458" i="3"/>
  <c r="BF458" i="3"/>
  <c r="BG458" i="3"/>
  <c r="BH458" i="3"/>
  <c r="BI458" i="3"/>
  <c r="BJ458" i="3"/>
  <c r="BK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B454" i="3"/>
  <c r="BC454" i="3"/>
  <c r="BD454" i="3"/>
  <c r="BE454" i="3"/>
  <c r="BF454" i="3"/>
  <c r="BG454" i="3"/>
  <c r="BH454" i="3"/>
  <c r="BI454" i="3"/>
  <c r="BJ454" i="3"/>
  <c r="BK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B451" i="3"/>
  <c r="BC451" i="3"/>
  <c r="BD451" i="3"/>
  <c r="BE451" i="3"/>
  <c r="BF451" i="3"/>
  <c r="BG451" i="3"/>
  <c r="BH451" i="3"/>
  <c r="BI451" i="3"/>
  <c r="BJ451" i="3"/>
  <c r="BK451" i="3"/>
  <c r="BA451" i="3"/>
  <c r="AZ451" i="3"/>
  <c r="AX451" i="3"/>
  <c r="AW451" i="3"/>
  <c r="AV451" i="3"/>
  <c r="AC451" i="3"/>
  <c r="H451" i="3"/>
  <c r="G451" i="3"/>
  <c r="BT450" i="3"/>
  <c r="BS450" i="3"/>
  <c r="BR450" i="3"/>
  <c r="BQ450" i="3"/>
  <c r="BP450" i="3"/>
  <c r="BO450" i="3"/>
  <c r="BN450" i="3"/>
  <c r="BM450" i="3"/>
  <c r="BL450" i="3"/>
  <c r="BB450" i="3"/>
  <c r="BC450" i="3"/>
  <c r="BD450" i="3"/>
  <c r="BE450" i="3"/>
  <c r="BF450" i="3"/>
  <c r="BG450" i="3"/>
  <c r="BH450" i="3"/>
  <c r="BI450" i="3"/>
  <c r="BJ450" i="3"/>
  <c r="BK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B446" i="3"/>
  <c r="BC446" i="3"/>
  <c r="BD446" i="3"/>
  <c r="BE446" i="3"/>
  <c r="BF446" i="3"/>
  <c r="BG446" i="3"/>
  <c r="BH446" i="3"/>
  <c r="BI446" i="3"/>
  <c r="BJ446" i="3"/>
  <c r="BK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B443" i="3"/>
  <c r="BC443" i="3"/>
  <c r="BD443" i="3"/>
  <c r="BE443" i="3"/>
  <c r="BF443" i="3"/>
  <c r="BG443" i="3"/>
  <c r="BH443" i="3"/>
  <c r="BI443" i="3"/>
  <c r="BJ443" i="3"/>
  <c r="BK443" i="3"/>
  <c r="BA443" i="3"/>
  <c r="AZ443" i="3"/>
  <c r="AX443" i="3"/>
  <c r="AW443" i="3"/>
  <c r="AV443" i="3"/>
  <c r="AC443" i="3"/>
  <c r="H443" i="3"/>
  <c r="G443" i="3"/>
  <c r="BT442" i="3"/>
  <c r="BS442" i="3"/>
  <c r="BR442" i="3"/>
  <c r="BQ442" i="3"/>
  <c r="BP442" i="3"/>
  <c r="BO442" i="3"/>
  <c r="BN442" i="3"/>
  <c r="BM442" i="3"/>
  <c r="BL442" i="3"/>
  <c r="BB442" i="3"/>
  <c r="BC442" i="3"/>
  <c r="BD442" i="3"/>
  <c r="BE442" i="3"/>
  <c r="BF442" i="3"/>
  <c r="BG442" i="3"/>
  <c r="BH442" i="3"/>
  <c r="BI442" i="3"/>
  <c r="BJ442" i="3"/>
  <c r="BK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B438" i="3"/>
  <c r="BC438" i="3"/>
  <c r="BD438" i="3"/>
  <c r="BE438" i="3"/>
  <c r="BF438" i="3"/>
  <c r="BG438" i="3"/>
  <c r="BH438" i="3"/>
  <c r="BI438" i="3"/>
  <c r="BJ438" i="3"/>
  <c r="BK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B435" i="3"/>
  <c r="BC435" i="3"/>
  <c r="BD435" i="3"/>
  <c r="BE435" i="3"/>
  <c r="BF435" i="3"/>
  <c r="BG435" i="3"/>
  <c r="BH435" i="3"/>
  <c r="BI435" i="3"/>
  <c r="BJ435" i="3"/>
  <c r="BK435" i="3"/>
  <c r="BA435" i="3"/>
  <c r="AZ435" i="3"/>
  <c r="AX435" i="3"/>
  <c r="AW435" i="3"/>
  <c r="AV435" i="3"/>
  <c r="AC435" i="3"/>
  <c r="H435" i="3"/>
  <c r="G435" i="3"/>
  <c r="BT434" i="3"/>
  <c r="BS434" i="3"/>
  <c r="BR434" i="3"/>
  <c r="BQ434" i="3"/>
  <c r="BP434" i="3"/>
  <c r="BO434" i="3"/>
  <c r="BN434" i="3"/>
  <c r="BM434" i="3"/>
  <c r="BL434" i="3"/>
  <c r="BB434" i="3"/>
  <c r="BC434" i="3"/>
  <c r="BD434" i="3"/>
  <c r="BE434" i="3"/>
  <c r="BF434" i="3"/>
  <c r="BG434" i="3"/>
  <c r="BH434" i="3"/>
  <c r="BI434" i="3"/>
  <c r="BJ434" i="3"/>
  <c r="BK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B422" i="3"/>
  <c r="BC422" i="3"/>
  <c r="BD422" i="3"/>
  <c r="BE422" i="3"/>
  <c r="BF422" i="3"/>
  <c r="BG422" i="3"/>
  <c r="BH422" i="3"/>
  <c r="BI422" i="3"/>
  <c r="BJ422" i="3"/>
  <c r="BK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B419" i="3"/>
  <c r="BC419" i="3"/>
  <c r="BD419" i="3"/>
  <c r="BE419" i="3"/>
  <c r="BF419" i="3"/>
  <c r="BG419" i="3"/>
  <c r="BH419" i="3"/>
  <c r="BI419" i="3"/>
  <c r="BJ419" i="3"/>
  <c r="BK419" i="3"/>
  <c r="BA419" i="3"/>
  <c r="AZ419" i="3"/>
  <c r="AX419" i="3"/>
  <c r="AW419" i="3"/>
  <c r="AV419" i="3"/>
  <c r="AC419" i="3"/>
  <c r="H419" i="3"/>
  <c r="G419" i="3"/>
  <c r="BT418" i="3"/>
  <c r="BS418" i="3"/>
  <c r="BR418" i="3"/>
  <c r="BQ418" i="3"/>
  <c r="BP418" i="3"/>
  <c r="BO418" i="3"/>
  <c r="BN418" i="3"/>
  <c r="BM418" i="3"/>
  <c r="BL418" i="3"/>
  <c r="BB418" i="3"/>
  <c r="BC418" i="3"/>
  <c r="BD418" i="3"/>
  <c r="BE418" i="3"/>
  <c r="BF418" i="3"/>
  <c r="BG418" i="3"/>
  <c r="BH418" i="3"/>
  <c r="BI418" i="3"/>
  <c r="BJ418" i="3"/>
  <c r="BK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B406" i="3"/>
  <c r="BC406" i="3"/>
  <c r="BD406" i="3"/>
  <c r="BE406" i="3"/>
  <c r="BF406" i="3"/>
  <c r="BG406" i="3"/>
  <c r="BH406" i="3"/>
  <c r="BI406" i="3"/>
  <c r="BJ406" i="3"/>
  <c r="BK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B403" i="3"/>
  <c r="BC403" i="3"/>
  <c r="BD403" i="3"/>
  <c r="BE403" i="3"/>
  <c r="BF403" i="3"/>
  <c r="BG403" i="3"/>
  <c r="BH403" i="3"/>
  <c r="BI403" i="3"/>
  <c r="BJ403" i="3"/>
  <c r="BK403" i="3"/>
  <c r="BA403" i="3"/>
  <c r="AZ403" i="3"/>
  <c r="AX403" i="3"/>
  <c r="AW403" i="3"/>
  <c r="AV403" i="3"/>
  <c r="AC403" i="3"/>
  <c r="H403" i="3"/>
  <c r="G403" i="3"/>
  <c r="BT402" i="3"/>
  <c r="BS402" i="3"/>
  <c r="BR402" i="3"/>
  <c r="BQ402" i="3"/>
  <c r="BP402" i="3"/>
  <c r="BO402" i="3"/>
  <c r="BN402" i="3"/>
  <c r="BM402" i="3"/>
  <c r="BL402" i="3"/>
  <c r="BB402" i="3"/>
  <c r="BC402" i="3"/>
  <c r="BD402" i="3"/>
  <c r="BE402" i="3"/>
  <c r="BF402" i="3"/>
  <c r="BG402" i="3"/>
  <c r="BH402" i="3"/>
  <c r="BI402" i="3"/>
  <c r="BJ402" i="3"/>
  <c r="BK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F15" i="4"/>
  <c r="F11" i="1"/>
  <c r="G11" i="1"/>
  <c r="D15" i="4"/>
  <c r="F7" i="1"/>
  <c r="G7" i="1"/>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C36" i="68" s="1"/>
  <c r="B43"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C18" i="9" s="1"/>
  <c r="D18" i="9" s="1"/>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BA548" i="3"/>
  <c r="AZ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A585" i="3"/>
  <c r="AZ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S44" i="34"/>
  <c r="BA586"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Q581" i="3"/>
  <c r="BL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BQ521" i="3"/>
  <c r="BL521" i="3"/>
  <c r="AZ521" i="3"/>
  <c r="AC521" i="3"/>
  <c r="G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F61" i="43"/>
  <c r="H64"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AZ363" i="3"/>
  <c r="BA364" i="3"/>
  <c r="BL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BR5" i="3"/>
  <c r="G28" i="6"/>
  <c r="AZ350" i="3"/>
  <c r="AZ352" i="3"/>
  <c r="AZ356" i="3"/>
  <c r="AZ360" i="3"/>
  <c r="AZ364" i="3"/>
  <c r="AZ368" i="3"/>
  <c r="BA15" i="3"/>
  <c r="AZ15" i="3"/>
  <c r="BB5" i="3"/>
  <c r="AZ380" i="3"/>
  <c r="AZ384" i="3"/>
  <c r="AZ388" i="3"/>
  <c r="AZ392" i="3"/>
  <c r="AZ396" i="3"/>
  <c r="AZ394" i="3"/>
  <c r="AZ499" i="3"/>
  <c r="AZ509" i="3"/>
  <c r="G509" i="3"/>
  <c r="BL493" i="3"/>
  <c r="AZ491" i="3"/>
  <c r="AZ376" i="3"/>
  <c r="AZ390" i="3"/>
  <c r="AZ382" i="3"/>
  <c r="AZ493" i="3"/>
  <c r="U36" i="40"/>
  <c r="F83" i="43"/>
  <c r="H85" i="43"/>
  <c r="F50" i="43"/>
  <c r="H54" i="43"/>
  <c r="F72" i="43"/>
  <c r="H75" i="43"/>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AZ80" i="3"/>
  <c r="AZ84" i="3"/>
  <c r="AZ88" i="3"/>
  <c r="AZ107" i="3"/>
  <c r="AZ111" i="3"/>
  <c r="K12" i="1"/>
  <c r="M12" i="1"/>
  <c r="S13" i="1"/>
  <c r="AR13" i="1"/>
  <c r="R13" i="1"/>
  <c r="J51" i="67"/>
  <c r="C42" i="1"/>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F34" i="67"/>
  <c r="F62" i="67"/>
  <c r="M20" i="67"/>
  <c r="F34" i="15"/>
  <c r="F62" i="15"/>
  <c r="G13" i="3"/>
  <c r="G5" i="3"/>
  <c r="B3" i="3"/>
  <c r="E510" i="3"/>
  <c r="BA13" i="3"/>
  <c r="BA5" i="3"/>
  <c r="BL17" i="3"/>
  <c r="AZ17" i="3"/>
  <c r="BL13" i="3"/>
  <c r="BL5" i="3"/>
  <c r="J56" i="9"/>
  <c r="J57" i="9"/>
  <c r="J59" i="9"/>
  <c r="J61" i="9"/>
  <c r="A24" i="51"/>
  <c r="B18" i="72" s="1"/>
  <c r="U29" i="34"/>
  <c r="E5" i="6"/>
  <c r="E32" i="6"/>
  <c r="G1" i="68"/>
  <c r="K1" i="12"/>
  <c r="E19" i="69"/>
  <c r="E19" i="68"/>
  <c r="E19" i="11"/>
  <c r="E1" i="73"/>
  <c r="G22" i="69"/>
  <c r="G22" i="68"/>
  <c r="G26" i="12"/>
  <c r="G22" i="11"/>
  <c r="B19" i="53"/>
  <c r="B37" i="72"/>
  <c r="C7" i="39"/>
  <c r="C67" i="39"/>
  <c r="C7" i="35"/>
  <c r="C7" i="33"/>
  <c r="C7" i="21"/>
  <c r="C7" i="40"/>
  <c r="C63" i="40"/>
  <c r="M47" i="9"/>
  <c r="C46" i="36"/>
  <c r="D46" i="36"/>
  <c r="E46" i="36"/>
  <c r="F46" i="36"/>
  <c r="G46" i="36"/>
  <c r="H46" i="36"/>
  <c r="I46" i="36"/>
  <c r="C52" i="37"/>
  <c r="D52" i="37"/>
  <c r="A4" i="51"/>
  <c r="B6" i="72"/>
  <c r="C48" i="35"/>
  <c r="D48" i="35"/>
  <c r="H67" i="43"/>
  <c r="L20" i="6"/>
  <c r="K11" i="1"/>
  <c r="M11" i="1"/>
  <c r="O11" i="1"/>
  <c r="K7" i="1"/>
  <c r="M7" i="1"/>
  <c r="O7" i="1"/>
  <c r="P7"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AA26" i="21"/>
  <c r="AB14" i="21"/>
  <c r="AB46" i="21"/>
  <c r="U40" i="21"/>
  <c r="AB31" i="21"/>
  <c r="U31" i="21"/>
  <c r="AC15" i="21"/>
  <c r="U13" i="21"/>
  <c r="AB13" i="21"/>
  <c r="S35"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C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U23" i="21"/>
  <c r="AB23" i="21"/>
  <c r="AC23" i="21"/>
  <c r="W23" i="21"/>
  <c r="M49" i="9"/>
  <c r="D16" i="53"/>
  <c r="B34" i="72"/>
  <c r="D21" i="53"/>
  <c r="B39" i="72"/>
  <c r="H111" i="9"/>
  <c r="D126" i="9"/>
  <c r="D19" i="53"/>
  <c r="B38" i="72"/>
  <c r="AD3" i="71"/>
  <c r="J1" i="73"/>
  <c r="H69" i="43"/>
  <c r="H50" i="43"/>
  <c r="C24" i="12"/>
  <c r="D22" i="71"/>
  <c r="D23" i="71"/>
  <c r="D24" i="71"/>
  <c r="U24" i="71"/>
  <c r="S24" i="71"/>
  <c r="T24" i="71"/>
  <c r="AB22" i="71"/>
  <c r="X20" i="71"/>
  <c r="X19" i="71"/>
  <c r="AA20" i="71"/>
  <c r="AA19" i="71"/>
  <c r="X23" i="71"/>
  <c r="Z18" i="71"/>
  <c r="Y19" i="71"/>
  <c r="Z19" i="71"/>
  <c r="AB20" i="71"/>
  <c r="AB19" i="71"/>
  <c r="S20" i="71"/>
  <c r="Y20" i="71"/>
  <c r="Z20" i="71"/>
  <c r="X3" i="71"/>
  <c r="V20" i="71"/>
  <c r="D21" i="71"/>
  <c r="D18" i="71"/>
  <c r="T20" i="71"/>
  <c r="D19" i="71"/>
  <c r="D20" i="71"/>
  <c r="U20" i="71"/>
  <c r="K1" i="73"/>
  <c r="C21" i="69"/>
  <c r="C30" i="69"/>
  <c r="C48" i="69"/>
  <c r="R7" i="1"/>
  <c r="AE7" i="1"/>
  <c r="R6" i="1"/>
  <c r="D9" i="68"/>
  <c r="D10" i="68"/>
  <c r="C10" i="68" s="1"/>
  <c r="F27" i="68"/>
  <c r="C29" i="68" s="1"/>
  <c r="D27" i="68" s="1"/>
  <c r="F50" i="68"/>
  <c r="C58" i="21"/>
  <c r="D58" i="21"/>
  <c r="E58" i="21"/>
  <c r="F58" i="21"/>
  <c r="G58" i="21"/>
  <c r="H58" i="21"/>
  <c r="I58" i="21"/>
  <c r="J58" i="21"/>
  <c r="K58" i="21"/>
  <c r="L58" i="21"/>
  <c r="M58" i="21"/>
  <c r="N58" i="21"/>
  <c r="O58" i="21"/>
  <c r="F7" i="21"/>
  <c r="AA7" i="21"/>
  <c r="H7" i="21"/>
  <c r="AB7" i="21"/>
  <c r="AB8" i="21"/>
  <c r="J7" i="21"/>
  <c r="AC7" i="21"/>
  <c r="AC32" i="21"/>
  <c r="B2" i="21"/>
  <c r="D3" i="2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E29" i="6"/>
  <c r="K15" i="1"/>
  <c r="F30" i="6"/>
  <c r="G30" i="6"/>
  <c r="G31" i="6"/>
  <c r="E28" i="6"/>
  <c r="L19" i="6"/>
  <c r="L27" i="6"/>
  <c r="M6" i="1"/>
  <c r="O6" i="1"/>
  <c r="T13" i="1"/>
  <c r="C58" i="33"/>
  <c r="C59" i="34"/>
  <c r="D59" i="34"/>
  <c r="E59" i="34"/>
  <c r="F59" i="34"/>
  <c r="G59" i="34"/>
  <c r="H59" i="34"/>
  <c r="I59" i="34"/>
  <c r="J59" i="34"/>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P74" i="67"/>
  <c r="H62" i="43"/>
  <c r="H58" i="43"/>
  <c r="H51" i="43"/>
  <c r="H56" i="43"/>
  <c r="H65" i="43"/>
  <c r="D76" i="43"/>
  <c r="D80" i="43"/>
  <c r="D61" i="43"/>
  <c r="P61" i="15"/>
  <c r="C94" i="9"/>
  <c r="C92" i="9"/>
  <c r="C31" i="12"/>
  <c r="C48" i="68"/>
  <c r="C30" i="68"/>
  <c r="C77" i="9"/>
  <c r="C74" i="9"/>
  <c r="C30" i="11"/>
  <c r="J84" i="43"/>
  <c r="J85" i="43"/>
  <c r="J86" i="43"/>
  <c r="J87" i="43"/>
  <c r="J88" i="43"/>
  <c r="J89" i="43"/>
  <c r="J90" i="43"/>
  <c r="D83" i="43"/>
  <c r="E83" i="43"/>
  <c r="B81" i="43"/>
  <c r="D66" i="43"/>
  <c r="D64" i="43"/>
  <c r="D62" i="43"/>
  <c r="D67" i="43"/>
  <c r="D65" i="43"/>
  <c r="D63" i="43"/>
  <c r="D69" i="43"/>
  <c r="D79" i="43"/>
  <c r="D22" i="67"/>
  <c r="AQ13" i="1"/>
  <c r="Q16" i="1"/>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6" i="1"/>
  <c r="C13" i="12"/>
  <c r="P11" i="1"/>
  <c r="E59" i="40"/>
  <c r="K14" i="1"/>
  <c r="K16" i="1"/>
  <c r="D9" i="11"/>
  <c r="C9" i="11"/>
  <c r="D19" i="12"/>
  <c r="C19" i="12" s="1"/>
  <c r="AZ13" i="3"/>
  <c r="AZ5" i="3"/>
  <c r="O9" i="1"/>
  <c r="P9" i="1"/>
  <c r="O12" i="1"/>
  <c r="P12" i="1"/>
  <c r="O8" i="1"/>
  <c r="P8" i="1"/>
  <c r="H73" i="43"/>
  <c r="H90" i="43"/>
  <c r="O23" i="43"/>
  <c r="I18" i="43"/>
  <c r="E17" i="43"/>
  <c r="C17" i="43"/>
  <c r="H26" i="43"/>
  <c r="F26" i="43"/>
  <c r="J26" i="43"/>
  <c r="G26" i="43"/>
  <c r="E26" i="43"/>
  <c r="A1" i="79"/>
  <c r="H55" i="43"/>
  <c r="H86" i="43"/>
  <c r="H87" i="43"/>
  <c r="N370" i="46"/>
  <c r="N94" i="46"/>
  <c r="H89" i="43"/>
  <c r="H88" i="43"/>
  <c r="H84" i="43"/>
  <c r="C69" i="39"/>
  <c r="D67" i="39"/>
  <c r="D69" i="39"/>
  <c r="T35" i="4"/>
  <c r="A19" i="51"/>
  <c r="B14" i="72"/>
  <c r="D18" i="53"/>
  <c r="B35" i="72"/>
  <c r="H52" i="43"/>
  <c r="K5" i="4"/>
  <c r="B47" i="48"/>
  <c r="Y8" i="71"/>
  <c r="Z8" i="71"/>
  <c r="X8" i="71"/>
  <c r="AB8" i="71"/>
  <c r="AA8" i="71"/>
  <c r="L68" i="9"/>
  <c r="M68" i="9"/>
  <c r="L65" i="9"/>
  <c r="M65" i="9"/>
  <c r="L66" i="9"/>
  <c r="M66" i="9"/>
  <c r="L64" i="9"/>
  <c r="M64" i="9"/>
  <c r="L63" i="9"/>
  <c r="M63" i="9"/>
  <c r="M69" i="9"/>
  <c r="N69" i="9"/>
  <c r="L67" i="9"/>
  <c r="M67" i="9"/>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G16" i="1"/>
  <c r="F10" i="39"/>
  <c r="D23" i="67"/>
  <c r="G25" i="12"/>
  <c r="G41" i="11"/>
  <c r="G27" i="12"/>
  <c r="G41" i="68"/>
  <c r="K59" i="34"/>
  <c r="L59" i="34"/>
  <c r="M59" i="34"/>
  <c r="N59" i="34"/>
  <c r="O59" i="34"/>
  <c r="J46" i="36"/>
  <c r="K46" i="36"/>
  <c r="L46" i="36"/>
  <c r="M46" i="36"/>
  <c r="N46" i="36"/>
  <c r="O46" i="36"/>
  <c r="H7" i="36"/>
  <c r="E52" i="37"/>
  <c r="F52" i="37"/>
  <c r="G52" i="37"/>
  <c r="H52" i="37"/>
  <c r="I52" i="37"/>
  <c r="J52" i="37"/>
  <c r="K52" i="37"/>
  <c r="L52" i="37"/>
  <c r="M52" i="37"/>
  <c r="N52" i="37"/>
  <c r="O52" i="37"/>
  <c r="J7" i="37"/>
  <c r="J7" i="36"/>
  <c r="F7" i="36"/>
  <c r="E48" i="35"/>
  <c r="D63" i="40"/>
  <c r="C65" i="40"/>
  <c r="D58" i="33"/>
  <c r="E58" i="33"/>
  <c r="F58" i="33"/>
  <c r="G58" i="33"/>
  <c r="H58" i="33"/>
  <c r="I58" i="33"/>
  <c r="J58" i="33"/>
  <c r="K58" i="33"/>
  <c r="L58" i="33"/>
  <c r="M58" i="33"/>
  <c r="N58" i="33"/>
  <c r="O58" i="33"/>
  <c r="K4" i="4"/>
  <c r="B46" i="48"/>
  <c r="B4" i="72"/>
  <c r="B4" i="62"/>
  <c r="B71" i="72"/>
  <c r="D9" i="53"/>
  <c r="B25" i="72"/>
  <c r="B24" i="72"/>
  <c r="K120" i="9"/>
  <c r="D15" i="71"/>
  <c r="Y16" i="71"/>
  <c r="Z16" i="71"/>
  <c r="Y15" i="71"/>
  <c r="Z15" i="71"/>
  <c r="AA16" i="71"/>
  <c r="AB3" i="71"/>
  <c r="B11" i="71"/>
  <c r="B10" i="71"/>
  <c r="B9" i="71"/>
  <c r="B8" i="71"/>
  <c r="B7" i="71"/>
  <c r="B6" i="71"/>
  <c r="B5" i="71"/>
  <c r="X16" i="71"/>
  <c r="AB16" i="71"/>
  <c r="Y3" i="71"/>
  <c r="Z3" i="71"/>
  <c r="F16" i="71"/>
  <c r="F15" i="71"/>
  <c r="F14" i="71"/>
  <c r="F13" i="71"/>
  <c r="F12" i="71"/>
  <c r="F11" i="71"/>
  <c r="F10" i="71"/>
  <c r="F9" i="71"/>
  <c r="F8" i="71"/>
  <c r="F7" i="71"/>
  <c r="F6" i="71"/>
  <c r="F5" i="71"/>
  <c r="AF3" i="71"/>
  <c r="P26" i="43"/>
  <c r="I54" i="67"/>
  <c r="E61" i="43"/>
  <c r="B59" i="43"/>
  <c r="B116" i="43"/>
  <c r="Z7" i="43"/>
  <c r="E30" i="6"/>
  <c r="E56" i="39"/>
  <c r="H7" i="34"/>
  <c r="AB7" i="34"/>
  <c r="T49" i="34"/>
  <c r="G49" i="34"/>
  <c r="E67" i="39"/>
  <c r="J7" i="34"/>
  <c r="W7" i="34"/>
  <c r="F7" i="34"/>
  <c r="S7" i="34"/>
  <c r="AA26" i="35"/>
  <c r="S26" i="35"/>
  <c r="AC26" i="35"/>
  <c r="W26" i="35"/>
  <c r="AB26" i="35"/>
  <c r="U26" i="35"/>
  <c r="E61" i="39"/>
  <c r="E56" i="40"/>
  <c r="C9" i="68"/>
  <c r="F27" i="11"/>
  <c r="C29" i="11"/>
  <c r="D27" i="11"/>
  <c r="F28" i="12"/>
  <c r="C29" i="12" s="1"/>
  <c r="D28" i="12" s="1"/>
  <c r="E60" i="40"/>
  <c r="E27" i="6"/>
  <c r="K26" i="6"/>
  <c r="M26" i="6"/>
  <c r="I26" i="6"/>
  <c r="S26" i="6"/>
  <c r="F31" i="6"/>
  <c r="E51" i="40"/>
  <c r="E16" i="6"/>
  <c r="AC6" i="3"/>
  <c r="H6" i="3"/>
  <c r="E58" i="40"/>
  <c r="E62" i="39"/>
  <c r="E65" i="39"/>
  <c r="AY6" i="3"/>
  <c r="E3" i="6"/>
  <c r="M14" i="1"/>
  <c r="D5" i="43"/>
  <c r="J10" i="40"/>
  <c r="AC10" i="40"/>
  <c r="H10" i="39"/>
  <c r="U10" i="39"/>
  <c r="F10" i="40"/>
  <c r="S10" i="40"/>
  <c r="J10" i="39"/>
  <c r="W10" i="39"/>
  <c r="H10" i="40"/>
  <c r="AB10" i="40"/>
  <c r="D26" i="43"/>
  <c r="C25" i="43"/>
  <c r="C7" i="43"/>
  <c r="D10" i="52"/>
  <c r="D125" i="9"/>
  <c r="D11" i="52"/>
  <c r="F67" i="39"/>
  <c r="E69" i="39"/>
  <c r="H7" i="37"/>
  <c r="AB7" i="37"/>
  <c r="T42" i="37"/>
  <c r="G42" i="37"/>
  <c r="S10" i="39"/>
  <c r="AA10" i="39"/>
  <c r="H7" i="33"/>
  <c r="J7" i="33"/>
  <c r="D65" i="40"/>
  <c r="E63" i="40"/>
  <c r="F48" i="35"/>
  <c r="S7" i="36"/>
  <c r="AA7" i="36"/>
  <c r="R36" i="36"/>
  <c r="AC7" i="37"/>
  <c r="V42" i="37"/>
  <c r="I42" i="37"/>
  <c r="W7" i="37"/>
  <c r="AB7" i="36"/>
  <c r="T36" i="36"/>
  <c r="G36" i="36"/>
  <c r="U7" i="36"/>
  <c r="F7" i="33"/>
  <c r="AC7" i="36"/>
  <c r="V36" i="36"/>
  <c r="I36" i="36"/>
  <c r="W7" i="36"/>
  <c r="F7" i="37"/>
  <c r="D14" i="71"/>
  <c r="P28" i="43"/>
  <c r="B66" i="40"/>
  <c r="P25" i="43"/>
  <c r="P29" i="43"/>
  <c r="P27" i="43"/>
  <c r="B70" i="39"/>
  <c r="AE11" i="1"/>
  <c r="AE9" i="1"/>
  <c r="AE8" i="1"/>
  <c r="AE12" i="1"/>
  <c r="AE10" i="1"/>
  <c r="AC7" i="34"/>
  <c r="V49" i="34"/>
  <c r="I49"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E8" i="70"/>
  <c r="F45"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M18" i="9"/>
  <c r="B118" i="9"/>
  <c r="B1" i="74"/>
  <c r="D3" i="34"/>
  <c r="D19" i="11"/>
  <c r="C19" i="11"/>
  <c r="L18" i="9"/>
  <c r="C17" i="4"/>
  <c r="B4" i="52"/>
  <c r="B43" i="72"/>
  <c r="D3" i="33"/>
  <c r="D3" i="37"/>
  <c r="C39" i="43"/>
  <c r="C42" i="43"/>
  <c r="E42" i="43"/>
  <c r="C38" i="43"/>
  <c r="AB10" i="39"/>
  <c r="AA10" i="40"/>
  <c r="U10" i="40"/>
  <c r="W10" i="40"/>
  <c r="AC10" i="39"/>
  <c r="U7" i="37"/>
  <c r="G67" i="39"/>
  <c r="F69" i="39"/>
  <c r="I53" i="34"/>
  <c r="J53" i="34"/>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C11" i="71"/>
  <c r="M21" i="6"/>
  <c r="I21" i="6"/>
  <c r="S21" i="6"/>
  <c r="E6" i="70"/>
  <c r="C34" i="43"/>
  <c r="E34" i="43"/>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s="1"/>
  <c r="D10" i="11"/>
  <c r="C10" i="11"/>
  <c r="D20" i="12"/>
  <c r="C20" i="12" s="1"/>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c r="C12" i="12" s="1"/>
  <c r="L16" i="1"/>
  <c r="G42" i="43"/>
  <c r="I42" i="43"/>
  <c r="H67" i="39"/>
  <c r="G69" i="39"/>
  <c r="E41" i="43"/>
  <c r="G41" i="43"/>
  <c r="I41" i="43"/>
  <c r="E37" i="43"/>
  <c r="G37" i="43"/>
  <c r="I37" i="43"/>
  <c r="G38" i="43"/>
  <c r="I38" i="43"/>
  <c r="E38" i="43"/>
  <c r="E40" i="43"/>
  <c r="G40" i="43"/>
  <c r="I40" i="43"/>
  <c r="E39" i="43"/>
  <c r="G39" i="43"/>
  <c r="I39" i="43"/>
  <c r="D11" i="71"/>
  <c r="C10" i="71"/>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H23" i="6"/>
  <c r="C30" i="43"/>
  <c r="C31" i="43"/>
  <c r="H20" i="6"/>
  <c r="R20" i="6"/>
  <c r="E12" i="70"/>
  <c r="F34" i="11"/>
  <c r="F11" i="12"/>
  <c r="C23" i="12" s="1"/>
  <c r="S16" i="1"/>
  <c r="E9" i="70"/>
  <c r="E2" i="70"/>
  <c r="AR9" i="1"/>
  <c r="AQ9" i="1"/>
  <c r="T9" i="1"/>
  <c r="AQ11" i="1"/>
  <c r="AR11" i="1"/>
  <c r="T11" i="1"/>
  <c r="AR12" i="1"/>
  <c r="T12" i="1"/>
  <c r="AQ12" i="1"/>
  <c r="AQ10" i="1"/>
  <c r="T10" i="1"/>
  <c r="AR10" i="1"/>
  <c r="AR7" i="1"/>
  <c r="AQ7" i="1"/>
  <c r="T7" i="1"/>
  <c r="M27" i="6"/>
  <c r="I19" i="6"/>
  <c r="D16" i="6"/>
  <c r="R26" i="6"/>
  <c r="R24" i="6"/>
  <c r="R11" i="1"/>
  <c r="R22" i="6"/>
  <c r="R9" i="1"/>
  <c r="R23" i="6"/>
  <c r="R10" i="1"/>
  <c r="D27" i="6"/>
  <c r="D31" i="6"/>
  <c r="D8" i="74"/>
  <c r="D7" i="74"/>
  <c r="R21" i="6"/>
  <c r="R8" i="1"/>
  <c r="F50" i="11"/>
  <c r="C4" i="52"/>
  <c r="B45" i="72"/>
  <c r="A10" i="51"/>
  <c r="B9" i="72"/>
  <c r="A7" i="51"/>
  <c r="B7" i="72"/>
  <c r="R25" i="6"/>
  <c r="R12" i="1"/>
  <c r="B2" i="43"/>
  <c r="B3" i="43"/>
  <c r="H69" i="39"/>
  <c r="I67" i="39"/>
  <c r="D10" i="71"/>
  <c r="C9" i="71"/>
  <c r="C8" i="71"/>
  <c r="G65" i="40"/>
  <c r="H63" i="40"/>
  <c r="C43" i="37"/>
  <c r="C42" i="37"/>
  <c r="I48" i="35"/>
  <c r="C48" i="33"/>
  <c r="C49" i="33"/>
  <c r="E47" i="37"/>
  <c r="F47" i="37"/>
  <c r="E46" i="37"/>
  <c r="F46" i="37"/>
  <c r="I47" i="37"/>
  <c r="J47" i="37"/>
  <c r="E53" i="33"/>
  <c r="F53" i="33"/>
  <c r="E52" i="33"/>
  <c r="F52" i="33"/>
  <c r="D8" i="71"/>
  <c r="C7" i="71"/>
  <c r="T16" i="1"/>
  <c r="C36" i="11"/>
  <c r="C37" i="11"/>
  <c r="C34" i="11"/>
  <c r="H19" i="6"/>
  <c r="S19" i="6"/>
  <c r="S27" i="6"/>
  <c r="I27" i="6"/>
  <c r="I5" i="6"/>
  <c r="I6" i="6"/>
  <c r="I69" i="39"/>
  <c r="J67" i="39"/>
  <c r="D9" i="71"/>
  <c r="I63" i="40"/>
  <c r="H65" i="40"/>
  <c r="J48" i="35"/>
  <c r="D7" i="71"/>
  <c r="C6" i="71"/>
  <c r="C38" i="11"/>
  <c r="C35" i="11"/>
  <c r="H27" i="6"/>
  <c r="R19" i="6"/>
  <c r="J69" i="39"/>
  <c r="K67" i="39"/>
  <c r="U7" i="21"/>
  <c r="G48" i="21"/>
  <c r="S7" i="21"/>
  <c r="J63" i="40"/>
  <c r="I65" i="40"/>
  <c r="K48" i="35"/>
  <c r="L48" i="35"/>
  <c r="M48" i="35"/>
  <c r="N48" i="35"/>
  <c r="O48" i="35"/>
  <c r="H7" i="35"/>
  <c r="J7" i="35"/>
  <c r="I48" i="21"/>
  <c r="W7" i="21"/>
  <c r="D6" i="71"/>
  <c r="C5" i="71"/>
  <c r="C33" i="11"/>
  <c r="C39" i="11"/>
  <c r="R27" i="6"/>
  <c r="L67" i="39"/>
  <c r="K69" i="39"/>
  <c r="W7" i="35"/>
  <c r="AC7" i="35"/>
  <c r="V38" i="35"/>
  <c r="I38" i="35"/>
  <c r="J65" i="40"/>
  <c r="K63" i="40"/>
  <c r="I52" i="21"/>
  <c r="J52" i="21"/>
  <c r="U7" i="35"/>
  <c r="AB7" i="35"/>
  <c r="T38" i="35"/>
  <c r="G38" i="35"/>
  <c r="E48" i="21"/>
  <c r="G52" i="21"/>
  <c r="H52" i="21"/>
  <c r="G53" i="21"/>
  <c r="H53" i="21"/>
  <c r="F7" i="35"/>
  <c r="D5" i="71"/>
  <c r="M24" i="43"/>
  <c r="C46" i="11"/>
  <c r="C45" i="11"/>
  <c r="L69" i="39"/>
  <c r="M67" i="39"/>
  <c r="S7" i="35"/>
  <c r="AA7" i="35"/>
  <c r="R38" i="35"/>
  <c r="C48" i="21"/>
  <c r="E52" i="21"/>
  <c r="F52" i="21"/>
  <c r="E53" i="21"/>
  <c r="F53" i="21"/>
  <c r="G42" i="35"/>
  <c r="H42" i="35"/>
  <c r="G43" i="35"/>
  <c r="H43" i="35"/>
  <c r="I53" i="21"/>
  <c r="J53" i="21"/>
  <c r="K65" i="40"/>
  <c r="L63" i="40"/>
  <c r="I42" i="35"/>
  <c r="J42" i="35"/>
  <c r="M69" i="39"/>
  <c r="N67" i="39"/>
  <c r="R39" i="35"/>
  <c r="E38" i="35"/>
  <c r="M63" i="40"/>
  <c r="L65" i="40"/>
  <c r="L46" i="67"/>
  <c r="O67" i="39"/>
  <c r="O69" i="39"/>
  <c r="N69" i="39"/>
  <c r="F7" i="39"/>
  <c r="C39" i="35"/>
  <c r="C38" i="35"/>
  <c r="N63" i="40"/>
  <c r="M65" i="40"/>
  <c r="E43" i="35"/>
  <c r="F43" i="35"/>
  <c r="E42" i="35"/>
  <c r="F42" i="35"/>
  <c r="I43" i="35"/>
  <c r="J43" i="35"/>
  <c r="B2" i="33"/>
  <c r="B3" i="33"/>
  <c r="H7" i="39"/>
  <c r="J7" i="39"/>
  <c r="S7" i="39"/>
  <c r="AA7" i="39"/>
  <c r="R47" i="39"/>
  <c r="O63" i="40"/>
  <c r="O65" i="40"/>
  <c r="N65" i="40"/>
  <c r="B2" i="36"/>
  <c r="B3" i="36"/>
  <c r="B2" i="35"/>
  <c r="B3" i="35"/>
  <c r="B2" i="37"/>
  <c r="B3" i="37"/>
  <c r="B2" i="34"/>
  <c r="B3" i="34"/>
  <c r="W7" i="39"/>
  <c r="AC7" i="39"/>
  <c r="V47" i="39"/>
  <c r="I47" i="39"/>
  <c r="E47" i="39"/>
  <c r="R48" i="39"/>
  <c r="U7" i="39"/>
  <c r="AB7" i="39"/>
  <c r="T47" i="39"/>
  <c r="G47" i="39"/>
  <c r="J7" i="40"/>
  <c r="F7" i="40"/>
  <c r="H7" i="40"/>
  <c r="G51" i="39"/>
  <c r="H51" i="39"/>
  <c r="G52" i="39"/>
  <c r="H52" i="39"/>
  <c r="I51" i="39"/>
  <c r="J51" i="39"/>
  <c r="I52" i="39"/>
  <c r="J52" i="39"/>
  <c r="C48" i="39"/>
  <c r="C47" i="39"/>
  <c r="E52" i="39"/>
  <c r="F52" i="39"/>
  <c r="E51" i="39"/>
  <c r="F51" i="39"/>
  <c r="U7" i="40"/>
  <c r="AB7" i="40"/>
  <c r="T42" i="40"/>
  <c r="G42" i="40"/>
  <c r="AA7" i="40"/>
  <c r="R42" i="40"/>
  <c r="S7" i="40"/>
  <c r="AC7" i="40"/>
  <c r="V42" i="40"/>
  <c r="I42" i="40"/>
  <c r="W7" i="4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B6" i="74"/>
  <c r="D6" i="74"/>
  <c r="D5" i="73"/>
  <c r="C34" i="69"/>
  <c r="F37" i="67"/>
  <c r="F43" i="15"/>
  <c r="L47" i="15"/>
  <c r="M6" i="67"/>
  <c r="F8" i="15"/>
  <c r="F36" i="15"/>
  <c r="F40" i="15"/>
  <c r="M6" i="15"/>
  <c r="D9" i="69"/>
  <c r="F7" i="15"/>
  <c r="E13" i="76"/>
  <c r="F9" i="15"/>
  <c r="F26" i="15"/>
  <c r="F43" i="67"/>
  <c r="F13" i="67"/>
  <c r="M9" i="67"/>
  <c r="F8" i="67"/>
  <c r="L48" i="15"/>
  <c r="D4" i="73"/>
  <c r="F4" i="73"/>
  <c r="F38" i="15"/>
  <c r="M9" i="15"/>
  <c r="F35" i="67"/>
  <c r="F26" i="67"/>
  <c r="F42" i="67"/>
  <c r="M28" i="15"/>
  <c r="M24" i="67"/>
  <c r="D7" i="73"/>
  <c r="M26" i="67"/>
  <c r="M28" i="67"/>
  <c r="B8" i="76"/>
  <c r="E2" i="68"/>
  <c r="E10" i="76"/>
  <c r="E12" i="76"/>
  <c r="M22" i="15"/>
  <c r="M26" i="15"/>
  <c r="AO13" i="1"/>
  <c r="M23" i="15"/>
  <c r="M23" i="67"/>
  <c r="M27" i="67"/>
  <c r="M21" i="15"/>
  <c r="D2" i="34"/>
  <c r="AO12" i="1"/>
  <c r="B7" i="76"/>
  <c r="F6" i="73"/>
  <c r="L47" i="67"/>
  <c r="J15" i="67"/>
  <c r="B11" i="76"/>
  <c r="B13" i="76"/>
  <c r="D2" i="37"/>
  <c r="M21" i="67"/>
  <c r="AO11" i="1"/>
  <c r="C20" i="9"/>
  <c r="F27" i="69"/>
  <c r="C36" i="69"/>
  <c r="E7" i="76"/>
  <c r="F37" i="15"/>
  <c r="E9" i="76"/>
  <c r="F9" i="67"/>
  <c r="F35" i="15"/>
  <c r="F13" i="15"/>
  <c r="F41" i="15"/>
  <c r="F6" i="67"/>
  <c r="G1" i="73"/>
  <c r="B10" i="76"/>
  <c r="M8" i="67"/>
  <c r="F16" i="15"/>
  <c r="M8" i="15"/>
  <c r="F36" i="67"/>
  <c r="F40" i="67"/>
  <c r="D10" i="69"/>
  <c r="D35" i="9"/>
  <c r="B9" i="76"/>
  <c r="F6" i="15"/>
  <c r="C14" i="15"/>
  <c r="F42" i="15"/>
  <c r="F7" i="67"/>
  <c r="F16" i="67"/>
  <c r="F38" i="67"/>
  <c r="L48" i="67"/>
  <c r="F7" i="73"/>
  <c r="F20" i="31"/>
  <c r="E2" i="69"/>
  <c r="M24" i="15"/>
  <c r="D6" i="73"/>
  <c r="C19" i="9"/>
  <c r="J15" i="15"/>
  <c r="M29" i="15"/>
  <c r="D34" i="9"/>
  <c r="D3" i="73"/>
  <c r="M29" i="67"/>
  <c r="F5" i="73"/>
  <c r="E8" i="76"/>
  <c r="C76" i="67"/>
  <c r="B6" i="76"/>
  <c r="D2" i="21"/>
  <c r="D2" i="35"/>
  <c r="AO7" i="1"/>
  <c r="B12" i="76"/>
  <c r="M22" i="67"/>
  <c r="C76" i="15"/>
  <c r="E11" i="76"/>
  <c r="F3" i="73"/>
  <c r="M27" i="15"/>
  <c r="AO10" i="1"/>
  <c r="E6" i="76"/>
  <c r="D2" i="33"/>
  <c r="AO9" i="1"/>
  <c r="AO8" i="1"/>
  <c r="D2" i="36"/>
  <c r="C34" i="68" l="1"/>
  <c r="C35" i="68" s="1"/>
  <c r="F7" i="49"/>
  <c r="H7" i="49" s="1"/>
  <c r="C38" i="68"/>
  <c r="B6" i="49"/>
  <c r="D6" i="49" s="1"/>
  <c r="C14" i="12"/>
  <c r="C15" i="12"/>
  <c r="R16" i="1"/>
  <c r="C47" i="68"/>
  <c r="D45" i="68" s="1"/>
  <c r="D19" i="68"/>
  <c r="F11" i="49"/>
  <c r="H11" i="49" s="1"/>
  <c r="B14" i="49"/>
  <c r="D14" i="49" s="1"/>
  <c r="B9" i="49"/>
  <c r="D9" i="49" s="1"/>
  <c r="F13" i="49"/>
  <c r="H13" i="49" s="1"/>
  <c r="F9" i="49"/>
  <c r="H9" i="49" s="1"/>
  <c r="F5" i="49"/>
  <c r="H5" i="49" s="1"/>
  <c r="B10" i="49"/>
  <c r="D10" i="49" s="1"/>
  <c r="B13" i="49"/>
  <c r="D13" i="49" s="1"/>
  <c r="B5" i="49"/>
  <c r="D5" i="49" s="1"/>
  <c r="F14" i="49"/>
  <c r="H14" i="49" s="1"/>
  <c r="F12" i="49"/>
  <c r="H12" i="49" s="1"/>
  <c r="F10" i="49"/>
  <c r="H10" i="49" s="1"/>
  <c r="F8" i="49"/>
  <c r="H8" i="49" s="1"/>
  <c r="F6" i="49"/>
  <c r="H6" i="49" s="1"/>
  <c r="F4" i="49"/>
  <c r="H4" i="49" s="1"/>
  <c r="B12" i="49"/>
  <c r="D12" i="49" s="1"/>
  <c r="B8" i="49"/>
  <c r="D8" i="49" s="1"/>
  <c r="B4" i="49"/>
  <c r="D4" i="49" s="1"/>
  <c r="B11" i="49"/>
  <c r="D11" i="49" s="1"/>
  <c r="B7" i="49"/>
  <c r="D7" i="49" s="1"/>
  <c r="B11" i="70"/>
  <c r="B9" i="70"/>
  <c r="J20" i="67"/>
  <c r="E2" i="76"/>
  <c r="B8" i="70"/>
  <c r="B10" i="70"/>
  <c r="Q71" i="15"/>
  <c r="L59" i="67"/>
  <c r="M59" i="67"/>
  <c r="N59" i="67"/>
  <c r="L58" i="67"/>
  <c r="B7" i="70"/>
  <c r="B12" i="70"/>
  <c r="M3" i="35"/>
  <c r="J20" i="15"/>
  <c r="B2" i="76"/>
  <c r="B3" i="76" s="1"/>
  <c r="Q71" i="67"/>
  <c r="B13" i="70"/>
  <c r="C102" i="9"/>
  <c r="C21" i="9"/>
  <c r="B20" i="31"/>
  <c r="B21" i="31" s="1"/>
  <c r="J53" i="67"/>
  <c r="J57" i="67"/>
  <c r="J55" i="67" s="1"/>
  <c r="J58" i="67" s="1"/>
  <c r="Q50" i="67" s="1"/>
  <c r="L56" i="67"/>
  <c r="J60" i="67"/>
  <c r="Q48" i="67" s="1"/>
  <c r="J59" i="67"/>
  <c r="L60" i="67"/>
  <c r="F66" i="67"/>
  <c r="C27" i="67"/>
  <c r="C34" i="67"/>
  <c r="F63" i="67"/>
  <c r="C62" i="67" s="1"/>
  <c r="M7" i="67"/>
  <c r="J6" i="67" s="1"/>
  <c r="F50" i="67"/>
  <c r="F66" i="15"/>
  <c r="C15" i="15"/>
  <c r="C18" i="15"/>
  <c r="I1" i="73"/>
  <c r="B39" i="1" s="1"/>
  <c r="C6" i="15"/>
  <c r="F31" i="15"/>
  <c r="J57" i="15"/>
  <c r="J55" i="15" s="1"/>
  <c r="J58" i="15" s="1"/>
  <c r="Q50" i="15" s="1"/>
  <c r="J53" i="15"/>
  <c r="I54" i="15"/>
  <c r="F51" i="67"/>
  <c r="C49" i="67" s="1"/>
  <c r="C10" i="69"/>
  <c r="F68" i="67"/>
  <c r="F64" i="67"/>
  <c r="F71" i="67"/>
  <c r="C27" i="15"/>
  <c r="M7" i="15"/>
  <c r="J6" i="15" s="1"/>
  <c r="F50" i="15"/>
  <c r="B40" i="1"/>
  <c r="C9" i="69"/>
  <c r="D19" i="69"/>
  <c r="D37" i="69" s="1"/>
  <c r="C37" i="69" s="1"/>
  <c r="C6" i="67"/>
  <c r="F31" i="67"/>
  <c r="F69" i="15"/>
  <c r="F68" i="15"/>
  <c r="F64" i="15"/>
  <c r="C34" i="15"/>
  <c r="F63" i="15"/>
  <c r="C62" i="15" s="1"/>
  <c r="F51" i="15"/>
  <c r="M17" i="67"/>
  <c r="L59" i="15"/>
  <c r="L58" i="15"/>
  <c r="N59" i="15"/>
  <c r="M59" i="15"/>
  <c r="F65" i="15"/>
  <c r="F71" i="15"/>
  <c r="F65" i="67"/>
  <c r="C38" i="69"/>
  <c r="C35" i="69"/>
  <c r="C47" i="69"/>
  <c r="D45" i="69" s="1"/>
  <c r="C29" i="69"/>
  <c r="D27" i="69" s="1"/>
  <c r="F45" i="69"/>
  <c r="C103" i="9"/>
  <c r="C14" i="67"/>
  <c r="C16" i="67"/>
  <c r="C17" i="15"/>
  <c r="C16" i="15"/>
  <c r="C17" i="67"/>
  <c r="C16" i="12" l="1"/>
  <c r="C19" i="68"/>
  <c r="D37" i="68"/>
  <c r="C37" i="68" s="1"/>
  <c r="C33" i="68" s="1"/>
  <c r="C49" i="15"/>
  <c r="C33" i="69"/>
  <c r="C39" i="69" s="1"/>
  <c r="C46" i="69" s="1"/>
  <c r="C45" i="69" s="1"/>
  <c r="M17" i="15"/>
  <c r="C19" i="15"/>
  <c r="C15" i="67"/>
  <c r="C18" i="67"/>
  <c r="J18" i="15"/>
  <c r="J19" i="15"/>
  <c r="J18" i="67"/>
  <c r="J19" i="67"/>
  <c r="Q60" i="15"/>
  <c r="Q73" i="15"/>
  <c r="C61" i="15"/>
  <c r="F22" i="68"/>
  <c r="C42" i="68" s="1"/>
  <c r="F22" i="69"/>
  <c r="F24" i="15"/>
  <c r="C24" i="15" s="1"/>
  <c r="F24" i="67"/>
  <c r="C24" i="67" s="1"/>
  <c r="L36" i="43"/>
  <c r="F25" i="12"/>
  <c r="C26" i="12" s="1"/>
  <c r="D25" i="12" s="1"/>
  <c r="F22" i="11"/>
  <c r="C61" i="67"/>
  <c r="F1" i="15"/>
  <c r="Q52" i="15"/>
  <c r="F11" i="15"/>
  <c r="M11" i="15"/>
  <c r="J10" i="15" s="1"/>
  <c r="J5" i="15" s="1"/>
  <c r="M11" i="67"/>
  <c r="J10" i="67" s="1"/>
  <c r="J5" i="67" s="1"/>
  <c r="F11" i="67"/>
  <c r="C53" i="67" s="1"/>
  <c r="C48" i="67" s="1"/>
  <c r="Q73" i="67"/>
  <c r="Q60" i="67"/>
  <c r="C39" i="68"/>
  <c r="C43" i="68" s="1"/>
  <c r="Q74" i="15"/>
  <c r="Q61" i="15"/>
  <c r="C10" i="67"/>
  <c r="C5" i="67" s="1"/>
  <c r="C32" i="67"/>
  <c r="C33" i="67"/>
  <c r="B29" i="1"/>
  <c r="C8" i="69"/>
  <c r="C5" i="69" s="1"/>
  <c r="F59" i="15"/>
  <c r="L56" i="15"/>
  <c r="C33" i="15"/>
  <c r="C32" i="15"/>
  <c r="F59" i="67"/>
  <c r="Q57" i="67"/>
  <c r="Q66" i="67"/>
  <c r="F1" i="67"/>
  <c r="Q52" i="67"/>
  <c r="Q61" i="67"/>
  <c r="Q74" i="67"/>
  <c r="AE6" i="1"/>
  <c r="C31" i="15" l="1"/>
  <c r="J17" i="67"/>
  <c r="C19" i="67"/>
  <c r="C20" i="67" s="1"/>
  <c r="C41" i="68"/>
  <c r="C42" i="69"/>
  <c r="J26" i="67"/>
  <c r="J24" i="67"/>
  <c r="C38" i="67"/>
  <c r="C66" i="67"/>
  <c r="C60" i="67"/>
  <c r="C59" i="67" s="1"/>
  <c r="J26" i="15"/>
  <c r="J29" i="15" s="1"/>
  <c r="J24" i="15"/>
  <c r="C8" i="68"/>
  <c r="C5" i="68" s="1"/>
  <c r="C18" i="12"/>
  <c r="C21" i="12" s="1"/>
  <c r="C23" i="69"/>
  <c r="C20" i="69"/>
  <c r="C25" i="69" s="1"/>
  <c r="C31" i="67"/>
  <c r="C46" i="68"/>
  <c r="C45" i="68" s="1"/>
  <c r="C10" i="15"/>
  <c r="C5" i="15" s="1"/>
  <c r="C53" i="15"/>
  <c r="C48" i="15" s="1"/>
  <c r="C44" i="69"/>
  <c r="D41" i="69" s="1"/>
  <c r="C24" i="69"/>
  <c r="C26" i="69"/>
  <c r="D22" i="69" s="1"/>
  <c r="F41" i="69"/>
  <c r="C43" i="69"/>
  <c r="J17" i="15"/>
  <c r="C44" i="11"/>
  <c r="D41" i="11" s="1"/>
  <c r="C23" i="11"/>
  <c r="C25" i="11"/>
  <c r="C43" i="11"/>
  <c r="C24" i="11"/>
  <c r="C26" i="11"/>
  <c r="D22" i="11" s="1"/>
  <c r="C42" i="11"/>
  <c r="P36" i="43"/>
  <c r="Q36" i="43"/>
  <c r="M36" i="43"/>
  <c r="L37" i="43"/>
  <c r="N36" i="43"/>
  <c r="O36" i="43"/>
  <c r="C26" i="68"/>
  <c r="D22" i="68" s="1"/>
  <c r="F41" i="68"/>
  <c r="C44" i="68"/>
  <c r="D41" i="68" s="1"/>
  <c r="C24" i="68"/>
  <c r="C20" i="15"/>
  <c r="C23" i="15" s="1"/>
  <c r="F41" i="67"/>
  <c r="F69" i="67" l="1"/>
  <c r="J29" i="67"/>
  <c r="C26" i="15"/>
  <c r="C29" i="15" s="1"/>
  <c r="C41" i="69"/>
  <c r="C49" i="69" s="1"/>
  <c r="C51" i="69" s="1"/>
  <c r="C49" i="68"/>
  <c r="C51" i="68" s="1"/>
  <c r="C22" i="11"/>
  <c r="C23" i="67"/>
  <c r="C26" i="67"/>
  <c r="C28" i="69"/>
  <c r="C27" i="69" s="1"/>
  <c r="C31" i="11"/>
  <c r="C66" i="15"/>
  <c r="C60" i="15"/>
  <c r="C59" i="15" s="1"/>
  <c r="C22" i="12"/>
  <c r="C30" i="12" s="1"/>
  <c r="C28" i="12" s="1"/>
  <c r="P37" i="43"/>
  <c r="Q37" i="43"/>
  <c r="N37" i="43"/>
  <c r="M37" i="43"/>
  <c r="O37" i="43"/>
  <c r="C41" i="11"/>
  <c r="C49" i="11" s="1"/>
  <c r="C51" i="11" s="1"/>
  <c r="C38" i="15"/>
  <c r="C22" i="69"/>
  <c r="C31" i="69" s="1"/>
  <c r="C52" i="69" s="1"/>
  <c r="B2" i="69" s="1"/>
  <c r="C20" i="68"/>
  <c r="C25" i="68" s="1"/>
  <c r="C23" i="68"/>
  <c r="C13" i="15" l="1"/>
  <c r="C37" i="15" s="1"/>
  <c r="Q49" i="15"/>
  <c r="C57" i="15"/>
  <c r="C64" i="15" s="1"/>
  <c r="C36" i="15"/>
  <c r="J14" i="15"/>
  <c r="J22" i="15" s="1"/>
  <c r="J59" i="15"/>
  <c r="J60" i="15" s="1"/>
  <c r="L46" i="15" s="1"/>
  <c r="C29" i="67"/>
  <c r="J14" i="67" s="1"/>
  <c r="C27" i="12"/>
  <c r="C25" i="12" s="1"/>
  <c r="C32" i="12" s="1"/>
  <c r="B2" i="12" s="1"/>
  <c r="B3" i="12" s="1"/>
  <c r="J13" i="15"/>
  <c r="J23" i="15" s="1"/>
  <c r="C52" i="11"/>
  <c r="B2" i="11" s="1"/>
  <c r="B3" i="11" s="1"/>
  <c r="C28" i="68"/>
  <c r="C27" i="68" s="1"/>
  <c r="C22" i="68"/>
  <c r="C57" i="69"/>
  <c r="C56" i="69" s="1"/>
  <c r="C56" i="15"/>
  <c r="C65" i="15" s="1"/>
  <c r="C58" i="15" s="1"/>
  <c r="C67" i="15" s="1"/>
  <c r="C68" i="15" s="1"/>
  <c r="Q70" i="15"/>
  <c r="B3" i="69"/>
  <c r="C75" i="15" l="1"/>
  <c r="C30" i="15"/>
  <c r="C39" i="15" s="1"/>
  <c r="C40" i="15" s="1"/>
  <c r="C46" i="15" s="1"/>
  <c r="Q48" i="15"/>
  <c r="C57" i="67"/>
  <c r="C64" i="67" s="1"/>
  <c r="C13" i="67"/>
  <c r="Q49" i="67"/>
  <c r="C36" i="67"/>
  <c r="J13" i="67"/>
  <c r="J23" i="67" s="1"/>
  <c r="J22" i="67"/>
  <c r="C31" i="68"/>
  <c r="C52" i="68" s="1"/>
  <c r="B2" i="68" s="1"/>
  <c r="B3" i="68" s="1"/>
  <c r="Q70" i="67"/>
  <c r="C71" i="15"/>
  <c r="Q69" i="15"/>
  <c r="Q68" i="15" s="1"/>
  <c r="C56" i="11"/>
  <c r="C57" i="11" s="1"/>
  <c r="J16" i="15"/>
  <c r="J25" i="15" s="1"/>
  <c r="L51" i="15"/>
  <c r="C80" i="15" l="1"/>
  <c r="C79" i="15" s="1"/>
  <c r="J16" i="67"/>
  <c r="J25" i="67" s="1"/>
  <c r="C57" i="68"/>
  <c r="C56" i="68" s="1"/>
  <c r="C75" i="67"/>
  <c r="C56" i="67"/>
  <c r="C65" i="67" s="1"/>
  <c r="C58" i="67" s="1"/>
  <c r="C67" i="67" s="1"/>
  <c r="C68" i="67" s="1"/>
  <c r="C71" i="67" s="1"/>
  <c r="C37" i="67"/>
  <c r="C30" i="67" s="1"/>
  <c r="C39" i="67" s="1"/>
  <c r="Q67" i="15"/>
  <c r="L57" i="15"/>
  <c r="L60" i="15" s="1"/>
  <c r="B2" i="15"/>
  <c r="B3" i="15" s="1"/>
  <c r="Q65" i="15"/>
  <c r="Q47" i="15"/>
  <c r="Q53" i="15" s="1"/>
  <c r="C43" i="15"/>
  <c r="Q56" i="15"/>
  <c r="C83" i="15"/>
  <c r="C82" i="15" s="1"/>
  <c r="L51" i="67"/>
  <c r="Q67" i="67" l="1"/>
  <c r="L57" i="67"/>
  <c r="C40" i="67"/>
  <c r="Q69" i="67"/>
  <c r="Q68" i="67" s="1"/>
  <c r="C80" i="67"/>
  <c r="C79" i="67" s="1"/>
  <c r="Q57" i="15"/>
  <c r="Q66" i="15"/>
  <c r="Q62" i="15"/>
  <c r="Q75" i="15"/>
  <c r="D19" i="9"/>
  <c r="D20" i="9"/>
  <c r="D2" i="67" l="1"/>
  <c r="C45" i="67"/>
  <c r="C46" i="67" s="1"/>
  <c r="Q65" i="67"/>
  <c r="Q75" i="67" s="1"/>
  <c r="Q47" i="67"/>
  <c r="Q53" i="67" s="1"/>
  <c r="C83" i="67"/>
  <c r="C82" i="67" s="1"/>
  <c r="Q56" i="67"/>
  <c r="Q62" i="67" s="1"/>
  <c r="C43" i="67"/>
  <c r="D102" i="9"/>
  <c r="G19" i="9"/>
  <c r="G21" i="9" s="1"/>
  <c r="D21" i="9"/>
  <c r="D22" i="9"/>
  <c r="G20" i="9"/>
  <c r="D103" i="9"/>
  <c r="B2" i="67" l="1"/>
  <c r="B3" i="67"/>
  <c r="C32" i="9"/>
  <c r="E14" i="74"/>
  <c r="D14" i="74" s="1"/>
  <c r="AO6" i="1"/>
  <c r="B6" i="70" l="1"/>
  <c r="B2" i="70" s="1"/>
  <c r="B3" i="70" s="1"/>
  <c r="C35" i="9"/>
  <c r="C34" i="9" s="1"/>
  <c r="G24" i="9"/>
  <c r="F14" i="74"/>
  <c r="B5" i="74"/>
  <c r="D5" i="74" l="1"/>
  <c r="C86" i="9"/>
  <c r="C93" i="9"/>
  <c r="B21" i="72"/>
  <c r="D7" i="53"/>
  <c r="D54" i="9"/>
  <c r="C68" i="9"/>
  <c r="B32" i="72"/>
  <c r="D14" i="53"/>
  <c r="H5" i="52"/>
  <c r="H119" i="9"/>
  <c r="N58" i="9"/>
  <c r="P57" i="9"/>
  <c r="E81" i="9"/>
  <c r="E80" i="9"/>
  <c r="C80" i="9"/>
  <c r="C6" i="74"/>
  <c r="B20" i="72"/>
  <c r="B48" i="72"/>
  <c r="E4" i="52"/>
  <c r="M55" i="9"/>
  <c r="C64" i="9"/>
  <c r="C63" i="9"/>
  <c r="C67" i="9"/>
  <c r="D59" i="9"/>
  <c r="F119" i="9"/>
  <c r="F5" i="52"/>
  <c r="B53" i="72"/>
  <c r="D8" i="52"/>
  <c r="D119" i="9"/>
  <c r="D5" i="52"/>
  <c r="B49" i="72"/>
  <c r="D5" i="53"/>
  <c r="D6" i="53"/>
  <c r="B22" i="72"/>
  <c r="C96" i="9"/>
  <c r="E96" i="9"/>
  <c r="E97" i="9"/>
  <c r="D53" i="9"/>
  <c r="D52" i="9"/>
  <c r="C105" i="9"/>
  <c r="I4" i="52"/>
  <c r="D13" i="53"/>
  <c r="B30" i="72"/>
  <c r="C104" i="9"/>
  <c r="H4" i="52"/>
  <c r="N61" i="9"/>
  <c r="D55" i="9"/>
  <c r="M53" i="9"/>
  <c r="N57" i="9"/>
  <c r="N59" i="9"/>
  <c r="N60" i="9"/>
  <c r="M48" i="9"/>
  <c r="E118" i="9"/>
  <c r="D118" i="9"/>
  <c r="D4" i="52"/>
  <c r="B47" i="72"/>
  <c r="C85" i="9"/>
  <c r="C95" i="9"/>
  <c r="C97" i="9"/>
  <c r="D58" i="9"/>
  <c r="D56" i="9"/>
  <c r="M54" i="9"/>
  <c r="H108" i="9"/>
  <c r="D15" i="53"/>
  <c r="B31" i="72"/>
  <c r="F4" i="52"/>
  <c r="B51" i="72"/>
  <c r="C78" i="9"/>
  <c r="C73" i="9"/>
  <c r="H107" i="9"/>
  <c r="D122" i="9"/>
  <c r="D123" i="9"/>
  <c r="D9" i="52"/>
  <c r="H102" i="9"/>
  <c r="C5" i="74"/>
  <c r="I118" i="9"/>
  <c r="H118" i="9"/>
  <c r="H101" i="9"/>
  <c r="D45" i="9"/>
  <c r="C72" i="9"/>
  <c r="C79" i="9"/>
  <c r="C81" i="9"/>
  <c r="F118" i="9"/>
  <c r="G118" i="9"/>
  <c r="G4" i="52"/>
  <c r="B5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<sst xmlns="http://schemas.openxmlformats.org/spreadsheetml/2006/main" count="7846" uniqueCount="3428">
  <si>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</si>
  <si>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</si>
  <si>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</si>
  <si>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</si>
  <si>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</si>
  <si>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</si>
  <si>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</si>
  <si>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</si>
  <si>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</si>
  <si>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</si>
  <si>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</si>
  <si>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</si>
  <si>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</si>
  <si>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</si>
  <si>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</si>
  <si>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</si>
  <si>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</si>
  <si>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</si>
  <si>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</si>
  <si>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</si>
  <si>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</si>
  <si>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</si>
  <si>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</si>
  <si>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</si>
  <si>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</si>
  <si>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</si>
  <si>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</si>
  <si>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</si>
  <si>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</si>
  <si>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</si>
  <si>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</si>
  <si>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</si>
  <si>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</si>
  <si>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</si>
  <si>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</si>
  <si>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</si>
  <si>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</si>
  <si>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</si>
  <si>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</si>
  <si>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</si>
  <si>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</si>
  <si>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</si>
  <si>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</si>
  <si>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</si>
  <si>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</si>
  <si>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</si>
  <si>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</si>
  <si>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</si>
  <si>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</si>
  <si>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</si>
  <si>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</si>
  <si>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</si>
  <si>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</si>
  <si>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</si>
  <si>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</si>
  <si>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</si>
  <si>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</si>
  <si>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</si>
  <si>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</si>
  <si>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</si>
  <si>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</si>
  <si>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</si>
  <si>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</si>
  <si>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</si>
  <si>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</si>
  <si>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</si>
  <si>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</si>
  <si>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</si>
  <si>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</si>
  <si>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</si>
  <si>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</si>
  <si>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</si>
  <si>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</si>
  <si>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</si>
  <si>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</si>
  <si>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</si>
  <si>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</si>
  <si>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</si>
  <si>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</si>
  <si>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</si>
  <si>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</si>
  <si>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</si>
  <si>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</si>
  <si>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</si>
  <si>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</si>
  <si>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</si>
  <si>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</si>
  <si>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</si>
  <si>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</si>
  <si>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</si>
  <si>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</si>
  <si>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</si>
  <si>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</si>
  <si>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</si>
  <si>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</si>
  <si>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</si>
  <si>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</si>
  <si>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</si>
  <si>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</si>
  <si>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</si>
  <si>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</si>
  <si>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</si>
  <si>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</si>
  <si>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</si>
  <si>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</si>
  <si>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</si>
  <si>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</si>
  <si>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</si>
  <si>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</si>
  <si>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</si>
  <si>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</si>
  <si>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</si>
  <si>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</si>
  <si>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</si>
  <si>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</si>
  <si>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</si>
  <si>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</si>
  <si>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</si>
  <si>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</si>
  <si>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</si>
  <si>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</si>
  <si>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</si>
  <si>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</si>
  <si>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</si>
  <si>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</si>
  <si>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</si>
  <si>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</si>
  <si>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</si>
  <si>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</si>
  <si>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</si>
  <si>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</si>
  <si>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</si>
  <si>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</si>
  <si>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</si>
  <si>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</si>
  <si>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</si>
  <si>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</si>
  <si>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</si>
  <si>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</si>
  <si>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</si>
  <si>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</si>
  <si>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</si>
  <si>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</si>
  <si>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</si>
  <si>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</si>
  <si>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</si>
  <si>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</si>
  <si>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</si>
  <si>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</si>
  <si>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</si>
  <si>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</si>
  <si>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</si>
  <si>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</si>
  <si>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</si>
  <si>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</si>
  <si>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</si>
  <si>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</si>
  <si>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</si>
  <si>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</si>
  <si>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</si>
  <si>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</si>
  <si>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</si>
  <si>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</si>
  <si>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</si>
  <si>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</si>
  <si>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</si>
  <si>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</si>
  <si>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</si>
  <si>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</si>
  <si>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</si>
  <si>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</si>
  <si>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</si>
  <si>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</si>
  <si>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</si>
  <si>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</si>
  <si>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</si>
  <si>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</si>
  <si>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</si>
  <si>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</si>
  <si>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</si>
  <si>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</si>
  <si>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</si>
  <si>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</si>
  <si>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</si>
  <si>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</si>
  <si>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</si>
  <si>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</si>
  <si>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</si>
  <si>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</si>
  <si>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</si>
  <si>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</si>
  <si>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</si>
  <si>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</si>
  <si>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</si>
  <si>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</si>
  <si>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</si>
  <si>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</si>
  <si>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</si>
  <si>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</si>
  <si>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</si>
  <si>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</si>
  <si>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</si>
  <si>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</si>
  <si>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</si>
  <si>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</si>
  <si>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</si>
  <si>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</si>
  <si>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</si>
  <si>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</si>
  <si>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</si>
  <si>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</si>
  <si>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</si>
  <si>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</si>
  <si>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</si>
  <si>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</si>
  <si>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</si>
  <si>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</si>
  <si>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</si>
  <si>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</si>
  <si>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</si>
  <si>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</si>
  <si>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</si>
  <si>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</si>
  <si>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</si>
  <si>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</si>
  <si>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</si>
  <si>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</si>
  <si>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</si>
  <si>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</si>
  <si>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</si>
  <si>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</si>
  <si>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</si>
  <si>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</si>
  <si>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</si>
  <si>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</si>
  <si>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</si>
  <si>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</si>
  <si>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</si>
  <si>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</si>
  <si>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</si>
  <si>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</si>
  <si>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</si>
  <si>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</si>
  <si>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</si>
  <si>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</si>
  <si>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</si>
  <si>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</si>
  <si>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</si>
  <si>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</si>
  <si>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</si>
  <si>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</si>
  <si>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</si>
  <si>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</si>
  <si>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</si>
  <si>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</si>
  <si>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</si>
  <si>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</si>
  <si>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</si>
  <si>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</si>
  <si>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</si>
  <si>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</si>
  <si>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</si>
  <si>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</si>
  <si>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</si>
  <si>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</si>
  <si>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</si>
  <si>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</si>
  <si>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</si>
  <si>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</si>
  <si>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</si>
  <si>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</si>
  <si>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</si>
  <si>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</si>
  <si>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</si>
  <si>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</si>
  <si>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</si>
  <si>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</si>
  <si>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</si>
  <si>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</si>
  <si>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</si>
  <si>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</si>
  <si>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</si>
  <si>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</si>
  <si>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</si>
  <si>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</si>
  <si>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</si>
  <si>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</si>
  <si>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</si>
  <si>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</si>
  <si>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</si>
  <si>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</si>
  <si>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</si>
  <si>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</si>
  <si>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</si>
  <si>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</si>
  <si>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</si>
  <si>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</si>
  <si>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</si>
  <si>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</si>
  <si>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</si>
  <si>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</si>
  <si>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</si>
  <si>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</si>
  <si>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</si>
  <si>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</si>
  <si>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</si>
  <si>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</si>
  <si>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</si>
  <si>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</si>
  <si>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</si>
  <si>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</si>
  <si>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</si>
  <si>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</si>
  <si>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</si>
  <si>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</si>
  <si>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</si>
  <si>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</si>
  <si>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</si>
  <si>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</si>
  <si>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</si>
  <si>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</si>
  <si>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</si>
  <si>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</si>
  <si>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</si>
  <si>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</si>
  <si>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</si>
  <si>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</si>
  <si>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</si>
  <si>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</si>
  <si>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</si>
  <si>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</si>
  <si>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</si>
  <si>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</si>
  <si>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</si>
  <si>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</si>
  <si>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</si>
  <si>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</si>
  <si>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</si>
  <si>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</si>
  <si>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</si>
  <si>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</si>
  <si>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</si>
  <si>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</si>
  <si>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</si>
  <si>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</si>
  <si>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</si>
  <si>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</si>
  <si>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</si>
  <si>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</si>
  <si>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</si>
  <si>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</si>
  <si>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</si>
  <si>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</si>
  <si>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</si>
  <si>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</si>
  <si>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</si>
  <si>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</si>
  <si>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</si>
  <si>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</si>
  <si>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</si>
  <si>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</si>
  <si>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</si>
  <si>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</si>
  <si>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</si>
  <si>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</si>
  <si>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</si>
  <si>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</si>
  <si>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</si>
  <si>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</si>
  <si>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</si>
  <si>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</si>
  <si>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</si>
  <si>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</si>
  <si>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</si>
  <si>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</si>
  <si>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</si>
  <si>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</si>
  <si>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</si>
  <si>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</si>
  <si>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</si>
  <si>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</si>
  <si>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</si>
  <si>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</si>
  <si>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</si>
  <si>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</si>
  <si>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</si>
  <si>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</si>
  <si>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</si>
  <si>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</si>
  <si>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</si>
  <si>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</si>
  <si>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</si>
  <si>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</si>
  <si>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</si>
  <si>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</si>
  <si>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</si>
  <si>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</si>
  <si>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</si>
  <si>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</si>
  <si>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</si>
  <si>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</si>
  <si>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</si>
  <si>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</si>
  <si>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</si>
  <si>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</si>
  <si>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</si>
  <si>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</si>
  <si>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</si>
  <si>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</si>
  <si>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</si>
  <si>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</si>
  <si>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</si>
  <si>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</si>
  <si>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</si>
  <si>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</si>
  <si>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</si>
  <si>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</si>
  <si>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</si>
  <si>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</si>
  <si>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</si>
  <si>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</si>
  <si>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</si>
  <si>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</si>
  <si>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</si>
  <si>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</si>
  <si>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</si>
  <si>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</si>
  <si>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</si>
  <si>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</si>
  <si>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</si>
  <si>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</si>
  <si>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</si>
  <si>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</si>
  <si>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</si>
  <si>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</si>
  <si>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</si>
  <si>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</si>
  <si>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</si>
  <si>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</si>
  <si>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</si>
  <si>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</si>
  <si>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</si>
  <si>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</si>
  <si>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</si>
  <si>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</si>
  <si>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</si>
  <si>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</si>
  <si>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</si>
  <si>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</si>
  <si>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</si>
  <si>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</si>
  <si>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</si>
  <si>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</si>
  <si>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</si>
  <si>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</si>
  <si>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</si>
  <si>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</si>
  <si>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</si>
  <si>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</si>
  <si>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</si>
  <si>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</si>
  <si>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</si>
  <si>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</si>
  <si>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</si>
  <si>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</si>
  <si>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</si>
  <si>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</si>
  <si>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</si>
  <si>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</si>
  <si>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</si>
  <si>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</si>
  <si>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</si>
  <si>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</si>
  <si>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</si>
  <si>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</si>
  <si>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</si>
  <si>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</si>
  <si>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</si>
  <si>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</si>
  <si>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</si>
  <si>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</si>
  <si>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</si>
  <si>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</si>
  <si>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</si>
  <si>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</si>
  <si>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</si>
  <si>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</si>
  <si>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</si>
  <si>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</si>
  <si>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</si>
  <si>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</si>
  <si>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</si>
  <si>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</si>
  <si>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</si>
  <si>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</si>
  <si>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</si>
  <si>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</si>
  <si>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</si>
  <si>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</si>
  <si>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</si>
  <si>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</si>
  <si>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</si>
  <si>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</si>
  <si>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</si>
  <si>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</si>
  <si>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</si>
  <si>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</si>
  <si>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</si>
  <si>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</si>
  <si>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</si>
  <si>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</si>
  <si>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</si>
  <si>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</si>
  <si>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</si>
  <si>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</si>
  <si>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</si>
  <si>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</si>
  <si>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</si>
  <si>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</si>
  <si>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</si>
  <si>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</si>
  <si>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</si>
  <si>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</si>
  <si>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</si>
  <si>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</si>
  <si>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</si>
  <si>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</si>
  <si>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</si>
  <si>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</si>
  <si>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</si>
  <si>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</si>
  <si>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</si>
  <si>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</si>
  <si>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</si>
  <si>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</si>
  <si>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</si>
  <si>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</si>
  <si>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</si>
  <si>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</si>
  <si>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</si>
  <si>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</si>
  <si>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</si>
  <si>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</si>
  <si>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</si>
  <si>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</si>
  <si>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</si>
  <si>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</si>
  <si>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</si>
  <si>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</si>
  <si>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</si>
  <si>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</si>
  <si>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</si>
  <si>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</si>
  <si>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</si>
  <si>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</si>
  <si>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</si>
  <si>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</si>
  <si>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</si>
  <si>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</si>
  <si>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</si>
  <si>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</si>
  <si>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</si>
  <si>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</si>
  <si>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</si>
  <si>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</si>
  <si>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</si>
  <si>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</si>
  <si>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</si>
  <si>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</si>
  <si>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</si>
  <si>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</si>
  <si>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</si>
  <si>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</si>
  <si>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</si>
  <si>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</si>
  <si>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</si>
  <si>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</si>
  <si>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</si>
  <si>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</si>
  <si>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</si>
  <si>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</si>
  <si>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</si>
  <si>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</si>
  <si>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</si>
  <si>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</si>
  <si>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</si>
  <si>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</si>
  <si>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</si>
  <si>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</si>
  <si>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</si>
  <si>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</si>
  <si>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</si>
  <si>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</si>
  <si>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</si>
  <si>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</si>
  <si>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</si>
  <si>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</si>
  <si>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</si>
  <si>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</si>
  <si>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</si>
  <si>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</si>
  <si>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</si>
  <si>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</si>
  <si>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</si>
  <si>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</si>
  <si>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</si>
  <si>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</si>
  <si>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</si>
  <si>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</si>
  <si>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</si>
  <si>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</si>
  <si>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</si>
  <si>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</si>
  <si>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</si>
  <si>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</si>
  <si>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</si>
  <si>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</si>
  <si>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</si>
  <si>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</si>
  <si>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</si>
  <si>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</si>
  <si>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</si>
  <si>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</si>
  <si>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</si>
  <si>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</si>
  <si>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</si>
  <si>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</si>
  <si>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</si>
  <si>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</si>
  <si>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</si>
  <si>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</si>
  <si>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</si>
  <si>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</si>
  <si>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</si>
  <si>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</si>
  <si>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</si>
  <si>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</si>
  <si>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</si>
  <si>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</si>
  <si>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</si>
  <si>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</si>
  <si>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</si>
  <si>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</si>
  <si>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</si>
  <si>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</si>
  <si>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</si>
  <si>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</si>
  <si>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</si>
  <si>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</si>
  <si>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</si>
  <si>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</si>
  <si>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</si>
  <si>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</si>
  <si>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</si>
  <si>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</si>
  <si>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</si>
  <si>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</si>
  <si>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</si>
  <si>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</si>
  <si>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</si>
  <si>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</si>
  <si>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</si>
  <si>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</si>
  <si>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</si>
  <si>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</si>
  <si>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</si>
  <si>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</si>
  <si>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</si>
  <si>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</si>
  <si>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</si>
  <si>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</si>
  <si>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</si>
  <si>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</si>
  <si>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</si>
  <si>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</si>
  <si>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</si>
  <si>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</si>
  <si>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</si>
  <si>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</si>
  <si>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</si>
  <si>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</si>
  <si>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</si>
  <si>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</si>
  <si>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</si>
  <si>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</si>
  <si>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</si>
  <si>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</si>
  <si>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</si>
  <si>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</si>
  <si>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</si>
  <si>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</si>
  <si>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</si>
  <si>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</si>
  <si>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</si>
  <si>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</si>
  <si>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</si>
  <si>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</si>
  <si>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</si>
  <si>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</si>
  <si>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</si>
  <si>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</si>
  <si>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</si>
  <si>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</si>
  <si>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</si>
  <si>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</si>
  <si>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</si>
  <si>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</si>
  <si>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</si>
  <si>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</si>
  <si>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</si>
  <si>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</si>
  <si>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</si>
  <si>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</si>
  <si>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</si>
  <si>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</si>
  <si>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</si>
  <si>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</si>
  <si>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</si>
  <si>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</si>
  <si>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</si>
  <si>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</si>
  <si>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</si>
  <si>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</si>
  <si>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</si>
  <si>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</si>
  <si>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</si>
  <si>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</si>
  <si>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</si>
  <si>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</si>
  <si>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</si>
  <si>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</si>
  <si>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</si>
  <si>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</si>
  <si>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</si>
  <si>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</si>
  <si>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</si>
  <si>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</si>
  <si>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</si>
  <si>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</si>
  <si>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</si>
  <si>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</si>
  <si>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</si>
  <si>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</si>
  <si>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</si>
  <si>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</si>
  <si>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</si>
  <si>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</si>
  <si>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</si>
  <si>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</si>
  <si>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</si>
  <si>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</si>
  <si>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</si>
  <si>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</si>
  <si>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</si>
  <si>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</si>
  <si>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</si>
  <si>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</si>
  <si>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</si>
  <si>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</si>
  <si>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</si>
  <si>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</si>
  <si>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</si>
  <si>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</si>
  <si>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</si>
  <si>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</si>
  <si>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</si>
  <si>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</si>
  <si>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</si>
  <si>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</si>
  <si>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</si>
  <si>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</si>
  <si>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</si>
  <si>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</si>
  <si>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</si>
  <si>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</si>
  <si>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</si>
  <si>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</si>
  <si>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</si>
  <si>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</si>
  <si>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</si>
  <si>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</si>
  <si>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</si>
  <si>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</si>
  <si>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</si>
  <si>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</si>
  <si>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</si>
  <si>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</si>
  <si>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</si>
  <si>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</si>
  <si>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</si>
  <si>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</si>
  <si>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</si>
  <si>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</si>
  <si>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</si>
  <si>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</si>
  <si>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</si>
  <si>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</si>
  <si>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</si>
  <si>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</si>
  <si>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</si>
  <si>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</si>
  <si>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</si>
  <si>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</si>
  <si>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</si>
  <si>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</si>
  <si>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</si>
  <si>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</si>
  <si>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</si>
  <si>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</si>
  <si>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</si>
  <si>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</si>
  <si>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</si>
  <si>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</si>
  <si>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</si>
  <si>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</si>
  <si>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</si>
  <si>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</si>
  <si>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</si>
  <si>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</si>
  <si>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</si>
  <si>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</si>
  <si>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</si>
  <si>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</si>
  <si>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</si>
  <si>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</si>
  <si>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</si>
  <si>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</si>
  <si>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</si>
  <si>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</si>
  <si>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</si>
  <si>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</si>
  <si>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</si>
  <si>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</si>
  <si>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</si>
  <si>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</si>
  <si>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</si>
  <si>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</si>
  <si>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</si>
  <si>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</si>
  <si>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</si>
  <si>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</si>
  <si>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</si>
  <si>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</si>
  <si>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</si>
  <si>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</si>
  <si>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</si>
  <si>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</si>
  <si>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</si>
  <si>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</si>
  <si>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</si>
  <si>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</si>
  <si>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</si>
  <si>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</si>
  <si>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</si>
  <si>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</si>
  <si>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</si>
  <si>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</si>
  <si>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</si>
  <si>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</si>
  <si>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</si>
  <si>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</si>
  <si>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</si>
  <si>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</si>
  <si>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</si>
  <si>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</si>
  <si>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</si>
  <si>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</si>
  <si>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</si>
  <si>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</si>
  <si>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</si>
  <si>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</si>
  <si>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</si>
  <si>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</si>
  <si>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</si>
  <si>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</si>
  <si>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</si>
  <si>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</si>
  <si>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</si>
  <si>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</si>
  <si>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</si>
  <si>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</si>
  <si>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</si>
  <si>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</si>
  <si>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</si>
  <si>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</si>
  <si>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</si>
  <si>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</si>
  <si>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</si>
  <si>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</si>
  <si>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</si>
  <si>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</si>
  <si>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</si>
  <si>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</si>
  <si>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</si>
  <si>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</si>
  <si>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</si>
  <si>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</si>
  <si>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</si>
  <si>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</si>
  <si>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</si>
  <si>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</si>
  <si>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</si>
  <si>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</si>
  <si>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</si>
  <si>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</si>
  <si>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</si>
  <si>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</si>
  <si>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</si>
  <si>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</si>
  <si>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</si>
  <si>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</si>
  <si>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</si>
  <si>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</si>
  <si>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</si>
  <si>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</si>
  <si>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</si>
  <si>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</si>
  <si>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</si>
  <si>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</si>
  <si>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</si>
  <si>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</si>
  <si>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</si>
  <si>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</si>
  <si>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</si>
  <si>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</si>
  <si>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</si>
  <si>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</si>
  <si>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</si>
  <si>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</si>
  <si>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</si>
  <si>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</si>
  <si>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</si>
  <si>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</si>
  <si>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</si>
  <si>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</si>
  <si>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</si>
  <si>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</si>
  <si>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</si>
  <si>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</si>
  <si>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</si>
  <si>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</si>
  <si>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</si>
  <si>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</si>
  <si>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</si>
  <si>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</si>
  <si>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</si>
  <si>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</si>
  <si>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</si>
  <si>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</si>
  <si>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</si>
  <si>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</si>
  <si>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</si>
  <si>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</si>
  <si>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</si>
  <si>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</si>
  <si>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</si>
  <si>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</si>
  <si>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</si>
  <si>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</si>
  <si>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</si>
  <si>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</si>
  <si>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</si>
  <si>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</si>
  <si>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</si>
  <si>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</si>
  <si>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</si>
  <si>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</si>
  <si>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</si>
  <si>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</si>
  <si>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</si>
  <si>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</si>
  <si>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</si>
  <si>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</si>
  <si>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</si>
  <si>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</si>
  <si>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</si>
  <si>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</si>
  <si>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</si>
  <si>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</si>
  <si>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</si>
  <si>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</si>
  <si>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</si>
  <si>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</si>
  <si>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</si>
  <si>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</si>
  <si>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</si>
  <si>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</si>
  <si>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</si>
  <si>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</si>
  <si>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</si>
  <si>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</si>
  <si>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</si>
  <si>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</si>
  <si>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</si>
  <si>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</si>
  <si>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</si>
  <si>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</si>
  <si>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</si>
  <si>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</si>
  <si>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</si>
  <si>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</si>
  <si>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</si>
  <si>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</si>
  <si>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</si>
  <si>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</si>
  <si>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</si>
  <si>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</si>
  <si>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</si>
  <si>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</si>
  <si>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</si>
  <si>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</si>
  <si>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</si>
  <si>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</si>
  <si>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</si>
  <si>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</si>
  <si>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</si>
  <si>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</si>
  <si>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</si>
  <si>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</si>
  <si>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</si>
  <si>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</si>
  <si>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</si>
  <si>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</si>
  <si>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</si>
  <si>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</si>
  <si>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</si>
  <si>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</si>
  <si>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</si>
  <si>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</si>
  <si>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</si>
  <si>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</si>
  <si>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</si>
  <si>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</si>
  <si>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</si>
  <si>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</si>
  <si>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</si>
  <si>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</si>
  <si>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</si>
  <si>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</si>
  <si>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</si>
  <si>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</si>
  <si>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</si>
  <si>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</si>
  <si>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</si>
  <si>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</si>
  <si>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</si>
  <si>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</si>
  <si>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</si>
  <si>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</si>
  <si>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</si>
  <si>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</si>
  <si>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</si>
  <si>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</si>
  <si>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</si>
  <si>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</si>
  <si>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</si>
  <si>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</si>
  <si>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</si>
  <si>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</si>
  <si>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</si>
  <si>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</si>
  <si>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</si>
  <si>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</si>
  <si>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</si>
  <si>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</si>
  <si>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</si>
  <si>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</si>
  <si>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</si>
  <si>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</si>
  <si>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</si>
  <si>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</si>
  <si>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</si>
  <si>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</si>
  <si>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</si>
  <si>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</si>
  <si>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</si>
  <si>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</si>
  <si>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</si>
  <si>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</si>
  <si>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</si>
  <si>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</si>
  <si>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</si>
  <si>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</si>
  <si>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</si>
  <si>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</si>
  <si>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</si>
  <si>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</si>
  <si>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</si>
  <si>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</si>
  <si>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</si>
  <si>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</si>
  <si>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</si>
  <si>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</si>
  <si>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</si>
  <si>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</si>
  <si>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</si>
  <si>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</si>
  <si>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</si>
  <si>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</si>
  <si>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</si>
  <si>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</si>
  <si>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</si>
  <si>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</si>
  <si>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</si>
  <si>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</si>
  <si>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</si>
  <si>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</si>
  <si>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</si>
  <si>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</si>
  <si>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</si>
  <si>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</si>
  <si>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</si>
  <si>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</si>
  <si>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</si>
  <si>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</si>
  <si>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</si>
  <si>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</si>
  <si>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</si>
  <si>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</si>
  <si>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</si>
  <si>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</si>
  <si>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</si>
  <si>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</si>
  <si>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</si>
  <si>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</si>
  <si>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</si>
  <si>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</si>
  <si>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</si>
  <si>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</si>
  <si>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</si>
  <si>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</si>
  <si>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</si>
  <si>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</si>
  <si>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</si>
  <si>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</si>
  <si>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</si>
  <si>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</si>
  <si>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</si>
  <si>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</si>
  <si>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</si>
  <si>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</si>
  <si>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</si>
  <si>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</si>
  <si>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</si>
  <si>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</si>
  <si>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</si>
  <si>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</si>
  <si>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</si>
  <si>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</si>
  <si>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</si>
  <si>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</si>
  <si>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</si>
  <si>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</si>
  <si>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</si>
  <si>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</si>
  <si>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</si>
  <si>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</si>
  <si>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</si>
  <si>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</si>
  <si>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</si>
  <si>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</si>
  <si>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</si>
  <si>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</si>
  <si>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</si>
  <si>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</si>
  <si>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</si>
  <si>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</si>
  <si>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</si>
  <si>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</si>
  <si>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</si>
  <si>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</si>
  <si>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</si>
  <si>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</si>
  <si>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</si>
  <si>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</si>
  <si>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</si>
  <si>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</si>
  <si>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</si>
  <si>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</si>
  <si>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</si>
  <si>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</si>
  <si>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</si>
  <si>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</si>
  <si>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</si>
  <si>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</si>
  <si>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</si>
  <si>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</si>
  <si>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</si>
  <si>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</si>
  <si>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</si>
  <si>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</si>
  <si>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</si>
  <si>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</si>
  <si>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</si>
  <si>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</si>
  <si>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</si>
  <si>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</si>
  <si>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</si>
  <si>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</si>
  <si>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</si>
  <si>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</si>
  <si>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</si>
  <si>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</si>
  <si>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</si>
  <si>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</si>
  <si>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</si>
  <si>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</si>
  <si>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</si>
  <si>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</si>
  <si>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</si>
  <si>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</si>
  <si>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</si>
  <si>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</si>
  <si>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</si>
  <si>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</si>
  <si>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</si>
  <si>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</si>
  <si>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</si>
  <si>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</si>
  <si>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</si>
  <si>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</si>
  <si>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</si>
  <si>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</si>
  <si>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</si>
  <si>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</si>
  <si>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</si>
  <si>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</si>
  <si>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</si>
  <si>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</si>
  <si>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</si>
  <si>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</si>
  <si>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</si>
  <si>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</si>
  <si>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</si>
  <si>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</si>
  <si>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</si>
  <si>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</si>
  <si>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</si>
  <si>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</si>
  <si>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</si>
  <si>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</si>
  <si>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</si>
  <si>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</si>
  <si>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</si>
  <si>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</si>
  <si>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</si>
  <si>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</si>
  <si>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</si>
  <si>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</si>
  <si>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</si>
  <si>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</si>
  <si>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</si>
  <si>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</si>
  <si>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</si>
  <si>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</si>
  <si>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</si>
  <si>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</si>
  <si>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</si>
  <si>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</si>
  <si>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</si>
  <si>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</si>
  <si>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</si>
  <si>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</si>
  <si>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</si>
  <si>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</si>
  <si>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</si>
  <si>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</si>
  <si>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</si>
  <si>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</si>
  <si>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</si>
  <si>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</si>
  <si>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</si>
  <si>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</si>
  <si>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</si>
  <si>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</si>
  <si>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</si>
  <si>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</si>
  <si>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</si>
  <si>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</si>
  <si>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</si>
  <si>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</si>
  <si>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</si>
  <si>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</si>
  <si>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</si>
  <si>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</si>
  <si>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</si>
  <si>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</si>
  <si>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</si>
  <si>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</si>
  <si>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</si>
  <si>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</si>
  <si>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</si>
  <si>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</si>
  <si>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</si>
  <si>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</si>
  <si>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</si>
  <si>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</si>
  <si>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</si>
  <si>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</si>
  <si>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</si>
  <si>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</si>
  <si>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</si>
  <si>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</si>
  <si>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</si>
  <si>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</si>
  <si>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</si>
  <si>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</si>
  <si>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</si>
  <si>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</si>
  <si>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</si>
  <si>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</si>
  <si>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</si>
  <si>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</si>
  <si>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</si>
  <si>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</si>
  <si>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</si>
  <si>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</si>
  <si>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</si>
  <si>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</si>
  <si>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</si>
  <si>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</si>
  <si>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</si>
  <si>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</si>
  <si>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</si>
  <si>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</si>
  <si>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</si>
  <si>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</si>
  <si>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</si>
  <si>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</si>
  <si>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</si>
  <si>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</si>
  <si>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</si>
  <si>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</si>
  <si>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</si>
  <si>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</si>
  <si>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</si>
  <si>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</si>
  <si>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</si>
  <si>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</si>
  <si>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</si>
  <si>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</si>
  <si>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</si>
  <si>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</si>
  <si>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</si>
  <si>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</si>
  <si>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</si>
  <si>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</si>
  <si>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</si>
  <si>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</si>
  <si>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</si>
  <si>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</si>
  <si>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</si>
  <si>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</si>
  <si>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</si>
  <si>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</si>
  <si>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</si>
  <si>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</si>
  <si>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</si>
  <si>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</si>
  <si>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</si>
  <si>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</si>
  <si>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</si>
  <si>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</si>
  <si>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</si>
  <si>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</si>
  <si>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</si>
  <si>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</si>
  <si>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</si>
  <si>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</si>
  <si>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</si>
  <si>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</si>
  <si>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</si>
  <si>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</si>
  <si>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</si>
  <si>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</si>
  <si>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</si>
  <si>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</si>
  <si>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</si>
  <si>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</si>
  <si>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</si>
  <si>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</si>
  <si>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</si>
  <si>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</si>
  <si>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</si>
  <si>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</si>
  <si>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</si>
  <si>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</si>
  <si>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</si>
  <si>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</si>
  <si>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</si>
  <si>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</si>
  <si>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</si>
  <si>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</si>
  <si>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</si>
  <si>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</si>
  <si>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</si>
  <si>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</si>
  <si>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</si>
  <si>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</si>
  <si>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</si>
  <si>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</si>
  <si>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</si>
  <si>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</si>
  <si>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</si>
  <si>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</si>
  <si>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</si>
  <si>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</si>
  <si>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</si>
  <si>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</si>
  <si>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</si>
  <si>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</si>
  <si>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</si>
  <si>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</si>
  <si>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</si>
  <si>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</si>
  <si>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</si>
  <si>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</si>
  <si>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</si>
  <si>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</si>
  <si>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</si>
  <si>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</si>
  <si>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</si>
  <si>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</si>
  <si>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</si>
  <si>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</si>
  <si>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</si>
  <si>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</si>
  <si>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</si>
  <si>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</si>
  <si>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</si>
  <si>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</si>
  <si>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</si>
  <si>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</si>
  <si>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</si>
  <si>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</si>
  <si>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</si>
  <si>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</si>
  <si>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</si>
  <si>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</si>
  <si>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</si>
  <si>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</si>
  <si>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</si>
  <si>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</si>
  <si>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</si>
  <si>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</si>
  <si>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</si>
  <si>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</si>
  <si>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</si>
  <si>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</si>
  <si>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</si>
  <si>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</si>
  <si>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</si>
  <si>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</si>
  <si>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</si>
  <si>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</si>
  <si>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</si>
  <si>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</si>
  <si>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</si>
  <si>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</si>
  <si>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</si>
  <si>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</si>
  <si>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</si>
  <si>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</si>
  <si>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</si>
  <si>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</si>
  <si>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</si>
  <si>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</si>
  <si>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</si>
  <si>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</si>
  <si>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</si>
  <si>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</si>
  <si>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</si>
  <si>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</si>
  <si>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</si>
  <si>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</si>
  <si>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</si>
  <si>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</si>
  <si>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</si>
  <si>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</si>
  <si>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</si>
  <si>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</si>
  <si>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</si>
  <si>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</si>
  <si>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</si>
  <si>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</si>
  <si>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</si>
  <si>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</si>
  <si>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</si>
  <si>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</si>
  <si>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</si>
  <si>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</si>
  <si>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</si>
  <si>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</si>
  <si>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</si>
  <si>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</si>
  <si>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</si>
  <si>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</si>
  <si>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</si>
  <si>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</si>
  <si>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</si>
  <si>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</si>
  <si>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</si>
  <si>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</si>
  <si>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</si>
  <si>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</si>
  <si>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</si>
  <si>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</si>
  <si>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</si>
  <si>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</si>
  <si>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</si>
  <si>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</si>
  <si>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</si>
  <si>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</si>
  <si>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</si>
  <si>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</si>
  <si>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</si>
  <si>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</si>
  <si>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</si>
  <si>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</si>
  <si>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</si>
  <si>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</si>
  <si>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</si>
  <si>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</si>
  <si>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</si>
  <si>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</si>
  <si>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</si>
  <si>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</si>
  <si>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</si>
  <si>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</si>
  <si>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</si>
  <si>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</si>
  <si>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</si>
  <si>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</si>
  <si>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</si>
  <si>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</si>
  <si>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</si>
  <si>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</si>
  <si>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</si>
  <si>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</si>
  <si>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</si>
  <si>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</si>
  <si>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</si>
  <si>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</si>
  <si>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</si>
  <si>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</si>
  <si>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</si>
  <si>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</si>
  <si>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</si>
  <si>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</si>
  <si>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</si>
  <si>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</si>
  <si>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</si>
  <si>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</si>
  <si>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</si>
  <si>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</si>
  <si>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</si>
  <si>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</si>
  <si>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</si>
  <si>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</si>
  <si>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</si>
  <si>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</si>
  <si>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</si>
  <si>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</si>
  <si>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</si>
  <si>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</si>
  <si>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</si>
  <si>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</si>
  <si>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</si>
  <si>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</si>
  <si>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</si>
  <si>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</si>
  <si>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</si>
  <si>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</si>
  <si>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</si>
  <si>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</si>
  <si>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</si>
  <si>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</si>
  <si>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</si>
  <si>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</si>
  <si>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</si>
  <si>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</si>
  <si>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</si>
  <si>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</si>
  <si>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</si>
  <si>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</si>
  <si>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</si>
  <si>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</si>
  <si>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</si>
  <si>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</si>
  <si>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</si>
  <si>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</si>
  <si>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</si>
  <si>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</si>
  <si>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</si>
  <si>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</si>
  <si>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</si>
  <si>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</si>
  <si>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</si>
  <si>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</si>
  <si>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</si>
  <si>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</si>
  <si>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</si>
  <si>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</si>
  <si>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</si>
  <si>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</si>
  <si>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</si>
  <si>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</si>
  <si>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</si>
  <si>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</si>
  <si>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</si>
  <si>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</si>
  <si>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</si>
  <si>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</si>
  <si>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</si>
  <si>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</si>
  <si>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</si>
  <si>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</si>
  <si>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</si>
  <si>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</si>
  <si>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</si>
  <si>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</si>
  <si>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</si>
  <si>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</si>
  <si>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</si>
  <si>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</si>
  <si>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</si>
  <si>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</si>
  <si>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</si>
  <si>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</si>
  <si>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</si>
  <si>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</si>
  <si>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</si>
  <si>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</si>
  <si>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</si>
  <si>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</si>
  <si>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</si>
  <si>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</si>
  <si>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</si>
  <si>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</si>
  <si>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</si>
  <si>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</si>
  <si>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</si>
  <si>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</si>
  <si>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</si>
  <si>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</si>
  <si>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</si>
  <si>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</si>
  <si>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</si>
  <si>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</si>
  <si>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</si>
  <si>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</si>
  <si>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</si>
  <si>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</si>
  <si>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</si>
  <si>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</si>
  <si>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</si>
  <si>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</si>
  <si>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</si>
  <si>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</si>
  <si>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</si>
  <si>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</si>
  <si>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</si>
  <si>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</si>
  <si>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</si>
  <si>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</si>
  <si>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</si>
  <si>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</si>
  <si>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</si>
  <si>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</si>
  <si>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</si>
  <si>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</si>
  <si>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</si>
  <si>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</si>
  <si>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</si>
  <si>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</si>
  <si>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</si>
  <si>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</si>
  <si>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</si>
  <si>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</si>
  <si>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</si>
  <si>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</si>
  <si>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</si>
  <si>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</si>
  <si>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</si>
  <si>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</si>
  <si>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</si>
  <si>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</si>
  <si>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</si>
  <si>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</si>
  <si>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</si>
  <si>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</si>
  <si>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</si>
  <si>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</si>
  <si>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</si>
  <si>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</si>
  <si>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</si>
  <si>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</si>
  <si>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</si>
  <si>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</si>
  <si>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</si>
  <si>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</si>
  <si>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</si>
  <si>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</si>
  <si>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</si>
  <si>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</si>
  <si>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</si>
  <si>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</si>
  <si>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</si>
  <si>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</si>
  <si>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</si>
  <si>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</si>
  <si>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</si>
  <si>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</si>
  <si>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</si>
  <si>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</si>
  <si>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</si>
  <si>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</si>
  <si>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</si>
  <si>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</si>
  <si>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</si>
  <si>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</si>
  <si>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</si>
  <si>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</si>
  <si>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</si>
  <si>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</si>
  <si>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</si>
  <si>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</si>
  <si>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</si>
  <si>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</si>
  <si>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</si>
  <si>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</si>
  <si>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</si>
  <si>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</si>
  <si>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</si>
  <si>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</si>
  <si>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</si>
  <si>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</si>
  <si>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</si>
  <si>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</si>
  <si>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</si>
  <si>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</si>
  <si>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</si>
  <si>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</si>
  <si>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</si>
  <si>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</si>
  <si>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</si>
  <si>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</si>
  <si>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</si>
  <si>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</si>
  <si>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</si>
  <si>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</si>
  <si>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</si>
  <si>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</si>
  <si>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</si>
  <si>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</si>
  <si>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</si>
  <si>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</si>
  <si>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</si>
  <si>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</si>
  <si>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</si>
  <si>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</si>
  <si>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</si>
  <si>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</si>
  <si>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</si>
  <si>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</si>
  <si>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</si>
  <si>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</si>
  <si>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</si>
  <si>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</si>
  <si>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</si>
  <si>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</si>
  <si>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</si>
  <si>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</si>
  <si>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</si>
  <si>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</si>
  <si>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</si>
  <si>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</si>
  <si>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</si>
  <si>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</si>
  <si>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</si>
  <si>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</si>
  <si>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</si>
  <si>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</si>
  <si>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</si>
  <si>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</si>
  <si>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</si>
  <si>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</si>
  <si>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</si>
  <si>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</si>
  <si>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</si>
  <si>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</si>
  <si>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</si>
  <si>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</si>
  <si>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</si>
  <si>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</si>
  <si>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</si>
  <si>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</si>
  <si>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</si>
  <si>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</si>
  <si>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</si>
  <si>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</si>
  <si>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</si>
  <si>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</si>
  <si>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</si>
  <si>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</si>
  <si>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</si>
  <si>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</si>
  <si>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</si>
  <si>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</si>
  <si>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</si>
  <si>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</si>
  <si>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</si>
  <si>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</si>
  <si>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</si>
  <si>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</si>
  <si>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</si>
  <si>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</si>
  <si>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</si>
  <si>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</si>
  <si>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</si>
  <si>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</si>
  <si>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</si>
  <si>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</si>
  <si>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</si>
  <si>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</si>
  <si>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</si>
  <si>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</si>
  <si>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</si>
  <si>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</si>
  <si>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</si>
  <si>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</si>
  <si>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</si>
  <si>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</si>
  <si>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</si>
  <si>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</si>
  <si>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</si>
  <si>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</si>
  <si>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</si>
  <si>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</si>
  <si>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</si>
  <si>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</si>
  <si>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</si>
  <si>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</si>
  <si>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</si>
  <si>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</si>
  <si>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</si>
  <si>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</si>
  <si>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</si>
  <si>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</si>
  <si>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</si>
  <si>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</si>
  <si>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</si>
  <si>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</si>
  <si>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</si>
  <si>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</si>
  <si>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</si>
  <si>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</si>
  <si>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</si>
  <si>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</si>
  <si>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</si>
  <si>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</si>
  <si>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</si>
  <si>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</si>
  <si>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</si>
  <si>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</si>
  <si>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</si>
  <si>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</si>
  <si>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</si>
  <si>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</si>
  <si>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</si>
  <si>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</si>
  <si>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</si>
  <si>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</si>
  <si>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</si>
  <si>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</si>
  <si>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</si>
  <si>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</si>
  <si>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</si>
  <si>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</si>
  <si>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</si>
  <si>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</si>
  <si>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</si>
  <si>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</si>
  <si>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</si>
  <si>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</si>
  <si>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</si>
  <si>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</si>
  <si>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</si>
  <si>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</si>
  <si>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</si>
  <si>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</si>
  <si>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</si>
  <si>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</si>
  <si>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</si>
  <si>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</si>
  <si>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</si>
  <si>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</si>
  <si>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</si>
  <si>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</si>
  <si>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</si>
  <si>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</si>
  <si>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</si>
  <si>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</si>
  <si>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</si>
  <si>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</si>
  <si>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</si>
  <si>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</si>
  <si>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</si>
  <si>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</si>
  <si>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</si>
  <si>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</si>
  <si>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</si>
  <si>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</si>
  <si>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</si>
  <si>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</si>
  <si>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</si>
  <si>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</si>
  <si>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</si>
  <si>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</si>
  <si>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</si>
  <si>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</si>
  <si>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</si>
  <si>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</si>
  <si>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</si>
  <si>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</si>
  <si>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</si>
  <si>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</si>
  <si>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</si>
  <si>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</si>
  <si>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</si>
  <si>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</si>
  <si>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</si>
  <si>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</si>
  <si>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</si>
  <si>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</si>
  <si>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</si>
  <si>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</si>
  <si>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</si>
  <si>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</si>
  <si>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</si>
  <si>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</si>
  <si>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</si>
  <si>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</si>
  <si>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</si>
  <si>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</si>
  <si>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</si>
  <si>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</si>
  <si>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</si>
  <si>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</si>
  <si>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</si>
  <si>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</si>
  <si>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</si>
  <si>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</si>
  <si>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</si>
  <si>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</si>
  <si>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</si>
  <si>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</si>
  <si>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</si>
  <si>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</si>
  <si>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</si>
  <si>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</si>
  <si>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</si>
  <si>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</si>
  <si>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</si>
  <si>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</si>
  <si>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</si>
  <si>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</si>
  <si>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</si>
  <si>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</si>
  <si>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</si>
  <si>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</si>
  <si>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</si>
  <si>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</si>
  <si>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</si>
  <si>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</si>
  <si>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</si>
  <si>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</si>
  <si>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</si>
  <si>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</si>
  <si>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</si>
  <si>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</si>
  <si>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</si>
  <si>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</si>
  <si>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</si>
  <si>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</si>
  <si>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</si>
  <si>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</si>
  <si>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</si>
  <si>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</si>
  <si>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</si>
  <si>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</si>
  <si>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</si>
  <si>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</si>
  <si>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</si>
  <si>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</si>
  <si>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</si>
  <si>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</si>
  <si>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</si>
  <si>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</si>
  <si>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</si>
  <si>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</si>
  <si>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</si>
  <si>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</si>
  <si>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</si>
  <si>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</si>
  <si>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</si>
  <si>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</si>
  <si>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</si>
  <si>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</si>
  <si>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</si>
  <si>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</si>
  <si>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</si>
  <si>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</si>
  <si>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</si>
  <si>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</si>
  <si>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</si>
  <si>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</si>
  <si>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</si>
  <si>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</si>
  <si>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</si>
  <si>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</si>
  <si>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</si>
  <si>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</si>
  <si>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</si>
  <si>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</si>
  <si>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</si>
  <si>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</si>
  <si>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</si>
  <si>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</si>
  <si>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</si>
  <si>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</si>
  <si>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</si>
  <si>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</si>
  <si>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</si>
  <si>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</si>
  <si>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</si>
  <si>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</si>
  <si>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</si>
  <si>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</si>
  <si>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</si>
  <si>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</si>
  <si>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</si>
  <si>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</si>
  <si>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</si>
  <si>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</si>
  <si>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</si>
  <si>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</si>
  <si>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</si>
  <si>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</si>
  <si>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</si>
  <si>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</si>
  <si>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</si>
  <si>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</si>
  <si>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</si>
  <si>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</si>
  <si>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</si>
  <si>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</si>
  <si>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</si>
  <si>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</si>
  <si>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</si>
  <si>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</si>
  <si>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</si>
  <si>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</si>
  <si>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</si>
  <si>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</si>
  <si>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</si>
  <si>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</si>
  <si>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</si>
  <si>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</si>
  <si>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</si>
  <si>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</si>
  <si>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</si>
  <si>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</si>
  <si>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</si>
  <si>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</si>
  <si>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</si>
  <si>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</si>
  <si>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</si>
  <si>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</si>
  <si>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</si>
  <si>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</si>
  <si>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</si>
  <si>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</si>
  <si>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</si>
  <si>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</si>
  <si>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</si>
  <si>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</si>
  <si>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</si>
  <si>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</si>
  <si>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</si>
  <si>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</si>
  <si>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</si>
  <si>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</si>
  <si>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</si>
  <si>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</si>
  <si>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</si>
  <si>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</si>
  <si>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</si>
  <si>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</si>
  <si>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</si>
  <si>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</si>
  <si>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</si>
  <si>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</si>
  <si>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</si>
  <si>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</si>
  <si>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</si>
  <si>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</si>
  <si>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</si>
  <si>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</si>
  <si>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</si>
  <si>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</si>
  <si>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</si>
  <si>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</si>
  <si>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</si>
  <si>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</si>
  <si>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</si>
  <si>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</si>
  <si>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</si>
  <si>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</si>
  <si>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</si>
  <si>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</si>
  <si>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</si>
  <si>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</si>
  <si>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</si>
  <si>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</si>
  <si>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</si>
  <si>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</si>
  <si>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</si>
  <si>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</si>
  <si>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</si>
  <si>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</si>
  <si>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</si>
  <si>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</si>
  <si>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</si>
  <si>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</si>
  <si>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</si>
  <si>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</si>
  <si>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</si>
  <si>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</si>
  <si>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</si>
  <si>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</si>
  <si>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</si>
  <si>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</si>
  <si>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</si>
  <si>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</si>
  <si>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</si>
  <si>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</si>
  <si>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</si>
  <si>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</si>
  <si>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</si>
  <si>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</si>
  <si>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</si>
  <si>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</si>
  <si>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</si>
  <si>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</si>
  <si>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</si>
  <si>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</si>
  <si>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</si>
  <si>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</si>
  <si>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</si>
  <si>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</si>
  <si>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</si>
  <si>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</si>
  <si>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</si>
  <si>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</si>
  <si>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</si>
  <si>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</si>
  <si>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</si>
  <si>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</si>
  <si>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</si>
  <si>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</si>
  <si>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</si>
  <si>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</si>
  <si>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</si>
  <si>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</si>
  <si>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</si>
  <si>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</si>
  <si>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</si>
  <si>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</si>
  <si>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</si>
  <si>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</si>
  <si>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</si>
  <si>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</si>
  <si>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</si>
  <si>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</si>
  <si>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</si>
  <si>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</si>
  <si>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</si>
  <si>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</si>
  <si>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</si>
  <si>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</si>
  <si>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</si>
  <si>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</si>
  <si>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</si>
  <si>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</si>
  <si>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</si>
  <si>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</si>
  <si>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</si>
  <si>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</si>
  <si>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</si>
  <si>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</si>
  <si>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</si>
  <si>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</si>
  <si>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</si>
  <si>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</si>
  <si>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</si>
  <si>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</si>
  <si>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</si>
  <si>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</si>
  <si>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</si>
  <si>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</si>
  <si>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</si>
  <si>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</si>
  <si>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</si>
  <si>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</si>
  <si>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</si>
  <si>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</si>
  <si>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</si>
  <si>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</si>
  <si>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</si>
  <si>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</si>
  <si>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</si>
  <si>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</si>
  <si>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</si>
  <si>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</si>
  <si>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</si>
  <si>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</si>
  <si>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</si>
  <si>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</si>
  <si>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</si>
  <si>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</si>
  <si>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</si>
  <si>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</si>
  <si>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</si>
  <si>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</si>
  <si>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</si>
  <si>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</si>
  <si>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</si>
  <si>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</si>
  <si>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</si>
  <si>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</si>
  <si>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</si>
  <si>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</si>
  <si>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</si>
  <si>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</si>
  <si>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</si>
  <si>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</si>
  <si>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</si>
  <si>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</si>
  <si>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</si>
  <si>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</si>
  <si>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</si>
  <si>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</si>
  <si>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</si>
  <si>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</si>
  <si>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</si>
  <si>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</si>
  <si>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</si>
  <si>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</si>
  <si>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</si>
  <si>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</si>
  <si>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</si>
  <si>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</si>
  <si>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</si>
  <si>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</si>
  <si>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</si>
  <si>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</si>
  <si>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</si>
  <si>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</si>
  <si>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</si>
  <si>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</si>
  <si>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</si>
  <si>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</si>
  <si>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</si>
  <si>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</si>
  <si>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</si>
  <si>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</si>
  <si>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</si>
  <si>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</si>
  <si>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</si>
  <si>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</si>
  <si>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</si>
  <si>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</si>
  <si>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</si>
  <si>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</si>
  <si>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</si>
  <si>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</si>
  <si>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</si>
  <si>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</si>
  <si>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</si>
  <si>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</si>
  <si>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</si>
  <si>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</si>
  <si>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</si>
  <si>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</si>
  <si>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</si>
  <si>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</si>
  <si>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</si>
  <si>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</si>
  <si>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</si>
  <si>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</si>
  <si>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</si>
  <si>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</si>
  <si>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</si>
  <si>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</si>
  <si>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</si>
  <si>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</si>
  <si>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</si>
  <si>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</si>
  <si>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</si>
  <si>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</si>
  <si>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</si>
  <si>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</si>
  <si>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</si>
  <si>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</si>
  <si>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</si>
  <si>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</si>
  <si>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</si>
  <si>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</si>
  <si>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</si>
  <si>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</si>
  <si>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</si>
  <si>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</si>
  <si>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</si>
  <si>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</si>
  <si>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</si>
  <si>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</si>
  <si>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</si>
  <si>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</si>
  <si>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</si>
  <si>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</si>
  <si>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</si>
  <si>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</si>
  <si>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</si>
  <si>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</si>
  <si>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</si>
  <si>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</si>
  <si>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</si>
  <si>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</si>
  <si>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</si>
  <si>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</si>
  <si>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</si>
  <si>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</si>
  <si>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</si>
  <si>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</si>
  <si>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</si>
  <si>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</si>
  <si>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</si>
  <si>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</si>
  <si>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</si>
  <si>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</si>
  <si>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</si>
  <si>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</si>
  <si>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</si>
  <si>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</si>
  <si>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</si>
  <si>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</si>
  <si>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</si>
  <si>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</si>
  <si>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</si>
  <si>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</si>
  <si>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</si>
  <si>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</si>
  <si>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</si>
  <si>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</si>
  <si>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</si>
  <si>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</si>
  <si>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</si>
  <si>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</si>
  <si>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</si>
  <si>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</si>
  <si>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</si>
  <si>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</si>
  <si>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</si>
  <si>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</si>
  <si>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</si>
  <si>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</si>
  <si>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</si>
  <si>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</si>
  <si>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</si>
  <si>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</si>
  <si>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</si>
  <si>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</si>
  <si>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</si>
  <si>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</si>
  <si>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</si>
  <si>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</si>
  <si>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</si>
  <si>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</si>
  <si>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</si>
  <si>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</si>
  <si>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</si>
  <si>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</si>
  <si>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</si>
  <si>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</si>
  <si>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</si>
  <si>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</si>
  <si>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</si>
  <si>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</si>
  <si>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</si>
  <si>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</si>
  <si>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</si>
  <si>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</si>
  <si>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</si>
  <si>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</si>
  <si>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</si>
  <si>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</si>
  <si>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</si>
  <si>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</si>
  <si>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</si>
  <si>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</si>
  <si>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</si>
  <si>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</si>
  <si>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</si>
  <si>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</si>
  <si>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</si>
  <si>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</si>
  <si>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</si>
  <si>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</si>
  <si>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</si>
  <si>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</si>
  <si>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</si>
  <si>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</si>
  <si>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</si>
  <si>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</si>
  <si>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</si>
  <si>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</si>
  <si>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</si>
  <si>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</si>
  <si>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</si>
  <si>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</si>
  <si>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</si>
  <si>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</si>
  <si>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</si>
  <si>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</si>
  <si>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</si>
  <si>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</si>
  <si>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</si>
  <si>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</si>
  <si>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</si>
  <si>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</si>
  <si>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</si>
  <si>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</si>
  <si>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</si>
  <si>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</si>
  <si>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</si>
  <si>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</si>
  <si>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</si>
  <si>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</si>
  <si>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</si>
  <si>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</si>
  <si>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</si>
  <si>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</si>
  <si>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</si>
  <si>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</si>
  <si>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</si>
  <si>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</si>
  <si>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</si>
  <si>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</si>
  <si>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</si>
  <si>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</si>
  <si>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</si>
  <si>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</si>
  <si>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</si>
  <si>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</si>
  <si>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</si>
  <si>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</si>
  <si>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</si>
  <si>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</si>
  <si>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</si>
  <si>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</si>
  <si>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</si>
  <si>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</si>
  <si>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</si>
  <si>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</si>
  <si>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</si>
  <si>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</si>
  <si>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</si>
  <si>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</si>
  <si>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</si>
  <si>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</si>
  <si>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</si>
  <si>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</si>
  <si>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</si>
  <si>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</si>
  <si>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</si>
  <si>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</si>
  <si>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</si>
  <si>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</si>
  <si>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</si>
  <si>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</si>
  <si>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</si>
  <si>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</si>
  <si>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</si>
  <si>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</si>
  <si>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</si>
  <si>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</si>
  <si>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</si>
  <si>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</si>
  <si>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</si>
  <si>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</si>
  <si>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</si>
  <si>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</si>
  <si>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</si>
  <si>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</si>
  <si>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</si>
  <si>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</si>
  <si>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</si>
  <si>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</si>
  <si>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</si>
  <si>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</si>
  <si>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</si>
  <si>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</si>
  <si>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</si>
  <si>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</si>
  <si>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</si>
  <si>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</si>
  <si>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</si>
  <si>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</si>
  <si>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</si>
  <si>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</si>
  <si>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</si>
  <si>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</si>
  <si>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</si>
  <si>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</si>
  <si>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</si>
  <si>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</si>
  <si>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</si>
  <si>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</si>
  <si>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</si>
  <si>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</si>
  <si>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</si>
  <si>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</si>
  <si>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</si>
  <si>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</si>
  <si>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</si>
  <si>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</si>
  <si>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</si>
  <si>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</si>
  <si>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</si>
  <si>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</si>
  <si>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</si>
  <si>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</si>
  <si>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</si>
  <si>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</si>
  <si>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</si>
  <si>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</si>
  <si>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</si>
  <si>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</si>
  <si>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</si>
  <si>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</si>
  <si>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</si>
  <si>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</si>
  <si>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</si>
  <si>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</si>
  <si>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</si>
  <si>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</si>
  <si>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</si>
  <si>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</si>
  <si>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</si>
  <si>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</si>
  <si>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</si>
  <si>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</si>
  <si>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</si>
  <si>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</si>
  <si>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</si>
  <si>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</si>
  <si>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</si>
  <si>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</si>
  <si>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</si>
  <si>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</si>
  <si>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</si>
  <si>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</si>
  <si>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</si>
  <si>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</si>
  <si>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</si>
  <si>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</si>
  <si>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</si>
  <si>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</si>
  <si>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</si>
  <si>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</si>
  <si>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</si>
  <si>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</si>
  <si>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</si>
  <si>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</si>
  <si>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</si>
  <si>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</si>
  <si>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</si>
  <si>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</si>
  <si>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</si>
  <si>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</si>
  <si>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</si>
  <si>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</si>
  <si>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</si>
  <si>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</si>
  <si>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</si>
  <si>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</si>
  <si>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</si>
  <si>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</si>
  <si>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</si>
  <si>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</si>
  <si>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</si>
  <si>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</si>
  <si>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</si>
  <si>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</si>
  <si>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</si>
  <si>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</si>
  <si>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</si>
  <si>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</si>
  <si>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</si>
  <si>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</si>
  <si>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</si>
  <si>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</si>
  <si>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</si>
  <si>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</si>
  <si>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</si>
  <si>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</si>
  <si>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</si>
  <si>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</si>
  <si>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</si>
  <si>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</si>
  <si>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</si>
  <si>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</si>
  <si>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</si>
  <si>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</si>
  <si>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</si>
  <si>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</si>
  <si>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</si>
  <si>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</si>
  <si>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</si>
  <si>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</si>
  <si>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</si>
  <si>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</si>
  <si>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</si>
  <si>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</si>
  <si>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</si>
  <si>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</si>
  <si>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</si>
  <si>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</si>
  <si>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</si>
  <si>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</si>
  <si>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</si>
  <si>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</si>
  <si>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</si>
  <si>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</si>
  <si>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</si>
  <si>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</si>
  <si>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</si>
  <si>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</si>
  <si>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</si>
  <si>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</si>
  <si>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</si>
  <si>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</si>
  <si>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</si>
  <si>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</si>
  <si>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</si>
  <si>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</si>
  <si>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</si>
  <si>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</si>
  <si>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</si>
  <si>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</si>
  <si>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</si>
  <si>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</si>
  <si>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</si>
  <si>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</si>
  <si>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</si>
  <si>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</si>
  <si>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</si>
  <si>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</si>
  <si>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</si>
  <si>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</si>
  <si>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</si>
  <si>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</si>
  <si>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</si>
  <si>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</si>
  <si>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</si>
  <si>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</si>
  <si>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</si>
  <si>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</si>
  <si>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</si>
  <si>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</si>
  <si>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</si>
  <si>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</si>
  <si>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</si>
  <si>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</si>
  <si>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</si>
  <si>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</si>
  <si>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</si>
  <si>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</si>
  <si>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</si>
  <si>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</si>
  <si>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</si>
  <si>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</si>
  <si>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</si>
  <si>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</si>
  <si>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</si>
  <si>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</si>
  <si>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</si>
  <si>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</si>
  <si>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</si>
  <si>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</si>
  <si>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</si>
  <si>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</si>
  <si>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</si>
  <si>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</si>
  <si>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</si>
  <si>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</si>
  <si>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</si>
  <si>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</si>
  <si>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</si>
  <si>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</si>
  <si>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</si>
  <si>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</si>
  <si>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</si>
  <si>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</si>
  <si>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</si>
  <si>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</si>
  <si>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</si>
  <si>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</si>
  <si>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</si>
  <si>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</si>
  <si>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</si>
  <si>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</si>
  <si>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</si>
  <si>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</si>
  <si>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</si>
  <si>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</si>
  <si>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</si>
  <si>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</si>
  <si>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</si>
  <si>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</si>
  <si>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</si>
  <si>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</si>
  <si>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</si>
  <si>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</si>
  <si>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</si>
  <si>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</si>
  <si>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</si>
  <si>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</si>
  <si>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</si>
  <si>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</si>
  <si>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</si>
  <si>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</si>
  <si>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</si>
  <si>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</si>
  <si>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</si>
  <si>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</si>
  <si>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</si>
  <si>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</si>
  <si>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</si>
  <si>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</si>
  <si>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</si>
  <si>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</si>
  <si>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</si>
  <si>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</si>
  <si>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</si>
  <si>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</si>
  <si>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</si>
  <si>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</si>
  <si>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</si>
  <si>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</si>
  <si>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</si>
  <si>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</si>
  <si>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</si>
  <si>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</si>
  <si>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</si>
  <si>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</si>
  <si>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</si>
  <si>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</si>
  <si>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</si>
  <si>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</si>
  <si>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</si>
  <si>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</si>
  <si>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</si>
  <si>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</si>
  <si>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</si>
  <si>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</si>
  <si>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</si>
  <si>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</si>
  <si>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</si>
  <si>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</si>
  <si>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</si>
  <si>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</si>
  <si>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</si>
  <si>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</si>
  <si>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</si>
  <si>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</si>
  <si>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</si>
  <si>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</si>
  <si>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</si>
  <si>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</si>
  <si>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</si>
  <si>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</si>
  <si>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</si>
  <si>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</si>
  <si>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</si>
  <si>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</si>
  <si>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</si>
  <si>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</si>
  <si>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</si>
  <si>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</si>
  <si>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</si>
  <si>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</si>
  <si>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</si>
  <si>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</si>
  <si>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</si>
  <si>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</si>
  <si>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</si>
  <si>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</si>
  <si>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</si>
  <si>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</si>
  <si>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</si>
  <si>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</si>
  <si>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</si>
  <si>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</si>
  <si>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</si>
  <si>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</si>
  <si>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</si>
  <si>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</si>
  <si>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</si>
  <si>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</si>
  <si>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</si>
  <si>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</si>
  <si>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</si>
  <si>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</si>
  <si>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</si>
  <si>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</si>
  <si>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</si>
  <si>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</si>
  <si>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</si>
  <si>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</si>
  <si>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</si>
  <si>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</si>
  <si>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</si>
  <si>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</si>
  <si>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</si>
  <si>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</si>
  <si>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</si>
  <si>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</si>
  <si>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</si>
  <si>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</si>
  <si>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</si>
  <si>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</si>
  <si>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</si>
  <si>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</si>
  <si>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</si>
  <si>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</si>
  <si>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</si>
  <si>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</si>
  <si>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</si>
  <si>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</si>
  <si>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</si>
  <si>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</si>
  <si>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</si>
  <si>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</si>
  <si>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</si>
  <si>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</si>
  <si>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</si>
  <si>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</si>
  <si>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</si>
  <si>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</si>
  <si>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</si>
  <si>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</si>
  <si>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</si>
  <si>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</si>
  <si>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</si>
  <si>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</si>
  <si>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</si>
  <si>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</si>
  <si>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</si>
  <si>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</si>
  <si>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</si>
  <si>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</si>
  <si>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</si>
  <si>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</si>
  <si>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</si>
  <si>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</si>
  <si>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</si>
  <si>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</si>
  <si>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</si>
  <si>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</si>
  <si>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</si>
  <si>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</si>
  <si>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</si>
  <si>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</si>
  <si>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</si>
  <si>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</si>
  <si>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</si>
  <si>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</si>
  <si>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</si>
  <si>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</si>
  <si>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</si>
  <si>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</si>
  <si>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</si>
  <si>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</si>
  <si>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</si>
  <si>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</si>
  <si>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</si>
  <si>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</si>
  <si>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</si>
  <si>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</si>
  <si>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</si>
  <si>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</si>
  <si>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</si>
  <si>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</si>
  <si>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</si>
  <si>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</si>
  <si>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</si>
  <si>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</si>
  <si>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</si>
  <si>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</si>
  <si>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</si>
  <si>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</si>
  <si>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</si>
  <si>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</si>
  <si>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</si>
  <si>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</si>
  <si>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</si>
  <si>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</si>
  <si>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</si>
  <si>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</si>
  <si>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</si>
  <si>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</si>
  <si>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</si>
  <si>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</si>
  <si>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</si>
  <si>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</si>
  <si>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</si>
  <si>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</si>
  <si>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</si>
  <si>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</si>
  <si>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</si>
  <si>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</si>
  <si>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</si>
  <si>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</si>
  <si>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</si>
  <si>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</si>
  <si>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</si>
  <si>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</si>
  <si>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</si>
  <si>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</si>
  <si>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</si>
  <si>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</si>
  <si>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</si>
  <si>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</si>
  <si>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</si>
  <si>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</si>
  <si>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</si>
  <si>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</si>
  <si>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</si>
  <si>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</si>
  <si>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</si>
  <si>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</si>
  <si>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</si>
  <si>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</si>
  <si>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</si>
  <si>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</si>
  <si>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</si>
  <si>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</si>
  <si>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</si>
  <si>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</si>
  <si>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</si>
  <si>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</si>
  <si>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</si>
  <si>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</si>
  <si>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</si>
  <si>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</si>
  <si>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</si>
  <si>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</si>
  <si>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</si>
  <si>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</si>
  <si>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</si>
  <si>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</si>
  <si>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</si>
  <si>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</si>
  <si>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</si>
  <si>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</si>
  <si>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</si>
  <si>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</si>
  <si>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</si>
  <si>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</si>
  <si>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</si>
  <si>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</si>
  <si>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</si>
  <si>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</si>
  <si>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</si>
  <si>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</si>
  <si>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</si>
  <si>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</si>
  <si>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</si>
  <si>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</si>
  <si>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</si>
  <si>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</si>
  <si>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</si>
  <si>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</si>
  <si>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</si>
  <si>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</si>
  <si>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</si>
  <si>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</si>
  <si>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</si>
  <si>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</si>
  <si>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</si>
  <si>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</si>
  <si>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</si>
  <si>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</si>
  <si>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</si>
  <si>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</si>
  <si>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</si>
  <si>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</si>
  <si>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</si>
  <si>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</si>
  <si>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</si>
  <si>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</si>
  <si>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</si>
  <si>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</si>
  <si>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</si>
  <si>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</si>
  <si>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</si>
  <si>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</si>
  <si>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</si>
  <si>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</si>
  <si>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</si>
  <si>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</si>
  <si>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</si>
  <si>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</si>
  <si>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</si>
  <si>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</si>
  <si>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</si>
  <si>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</si>
  <si>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</si>
  <si>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</si>
  <si>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</si>
  <si>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</si>
  <si>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</si>
  <si>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</si>
  <si>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</si>
  <si>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</si>
  <si>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</si>
  <si>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</si>
  <si>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</si>
  <si>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</si>
  <si>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</si>
  <si>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</si>
  <si>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</si>
  <si>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</si>
  <si>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</si>
  <si>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</si>
  <si>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</si>
  <si>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</si>
  <si>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</si>
  <si>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</si>
  <si>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</si>
  <si>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</si>
  <si>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</si>
  <si>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</si>
  <si>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</si>
  <si>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</si>
  <si>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</si>
  <si>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</si>
  <si>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</si>
  <si>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</si>
  <si>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</si>
  <si>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</si>
  <si>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</si>
  <si>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</si>
  <si>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</si>
  <si>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</si>
  <si>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</si>
  <si>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</si>
  <si>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</si>
  <si>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</si>
  <si>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</si>
  <si>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</si>
  <si>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</si>
  <si>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</si>
  <si>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</si>
  <si>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</si>
  <si>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</si>
  <si>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</si>
  <si>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</si>
  <si>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</si>
  <si>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</si>
  <si>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</si>
  <si>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</si>
  <si>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</si>
  <si>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</si>
  <si>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</si>
  <si>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</si>
  <si>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</si>
  <si>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</si>
  <si>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</si>
  <si>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</si>
  <si>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</si>
  <si>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</si>
  <si>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</si>
  <si>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</si>
  <si>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</si>
  <si>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</si>
  <si>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</si>
  <si>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</si>
  <si>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</si>
  <si>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</si>
  <si>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</si>
  <si>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</si>
  <si>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</si>
  <si>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</si>
  <si>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</si>
  <si>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</si>
  <si>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</si>
  <si>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</si>
  <si>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</si>
  <si>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</si>
  <si>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</si>
  <si>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</si>
  <si>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</si>
  <si>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</si>
  <si>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</si>
  <si>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</si>
  <si>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</si>
  <si>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</si>
  <si>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</si>
  <si>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</si>
  <si>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</si>
  <si>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</si>
  <si>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</si>
  <si>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</si>
  <si>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</si>
  <si>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</si>
  <si>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</si>
  <si>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</si>
  <si>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</si>
  <si>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</si>
  <si>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</si>
  <si>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</si>
  <si>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</si>
  <si>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</si>
  <si>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</si>
  <si>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</si>
  <si>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</si>
  <si>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</si>
  <si>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</si>
  <si>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</si>
  <si>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</si>
  <si>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</si>
  <si>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</si>
  <si>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</si>
  <si>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</si>
  <si>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</si>
  <si>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</si>
  <si>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</si>
  <si>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</si>
  <si>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</si>
  <si>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</si>
  <si>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</si>
  <si>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</si>
  <si>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</si>
  <si>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</si>
  <si>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</si>
  <si>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</si>
  <si>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</si>
  <si>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</si>
  <si>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</si>
  <si>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</si>
  <si>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</si>
  <si>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</si>
  <si>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</si>
  <si>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</si>
  <si>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</si>
  <si>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</si>
  <si>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</si>
  <si>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</si>
  <si>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</si>
  <si>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</si>
  <si>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</si>
  <si>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</si>
  <si>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</si>
  <si>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</si>
  <si>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</si>
  <si>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</si>
  <si>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</si>
  <si>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</si>
  <si>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</si>
  <si>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</si>
  <si>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</si>
  <si>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</si>
  <si>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</si>
  <si>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</si>
  <si>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</si>
  <si>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</si>
  <si>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</si>
  <si>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</si>
  <si>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</si>
  <si>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</si>
  <si>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</si>
  <si>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</si>
  <si>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</si>
  <si>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</si>
  <si>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</si>
  <si>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</si>
  <si>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</si>
  <si>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</si>
  <si>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</si>
  <si>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</si>
  <si>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</si>
  <si>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</si>
  <si>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</si>
  <si>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</si>
  <si>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</si>
  <si>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</si>
  <si>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</si>
  <si>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</si>
  <si>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</si>
  <si>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</si>
  <si>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</si>
  <si>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</si>
  <si>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</si>
  <si>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</si>
  <si>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</si>
  <si>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</si>
  <si>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</si>
  <si>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</si>
  <si>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</si>
  <si>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</si>
  <si>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</si>
  <si>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</si>
  <si>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</si>
  <si>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</si>
  <si>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</si>
  <si>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</si>
  <si>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</si>
  <si>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</si>
  <si>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</si>
  <si>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</si>
  <si>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</si>
  <si>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</si>
  <si>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</si>
  <si>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</si>
  <si>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</si>
  <si>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</si>
  <si>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</si>
  <si>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</si>
  <si>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</si>
  <si>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</si>
  <si>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</si>
  <si>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</si>
  <si>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</si>
  <si>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</si>
  <si>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</si>
  <si>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</si>
  <si>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</si>
  <si>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</si>
  <si>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</si>
  <si>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</si>
  <si>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</si>
  <si>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</si>
  <si>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</si>
  <si>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</si>
  <si>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</si>
  <si>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</si>
  <si>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</si>
  <si>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</si>
  <si>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</si>
  <si>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</si>
  <si>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</si>
  <si>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</si>
  <si>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</si>
  <si>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</si>
  <si>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</si>
  <si>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</si>
  <si>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</si>
  <si>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</si>
  <si>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</si>
  <si>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</si>
  <si>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</si>
  <si>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</si>
  <si>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</si>
  <si>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</si>
  <si>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</si>
  <si>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</si>
  <si>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</si>
  <si>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</si>
  <si>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</si>
  <si>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</si>
  <si>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</si>
  <si>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</si>
  <si>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</si>
  <si>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</si>
  <si>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</si>
  <si>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</si>
  <si>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</si>
  <si>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</si>
  <si>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</si>
  <si>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</si>
  <si>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</si>
  <si>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</si>
  <si>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</si>
  <si>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</si>
  <si>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</si>
  <si>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</si>
  <si>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</si>
  <si>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</si>
  <si>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</si>
  <si>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</si>
  <si>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</si>
  <si>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</si>
  <si>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</si>
  <si>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</si>
  <si>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</si>
  <si>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</si>
  <si>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</si>
  <si>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</si>
  <si>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</si>
  <si>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</si>
  <si>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</si>
  <si>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</si>
  <si>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</si>
  <si>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</si>
  <si>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</si>
  <si>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</si>
  <si>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</si>
  <si>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</si>
  <si>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</si>
  <si>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</si>
  <si>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</si>
  <si>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</si>
  <si>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</si>
  <si>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</si>
  <si>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</si>
  <si>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</si>
  <si>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</si>
  <si>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</si>
  <si>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</si>
  <si>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</si>
  <si>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</si>
  <si>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</si>
  <si>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</si>
  <si>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</si>
  <si>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</si>
  <si>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</si>
  <si>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</si>
  <si>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</si>
  <si>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</si>
  <si>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</si>
  <si>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</si>
  <si>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</si>
  <si>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</si>
  <si>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</si>
  <si>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</si>
  <si>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</si>
  <si>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</si>
  <si>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</si>
  <si>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</si>
  <si>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</si>
  <si>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</si>
  <si>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</si>
  <si>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</si>
  <si>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</si>
  <si>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</si>
  <si>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</si>
  <si>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</si>
  <si>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</si>
  <si>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</si>
  <si>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</si>
  <si>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</si>
  <si>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</si>
  <si>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</si>
  <si>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</si>
  <si>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</si>
  <si>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</si>
  <si>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</si>
  <si>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</si>
  <si>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</si>
  <si>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</si>
  <si>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</si>
  <si>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</si>
  <si>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售价</t>
  </si>
  <si>
    <t>4/6</t>
    <phoneticPr fontId="24" type="noConversion"/>
  </si>
  <si>
    <t>2/6</t>
    <phoneticPr fontId="24" type="noConversion"/>
  </si>
  <si>
    <t>4/5</t>
    <phoneticPr fontId="24" type="noConversion"/>
  </si>
  <si>
    <t>3/6</t>
    <phoneticPr fontId="24" type="noConversion"/>
  </si>
  <si>
    <t>是</t>
  </si>
  <si>
    <t>地上</t>
  </si>
  <si>
    <t>住宅</t>
  </si>
  <si>
    <t>平层住宅</t>
  </si>
  <si>
    <t>住宅</t>
    <phoneticPr fontId="7" type="noConversion"/>
  </si>
  <si>
    <t>利息：取LPR加浮动点数</t>
  </si>
  <si>
    <t>成新度</t>
  </si>
  <si>
    <t>收益法 (元)</t>
  </si>
  <si>
    <t>砖混</t>
  </si>
  <si>
    <t>非生产用房</t>
  </si>
  <si>
    <t>否</t>
  </si>
  <si>
    <t>Ⅶ-房1</t>
  </si>
  <si>
    <t>城镇住宅用地</t>
  </si>
  <si>
    <t>自定义容积率</t>
  </si>
  <si>
    <t>不临65条商业街</t>
  </si>
  <si>
    <t>1000米以外</t>
  </si>
  <si>
    <t>无</t>
  </si>
  <si>
    <t>与级别开发程度一致</t>
  </si>
  <si>
    <t>1999</t>
    <phoneticPr fontId="6" type="noConversion"/>
  </si>
  <si>
    <t>1997</t>
    <phoneticPr fontId="6" type="noConversion"/>
  </si>
  <si>
    <t>较好</t>
  </si>
  <si>
    <t>一般</t>
  </si>
  <si>
    <t>好</t>
  </si>
  <si>
    <t>比较法-住宅</t>
  </si>
  <si>
    <t>成本法 (元)</t>
  </si>
  <si>
    <t>单套模式</t>
  </si>
  <si>
    <t>西潞东里</t>
    <phoneticPr fontId="3" type="noConversion"/>
  </si>
  <si>
    <t>2022-8</t>
    <phoneticPr fontId="24" type="noConversion"/>
  </si>
  <si>
    <t>2022-7</t>
    <phoneticPr fontId="24" type="noConversion"/>
  </si>
  <si>
    <t>正常</t>
  </si>
  <si>
    <t>板楼</t>
  </si>
  <si>
    <t>板楼</t>
    <phoneticPr fontId="24" type="noConversion"/>
  </si>
  <si>
    <t>混合</t>
  </si>
  <si>
    <t>混合</t>
    <phoneticPr fontId="24" type="noConversion"/>
  </si>
  <si>
    <t>普通装修</t>
  </si>
  <si>
    <t>普通装修</t>
    <phoneticPr fontId="24" type="noConversion"/>
  </si>
  <si>
    <t>楼层</t>
    <phoneticPr fontId="24" type="noConversion"/>
  </si>
  <si>
    <t>南北</t>
  </si>
  <si>
    <t>南北</t>
    <phoneticPr fontId="24" type="noConversion"/>
  </si>
  <si>
    <t>押一</t>
  </si>
  <si>
    <t>中心城区以外</t>
  </si>
  <si>
    <t>2023-2</t>
    <phoneticPr fontId="3" type="noConversion"/>
  </si>
  <si>
    <t>周边有华冠购物中心、龙湖房山天街、永辉超市等商业项目；有中国建设银行、中国工商银行、北京农商银行等金融机构；有房山区妇幼保健院、北京仁德医院、良乡医院等医疗机构，有良乡第二中学、良乡第三小学、北师大良乡附中、良乡幼儿园等教育机构；公共配套设施齐备度较好</t>
    <phoneticPr fontId="40" type="noConversion"/>
  </si>
  <si>
    <t>周边有F2、F13、F36、F41、616、833路等多条公交线路经过并设站，距离地铁房山线良乡南关约2公里，交通较便捷。</t>
    <phoneticPr fontId="40" type="noConversion"/>
  </si>
  <si>
    <t>周边有西潞园小区、北潞园小区、拱辰星园等住宅项目，住宅社区成熟度一般。</t>
    <phoneticPr fontId="40" type="noConversion"/>
  </si>
  <si>
    <t>估价对象周边有刺猬河、北潞园健身公园、房山区良乡体育中心等自然人文景观，总体自然人文环境较好。</t>
    <phoneticPr fontId="40" type="noConversion"/>
  </si>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</sst>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44" fillId="0" borderId="44" xfId="0" applyNumberFormat="1" applyFont="1" applyFill="1" applyBorder="1" applyAlignment="1" applyProtection="1">
      <alignment horizontal="center" vertical="center" wrapText="1"/>
      <protection locked="0"/>
    </xf>
    <xf numFmtId="181" fontId="47" fillId="12" borderId="0" xfId="0" applyNumberFormat="1"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49" fontId="47" fillId="6" borderId="0" xfId="0" applyNumberFormat="1" applyFont="1" applyFill="1" applyAlignment="1" applyProtection="1">
      <alignment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54" fillId="21" borderId="1" xfId="16" applyFont="1" applyFill="1" applyBorder="1" applyAlignment="1">
      <alignment horizontal="left" vertical="center" wrapText="1"/>
    </xf>
    <xf numFmtId="0" fontId="253" fillId="21" borderId="125" xfId="16"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16" applyFont="1" applyFill="1" applyAlignment="1">
      <alignment horizontal="left" vertical="center"/>
    </xf>
    <xf numFmtId="10" fontId="102" fillId="21" borderId="121" xfId="16" applyNumberFormat="1" applyFont="1" applyFill="1" applyBorder="1" applyAlignment="1">
      <alignment horizontal="left" vertical="center"/>
    </xf>
    <xf numFmtId="10" fontId="102" fillId="21" borderId="0" xfId="16" applyNumberFormat="1" applyFont="1" applyFill="1" applyAlignment="1">
      <alignment horizontal="left" vertical="center"/>
    </xf>
    <xf numFmtId="10" fontId="102" fillId="21" borderId="163" xfId="16" applyNumberFormat="1" applyFont="1" applyFill="1" applyBorder="1" applyAlignment="1">
      <alignment horizontal="left" vertical="center"/>
    </xf>
    <xf numFmtId="10" fontId="102" fillId="21" borderId="164" xfId="16" applyNumberFormat="1" applyFont="1" applyFill="1" applyBorder="1" applyAlignment="1">
      <alignment horizontal="left" vertical="center"/>
    </xf>
    <xf numFmtId="10" fontId="102" fillId="21" borderId="165" xfId="16" applyNumberFormat="1" applyFont="1" applyFill="1" applyBorder="1" applyAlignment="1">
      <alignment horizontal="left" vertical="center"/>
    </xf>
    <xf numFmtId="0" fontId="144" fillId="21" borderId="0" xfId="16" applyFont="1" applyFill="1" applyAlignment="1">
      <alignment horizontal="left" vertical="center"/>
    </xf>
    <xf numFmtId="0" fontId="222" fillId="0" borderId="24" xfId="0" applyFont="1" applyBorder="1" applyAlignment="1" applyProtection="1">
      <alignment vertical="center" wrapText="1"/>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122" fillId="5" borderId="1" xfId="0"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24</xdr:col>
      <xdr:colOff>332186</xdr:colOff>
      <xdr:row>17</xdr:row>
      <xdr:rowOff>66675</xdr:rowOff>
    </xdr:to>
    <xdr:pic>
      <xdr:nvPicPr>
        <xdr:cNvPr id="2" name="图片 1">
          <a:extLst>
            <a:ext uri="{FF2B5EF4-FFF2-40B4-BE49-F238E27FC236}">
              <a16:creationId xmlns:a16="http://schemas.microsoft.com/office/drawing/2014/main" id="{E47C497B-1A44-44EB-A0D3-019093EE27E7}"/>
            </a:ext>
          </a:extLst>
        </xdr:cNvPr>
        <xdr:cNvPicPr>
          <a:picLocks noChangeAspect="1"/>
        </xdr:cNvPicPr>
      </xdr:nvPicPr>
      <xdr:blipFill>
        <a:blip xmlns:r="http://schemas.openxmlformats.org/officeDocument/2006/relationships" r:embed="rId1"/>
        <a:stretch>
          <a:fillRect/>
        </a:stretch>
      </xdr:blipFill>
      <xdr:spPr>
        <a:xfrm>
          <a:off x="0" y="28575"/>
          <a:ext cx="16791386" cy="2952750"/>
        </a:xfrm>
        <a:prstGeom prst="rect">
          <a:avLst/>
        </a:prstGeom>
      </xdr:spPr>
    </xdr:pic>
    <xdr:clientData/>
  </xdr:twoCellAnchor>
  <xdr:twoCellAnchor editAs="oneCell">
    <xdr:from>
      <xdr:col>0</xdr:col>
      <xdr:colOff>0</xdr:colOff>
      <xdr:row>14</xdr:row>
      <xdr:rowOff>133350</xdr:rowOff>
    </xdr:from>
    <xdr:to>
      <xdr:col>10</xdr:col>
      <xdr:colOff>246762</xdr:colOff>
      <xdr:row>46</xdr:row>
      <xdr:rowOff>18379</xdr:rowOff>
    </xdr:to>
    <xdr:pic>
      <xdr:nvPicPr>
        <xdr:cNvPr id="3" name="图片 2">
          <a:extLst>
            <a:ext uri="{FF2B5EF4-FFF2-40B4-BE49-F238E27FC236}">
              <a16:creationId xmlns:a16="http://schemas.microsoft.com/office/drawing/2014/main" id="{D1083A1E-0BA5-4A81-B2FF-D2F1FEE094FA}"/>
            </a:ext>
          </a:extLst>
        </xdr:cNvPr>
        <xdr:cNvPicPr>
          <a:picLocks noChangeAspect="1"/>
        </xdr:cNvPicPr>
      </xdr:nvPicPr>
      <xdr:blipFill>
        <a:blip xmlns:r="http://schemas.openxmlformats.org/officeDocument/2006/relationships" r:embed="rId2"/>
        <a:stretch>
          <a:fillRect/>
        </a:stretch>
      </xdr:blipFill>
      <xdr:spPr>
        <a:xfrm>
          <a:off x="0" y="2533650"/>
          <a:ext cx="7104762" cy="5371429"/>
        </a:xfrm>
        <a:prstGeom prst="rect">
          <a:avLst/>
        </a:prstGeom>
      </xdr:spPr>
    </xdr:pic>
    <xdr:clientData/>
  </xdr:twoCellAnchor>
  <xdr:twoCellAnchor editAs="oneCell">
    <xdr:from>
      <xdr:col>0</xdr:col>
      <xdr:colOff>0</xdr:colOff>
      <xdr:row>46</xdr:row>
      <xdr:rowOff>9525</xdr:rowOff>
    </xdr:from>
    <xdr:to>
      <xdr:col>6</xdr:col>
      <xdr:colOff>189962</xdr:colOff>
      <xdr:row>70</xdr:row>
      <xdr:rowOff>161392</xdr:rowOff>
    </xdr:to>
    <xdr:pic>
      <xdr:nvPicPr>
        <xdr:cNvPr id="4" name="图片 3">
          <a:extLst>
            <a:ext uri="{FF2B5EF4-FFF2-40B4-BE49-F238E27FC236}">
              <a16:creationId xmlns:a16="http://schemas.microsoft.com/office/drawing/2014/main" id="{65105C4E-0D77-436E-8C60-DA49342958EF}"/>
            </a:ext>
          </a:extLst>
        </xdr:cNvPr>
        <xdr:cNvPicPr>
          <a:picLocks noChangeAspect="1"/>
        </xdr:cNvPicPr>
      </xdr:nvPicPr>
      <xdr:blipFill>
        <a:blip xmlns:r="http://schemas.openxmlformats.org/officeDocument/2006/relationships" r:embed="rId3"/>
        <a:stretch>
          <a:fillRect/>
        </a:stretch>
      </xdr:blipFill>
      <xdr:spPr>
        <a:xfrm>
          <a:off x="0" y="7896225"/>
          <a:ext cx="4304762" cy="4266667"/>
        </a:xfrm>
        <a:prstGeom prst="rect">
          <a:avLst/>
        </a:prstGeom>
      </xdr:spPr>
    </xdr:pic>
    <xdr:clientData/>
  </xdr:twoCellAnchor>
  <xdr:twoCellAnchor editAs="oneCell">
    <xdr:from>
      <xdr:col>0</xdr:col>
      <xdr:colOff>0</xdr:colOff>
      <xdr:row>71</xdr:row>
      <xdr:rowOff>57150</xdr:rowOff>
    </xdr:from>
    <xdr:to>
      <xdr:col>11</xdr:col>
      <xdr:colOff>418105</xdr:colOff>
      <xdr:row>96</xdr:row>
      <xdr:rowOff>66138</xdr:rowOff>
    </xdr:to>
    <xdr:pic>
      <xdr:nvPicPr>
        <xdr:cNvPr id="5" name="图片 4">
          <a:extLst>
            <a:ext uri="{FF2B5EF4-FFF2-40B4-BE49-F238E27FC236}">
              <a16:creationId xmlns:a16="http://schemas.microsoft.com/office/drawing/2014/main" id="{9854DF99-0A6C-4823-B6AA-CB3948ECF457}"/>
            </a:ext>
          </a:extLst>
        </xdr:cNvPr>
        <xdr:cNvPicPr>
          <a:picLocks noChangeAspect="1"/>
        </xdr:cNvPicPr>
      </xdr:nvPicPr>
      <xdr:blipFill>
        <a:blip xmlns:r="http://schemas.openxmlformats.org/officeDocument/2006/relationships" r:embed="rId4"/>
        <a:stretch>
          <a:fillRect/>
        </a:stretch>
      </xdr:blipFill>
      <xdr:spPr>
        <a:xfrm>
          <a:off x="0" y="12230100"/>
          <a:ext cx="7961905" cy="4295238"/>
        </a:xfrm>
        <a:prstGeom prst="rect">
          <a:avLst/>
        </a:prstGeom>
      </xdr:spPr>
    </xdr:pic>
    <xdr:clientData/>
  </xdr:twoCellAnchor>
  <xdr:twoCellAnchor editAs="oneCell">
    <xdr:from>
      <xdr:col>10</xdr:col>
      <xdr:colOff>523981</xdr:colOff>
      <xdr:row>17</xdr:row>
      <xdr:rowOff>47625</xdr:rowOff>
    </xdr:from>
    <xdr:to>
      <xdr:col>19</xdr:col>
      <xdr:colOff>513313</xdr:colOff>
      <xdr:row>43</xdr:row>
      <xdr:rowOff>18305</xdr:rowOff>
    </xdr:to>
    <xdr:pic>
      <xdr:nvPicPr>
        <xdr:cNvPr id="6" name="图片 5">
          <a:extLst>
            <a:ext uri="{FF2B5EF4-FFF2-40B4-BE49-F238E27FC236}">
              <a16:creationId xmlns:a16="http://schemas.microsoft.com/office/drawing/2014/main" id="{B3CAF612-3A06-4D24-88F9-7AEAD467F53A}"/>
            </a:ext>
          </a:extLst>
        </xdr:cNvPr>
        <xdr:cNvPicPr>
          <a:picLocks noChangeAspect="1"/>
        </xdr:cNvPicPr>
      </xdr:nvPicPr>
      <xdr:blipFill>
        <a:blip xmlns:r="http://schemas.openxmlformats.org/officeDocument/2006/relationships" r:embed="rId5"/>
        <a:stretch>
          <a:fillRect/>
        </a:stretch>
      </xdr:blipFill>
      <xdr:spPr>
        <a:xfrm>
          <a:off x="7381981" y="2962275"/>
          <a:ext cx="6161532" cy="44283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696;/&#26700;&#38754;/&#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696;/&#26700;&#38754;/2023-1-0642&#21496;&#27861;&#30707;&#26223;&#23665;&#20116;&#37324;&#22376;/&#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str">
        <f>'预评函-1'!A7</f>
        <v>估价对象为房地产，为所有。根据《国有土地使用证》[]，估价对象（分摊）出让国有建设用地使用权面积为0平方米，建筑面积为90.08平方米。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估价对象为房地产,属开发建设的，该项目尚在开发建设中。根据《国有土地使用证》[]，估价对象（分摊）出让国有建设用地使用权面积为0平方米，规划建筑面积为90.08平方米。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2023年9月20日（评估专业人员实地查勘之日）</v>
      </c>
    </row>
    <row r="13" spans="1:2" s="1203" customFormat="1">
      <c r="A13" s="1201" t="s">
        <v>529</v>
      </c>
      <c r="B13" s="1202" t="str">
        <f>'预评函-1'!A18</f>
        <v>本次估价的“房地产价值”是指在正常市场情况下，在价值时点2023年9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本次评估采用的主估价方法为比较法和成本法。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90.08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2578</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2579</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2291</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1554" t="s">
        <v>385</v>
      </c>
      <c r="C54" s="1551" t="s">
        <v>583</v>
      </c>
    </row>
    <row r="55" spans="1:4">
      <c r="A55" s="3509"/>
      <c r="B55" s="1554" t="s">
        <v>386</v>
      </c>
      <c r="C55" s="1551" t="s">
        <v>584</v>
      </c>
    </row>
    <row r="56" spans="1:4">
      <c r="A56" s="3509"/>
      <c r="B56" s="1554" t="s">
        <v>387</v>
      </c>
      <c r="C56" s="1551" t="s">
        <v>588</v>
      </c>
    </row>
    <row r="57" spans="1:4">
      <c r="A57" s="350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2501</v>
      </c>
      <c r="B1" s="3010"/>
      <c r="C1" s="3010"/>
      <c r="D1" s="3010"/>
      <c r="E1" s="3010"/>
      <c r="F1" s="3011"/>
      <c r="I1" s="3433" t="s">
        <v>2594</v>
      </c>
      <c r="J1" s="3222"/>
      <c r="K1" s="3222"/>
      <c r="L1" s="3222"/>
      <c r="M1" s="3222"/>
      <c r="N1" s="3434"/>
      <c r="O1" s="3434"/>
      <c r="P1" s="3434"/>
      <c r="Q1" s="3434"/>
      <c r="R1" s="3434"/>
    </row>
    <row r="2" spans="1:18">
      <c r="A2" s="3013"/>
      <c r="B2" s="3014"/>
      <c r="C2" s="3014"/>
      <c r="D2" s="3014"/>
      <c r="E2" s="3014"/>
      <c r="F2" s="3015"/>
      <c r="I2" s="3510" t="s">
        <v>2581</v>
      </c>
      <c r="J2" s="3510"/>
      <c r="K2" s="3510"/>
      <c r="L2" s="3510"/>
      <c r="M2" s="3510"/>
      <c r="N2" s="3510"/>
      <c r="O2" s="3510"/>
      <c r="P2" s="3510"/>
      <c r="Q2" s="3510"/>
      <c r="R2" s="3510"/>
    </row>
    <row r="3" spans="1:18">
      <c r="A3" s="3016" t="s">
        <v>2502</v>
      </c>
      <c r="B3" s="3017">
        <f>项目基本情况!D3</f>
        <v>45189</v>
      </c>
      <c r="C3" s="3019"/>
      <c r="D3" s="3019"/>
      <c r="E3" s="3019"/>
      <c r="F3" s="3015"/>
      <c r="I3" s="3435"/>
      <c r="J3" s="3435" t="s">
        <v>2585</v>
      </c>
      <c r="K3" s="3435" t="s">
        <v>2586</v>
      </c>
      <c r="L3" s="3435" t="s">
        <v>2587</v>
      </c>
      <c r="M3" s="3435" t="s">
        <v>2588</v>
      </c>
      <c r="N3" s="3436" t="s">
        <v>2589</v>
      </c>
      <c r="O3" s="3436" t="s">
        <v>2590</v>
      </c>
      <c r="P3" s="3436" t="s">
        <v>2591</v>
      </c>
      <c r="Q3" s="3436" t="s">
        <v>2592</v>
      </c>
      <c r="R3" s="3436" t="s">
        <v>2593</v>
      </c>
    </row>
    <row r="4" spans="1:18">
      <c r="A4" s="3016" t="s">
        <v>2503</v>
      </c>
      <c r="B4" s="3019" t="s">
        <v>2504</v>
      </c>
      <c r="C4" s="3019" t="s">
        <v>2505</v>
      </c>
      <c r="D4" s="3019" t="s">
        <v>2506</v>
      </c>
      <c r="E4" s="3019" t="s">
        <v>2507</v>
      </c>
      <c r="F4" s="3015"/>
      <c r="I4" s="3435" t="s">
        <v>2582</v>
      </c>
      <c r="J4" s="3435">
        <v>80</v>
      </c>
      <c r="K4" s="3435">
        <v>70</v>
      </c>
      <c r="L4" s="3435">
        <v>20</v>
      </c>
      <c r="M4" s="3435">
        <v>30</v>
      </c>
      <c r="N4" s="3019">
        <v>45</v>
      </c>
      <c r="O4" s="3019">
        <v>60</v>
      </c>
      <c r="P4" s="3019">
        <v>50</v>
      </c>
      <c r="Q4" s="3019">
        <v>20</v>
      </c>
      <c r="R4" s="3019">
        <v>375</v>
      </c>
    </row>
    <row r="5" spans="1:18">
      <c r="A5" s="3020">
        <v>40</v>
      </c>
      <c r="B5" s="3017">
        <v>46375</v>
      </c>
      <c r="C5" s="3019">
        <f>ROUNDDOWN(MIN((B5-B3)/365,A5),2)</f>
        <v>3.24</v>
      </c>
      <c r="D5" s="3021">
        <f>IF(ISERROR(ROUND(POWER(1+E5,A5-C5)*(POWER(1+E5,C5)-1)/(POWER(1+E5,A5)-1),3)),0,ROUND(POWER(1+E5,A5-C5)*(POWER(1+E5,C5)-1)/(POWER(1+E5,A5)-1),4))</f>
        <v>0.1507</v>
      </c>
      <c r="E5" s="3022">
        <v>0.04</v>
      </c>
      <c r="F5" s="3015"/>
      <c r="I5" s="3435" t="s">
        <v>2583</v>
      </c>
      <c r="J5" s="3435">
        <v>70</v>
      </c>
      <c r="K5" s="3435">
        <v>60</v>
      </c>
      <c r="L5" s="3435">
        <v>15</v>
      </c>
      <c r="M5" s="3435">
        <v>25</v>
      </c>
      <c r="N5" s="3019">
        <v>40</v>
      </c>
      <c r="O5" s="3019">
        <v>50</v>
      </c>
      <c r="P5" s="3019">
        <v>40</v>
      </c>
      <c r="Q5" s="3019">
        <v>15</v>
      </c>
      <c r="R5" s="3019">
        <v>315</v>
      </c>
    </row>
    <row r="6" spans="1:18">
      <c r="A6" s="3020">
        <v>50</v>
      </c>
      <c r="B6" s="3017">
        <v>50028</v>
      </c>
      <c r="C6" s="3019">
        <f>ROUNDDOWN(MIN((B6-B3)/365,A6),2)</f>
        <v>13.25</v>
      </c>
      <c r="D6" s="3021">
        <f>IF(ISERROR(ROUND(POWER(1+E6,A6-C6)*(POWER(1+E6,C6)-1)/(POWER(1+E6,A6)-1),3)),0,ROUND(POWER(1+E6,A6-C6)*(POWER(1+E6,C6)-1)/(POWER(1+E6,A6)-1),4))</f>
        <v>0.47170000000000001</v>
      </c>
      <c r="E6" s="3022">
        <v>0.04</v>
      </c>
      <c r="F6" s="3015"/>
      <c r="I6" s="3435" t="s">
        <v>2584</v>
      </c>
      <c r="J6" s="3435">
        <v>60</v>
      </c>
      <c r="K6" s="3435">
        <v>50</v>
      </c>
      <c r="L6" s="3435">
        <v>10</v>
      </c>
      <c r="M6" s="3435">
        <v>20</v>
      </c>
      <c r="N6" s="3019">
        <v>35</v>
      </c>
      <c r="O6" s="3019">
        <v>40</v>
      </c>
      <c r="P6" s="3019">
        <v>30</v>
      </c>
      <c r="Q6" s="3019">
        <v>10</v>
      </c>
      <c r="R6" s="3019">
        <v>255</v>
      </c>
    </row>
    <row r="7" spans="1:18">
      <c r="A7" s="3020">
        <v>70</v>
      </c>
      <c r="B7" s="3017">
        <v>57333</v>
      </c>
      <c r="C7" s="3019">
        <f>ROUNDDOWN(MIN((B7-B3)/365,A7),2)</f>
        <v>33.270000000000003</v>
      </c>
      <c r="D7" s="3021">
        <f>IF(ISERROR(ROUND(POWER(1+E7,A7-C7)*(POWER(1+E7,C7)-1)/(POWER(1+E7,A7)-1),3)),0,ROUND(POWER(1+E7,A7-C7)*(POWER(1+E7,C7)-1)/(POWER(1+E7,A7)-1),4))</f>
        <v>0.77880000000000005</v>
      </c>
      <c r="E7" s="3022">
        <v>0.04</v>
      </c>
      <c r="F7" s="3015"/>
    </row>
    <row r="8" spans="1:18">
      <c r="A8" s="3013"/>
      <c r="B8" s="3014"/>
      <c r="C8" s="3014"/>
      <c r="D8" s="3014"/>
      <c r="E8" s="3014"/>
      <c r="F8" s="3015"/>
    </row>
    <row r="9" spans="1:18">
      <c r="A9" s="3016" t="s">
        <v>2508</v>
      </c>
      <c r="B9" s="3019"/>
      <c r="C9" s="3019"/>
      <c r="D9" s="3019"/>
      <c r="E9" s="3019"/>
      <c r="F9" s="3023"/>
    </row>
    <row r="10" spans="1:18">
      <c r="A10" s="3016" t="s">
        <v>2509</v>
      </c>
      <c r="B10" s="3019"/>
      <c r="C10" s="3019"/>
      <c r="D10" s="3019" t="s">
        <v>2507</v>
      </c>
      <c r="E10" s="3019"/>
      <c r="F10" s="3023" t="s">
        <v>2506</v>
      </c>
    </row>
    <row r="11" spans="1:18">
      <c r="A11" s="3016" t="s">
        <v>2510</v>
      </c>
      <c r="B11" s="3024">
        <v>70</v>
      </c>
      <c r="C11" s="3019" t="s">
        <v>2511</v>
      </c>
      <c r="D11" s="3025">
        <v>4.4999999999999998E-2</v>
      </c>
      <c r="E11" s="3019" t="s">
        <v>2512</v>
      </c>
      <c r="F11" s="3026">
        <f>ROUND(1-(1/(POWER(1+D11,B11))),4)</f>
        <v>0.95409999999999995</v>
      </c>
    </row>
    <row r="12" spans="1:18">
      <c r="A12" s="3016" t="s">
        <v>2513</v>
      </c>
      <c r="B12" s="3024">
        <v>40</v>
      </c>
      <c r="C12" s="3019" t="s">
        <v>2514</v>
      </c>
      <c r="D12" s="3025">
        <v>4.4999999999999998E-2</v>
      </c>
      <c r="E12" s="3019" t="s">
        <v>2515</v>
      </c>
      <c r="F12" s="3026">
        <f>ROUND(1-(1/(POWER(1+D12,B12))),4)</f>
        <v>0.82809999999999995</v>
      </c>
    </row>
    <row r="13" spans="1:18">
      <c r="A13" s="3016" t="s">
        <v>2516</v>
      </c>
      <c r="B13" s="3019"/>
      <c r="C13" s="3019"/>
      <c r="D13" s="3014"/>
      <c r="E13" s="3014"/>
      <c r="F13" s="3015"/>
    </row>
    <row r="14" spans="1:18">
      <c r="A14" s="3016" t="s">
        <v>2517</v>
      </c>
      <c r="B14" s="3024">
        <v>5000</v>
      </c>
      <c r="C14" s="3018"/>
      <c r="D14" s="3014"/>
      <c r="E14" s="3014"/>
      <c r="F14" s="3015"/>
    </row>
    <row r="15" spans="1:18">
      <c r="A15" s="3016" t="s">
        <v>2518</v>
      </c>
      <c r="B15" s="3019">
        <f>ROUND(B14*F12/F11,2)</f>
        <v>4339.6899999999996</v>
      </c>
      <c r="C15" s="3019">
        <f>ROUND(F12/F11,4)</f>
        <v>0.8679</v>
      </c>
      <c r="D15" s="3014"/>
      <c r="E15" s="3014"/>
      <c r="F15" s="3015"/>
    </row>
    <row r="16" spans="1:18">
      <c r="A16" s="3016" t="s">
        <v>2519</v>
      </c>
      <c r="B16" s="3019"/>
      <c r="C16" s="3019"/>
      <c r="D16" s="3014"/>
      <c r="E16" s="3014"/>
      <c r="F16" s="3015"/>
    </row>
    <row r="17" spans="1:13">
      <c r="A17" s="3016" t="s">
        <v>2518</v>
      </c>
      <c r="B17" s="3025">
        <v>4810</v>
      </c>
      <c r="C17" s="3018"/>
      <c r="D17" s="3014"/>
      <c r="E17" s="3014"/>
      <c r="F17" s="3015"/>
    </row>
    <row r="18" spans="1:13" ht="14.25" thickBot="1">
      <c r="A18" s="3027" t="s">
        <v>2517</v>
      </c>
      <c r="B18" s="3028">
        <f>ROUND(B17*F11/F12,2)</f>
        <v>5541.87</v>
      </c>
      <c r="C18" s="3028">
        <f>ROUND(F11/F12,4)</f>
        <v>1.1521999999999999</v>
      </c>
      <c r="D18" s="3029"/>
      <c r="E18" s="3029"/>
      <c r="F18" s="3030"/>
    </row>
    <row r="19" spans="1:13" ht="14.25" thickBot="1"/>
    <row r="20" spans="1:13" s="3065" customFormat="1" ht="14.25" thickTop="1">
      <c r="A20" s="3062" t="s">
        <v>2520</v>
      </c>
      <c r="B20" s="3063"/>
      <c r="C20" s="3063"/>
      <c r="D20" s="3063"/>
      <c r="E20" s="3063"/>
      <c r="F20" s="3063"/>
      <c r="G20" s="3064"/>
      <c r="I20" s="3066" t="s">
        <v>2565</v>
      </c>
      <c r="J20" s="3066" t="s">
        <v>2570</v>
      </c>
      <c r="K20" s="3066"/>
      <c r="L20" s="3066"/>
      <c r="M20" s="3066"/>
    </row>
    <row r="21" spans="1:13">
      <c r="A21" s="3031"/>
      <c r="B21" s="3032" t="s">
        <v>2521</v>
      </c>
      <c r="C21" s="3032" t="s">
        <v>2522</v>
      </c>
      <c r="D21" s="3032" t="s">
        <v>2523</v>
      </c>
      <c r="E21" s="3032" t="s">
        <v>2524</v>
      </c>
      <c r="F21" s="3032" t="s">
        <v>2525</v>
      </c>
      <c r="G21" s="3033" t="s">
        <v>2526</v>
      </c>
      <c r="I21" s="3054">
        <v>5</v>
      </c>
      <c r="J21" s="3054">
        <v>54.2</v>
      </c>
    </row>
    <row r="22" spans="1:13">
      <c r="A22" s="3031" t="s">
        <v>2527</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2528</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2568</v>
      </c>
      <c r="M23" s="3054" t="s">
        <v>2569</v>
      </c>
    </row>
    <row r="24" spans="1:13">
      <c r="A24" s="3031" t="s">
        <v>2529</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2567</v>
      </c>
      <c r="M24" s="3054">
        <v>10</v>
      </c>
    </row>
    <row r="25" spans="1:13">
      <c r="A25" s="3031" t="s">
        <v>2530</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2571</v>
      </c>
      <c r="M25" s="3054">
        <v>8</v>
      </c>
    </row>
    <row r="26" spans="1:13">
      <c r="A26" s="3036"/>
      <c r="B26" s="3037"/>
      <c r="C26" s="3037"/>
      <c r="D26" s="3037"/>
      <c r="E26" s="3037"/>
      <c r="F26" s="3037"/>
      <c r="G26" s="3038"/>
      <c r="I26" s="3054">
        <v>30</v>
      </c>
      <c r="J26" s="3054">
        <v>90.5</v>
      </c>
      <c r="K26" s="3054">
        <f t="shared" si="2"/>
        <v>4.2000000000000028</v>
      </c>
      <c r="L26" s="3054" t="s">
        <v>2572</v>
      </c>
      <c r="M26" s="3054">
        <v>5</v>
      </c>
    </row>
    <row r="27" spans="1:13">
      <c r="A27" s="3036" t="s">
        <v>2531</v>
      </c>
      <c r="B27" s="3037"/>
      <c r="C27" s="3037"/>
      <c r="D27" s="3037"/>
      <c r="E27" s="3037"/>
      <c r="F27" s="3037"/>
      <c r="G27" s="3038"/>
      <c r="I27" s="3054">
        <v>35</v>
      </c>
      <c r="J27" s="3054">
        <v>93.8</v>
      </c>
      <c r="K27" s="3054">
        <f t="shared" si="2"/>
        <v>3.2999999999999972</v>
      </c>
      <c r="L27" s="3054" t="s">
        <v>2573</v>
      </c>
      <c r="M27" s="3054">
        <v>3</v>
      </c>
    </row>
    <row r="28" spans="1:13">
      <c r="A28" s="3036" t="s">
        <v>2532</v>
      </c>
      <c r="B28" s="3037"/>
      <c r="C28" s="3037"/>
      <c r="D28" s="3037"/>
      <c r="E28" s="3037"/>
      <c r="F28" s="3037"/>
      <c r="G28" s="3038"/>
      <c r="I28" s="3054">
        <v>40</v>
      </c>
      <c r="J28" s="3054">
        <v>96.4</v>
      </c>
      <c r="K28" s="3054">
        <f t="shared" si="2"/>
        <v>2.6000000000000085</v>
      </c>
      <c r="L28" s="3054" t="s">
        <v>2574</v>
      </c>
      <c r="M28" s="3054">
        <v>2</v>
      </c>
    </row>
    <row r="29" spans="1:13">
      <c r="A29" s="3036" t="s">
        <v>2533</v>
      </c>
      <c r="B29" s="3037"/>
      <c r="C29" s="3037"/>
      <c r="D29" s="3037"/>
      <c r="E29" s="3037"/>
      <c r="F29" s="3037"/>
      <c r="G29" s="3038"/>
      <c r="I29" s="3054">
        <v>45</v>
      </c>
      <c r="J29" s="3054">
        <v>98.4</v>
      </c>
      <c r="K29" s="3054">
        <f t="shared" si="2"/>
        <v>2</v>
      </c>
    </row>
    <row r="30" spans="1:13">
      <c r="A30" s="3036" t="s">
        <v>2534</v>
      </c>
      <c r="B30" s="3037"/>
      <c r="C30" s="3037"/>
      <c r="D30" s="3037"/>
      <c r="E30" s="3037"/>
      <c r="F30" s="3037"/>
      <c r="G30" s="3038"/>
      <c r="I30" s="3054">
        <v>50</v>
      </c>
      <c r="J30" s="3054">
        <v>100</v>
      </c>
      <c r="K30" s="3054">
        <f t="shared" si="2"/>
        <v>1.5999999999999943</v>
      </c>
    </row>
    <row r="31" spans="1:13">
      <c r="A31" s="3036" t="s">
        <v>2535</v>
      </c>
      <c r="B31" s="3037"/>
      <c r="C31" s="3037"/>
      <c r="D31" s="3037"/>
      <c r="E31" s="3037"/>
      <c r="F31" s="3037"/>
      <c r="G31" s="3038"/>
      <c r="I31" s="3054" t="s">
        <v>2566</v>
      </c>
    </row>
    <row r="32" spans="1:13">
      <c r="A32" s="3036" t="s">
        <v>2536</v>
      </c>
      <c r="B32" s="3037"/>
      <c r="C32" s="3037"/>
      <c r="D32" s="3037"/>
      <c r="E32" s="3037"/>
      <c r="F32" s="3037"/>
      <c r="G32" s="3038"/>
    </row>
    <row r="33" spans="1:13">
      <c r="A33" s="3036" t="s">
        <v>2537</v>
      </c>
      <c r="B33" s="3037"/>
      <c r="C33" s="3037"/>
      <c r="D33" s="3037"/>
      <c r="E33" s="3037"/>
      <c r="F33" s="3037"/>
      <c r="G33" s="3038"/>
      <c r="I33" s="3054" t="s">
        <v>2565</v>
      </c>
      <c r="J33" s="3054" t="s">
        <v>2575</v>
      </c>
    </row>
    <row r="34" spans="1:13">
      <c r="A34" s="3036" t="s">
        <v>2538</v>
      </c>
      <c r="B34" s="3037"/>
      <c r="C34" s="3037"/>
      <c r="D34" s="3037"/>
      <c r="E34" s="3037"/>
      <c r="F34" s="3037"/>
      <c r="G34" s="3038"/>
      <c r="I34" s="3054">
        <v>5</v>
      </c>
      <c r="J34" s="3054">
        <v>55.1</v>
      </c>
    </row>
    <row r="35" spans="1:13">
      <c r="A35" s="3036" t="s">
        <v>2539</v>
      </c>
      <c r="B35" s="3037"/>
      <c r="C35" s="3037"/>
      <c r="D35" s="3037"/>
      <c r="E35" s="3037"/>
      <c r="F35" s="3037"/>
      <c r="G35" s="3038"/>
      <c r="I35" s="3054">
        <v>10</v>
      </c>
      <c r="J35" s="3054">
        <v>67</v>
      </c>
      <c r="K35" s="3054">
        <f>J35-J34</f>
        <v>11.899999999999999</v>
      </c>
    </row>
    <row r="36" spans="1:13">
      <c r="A36" s="3036" t="s">
        <v>2540</v>
      </c>
      <c r="B36" s="3037"/>
      <c r="C36" s="3037"/>
      <c r="D36" s="3037"/>
      <c r="E36" s="3037"/>
      <c r="F36" s="3037"/>
      <c r="G36" s="3038"/>
      <c r="I36" s="3054">
        <v>15</v>
      </c>
      <c r="J36" s="3054">
        <v>76.3</v>
      </c>
      <c r="K36" s="3054">
        <f t="shared" ref="K36:K41" si="3">J36-J35</f>
        <v>9.2999999999999972</v>
      </c>
      <c r="L36" s="3054" t="s">
        <v>2568</v>
      </c>
      <c r="M36" s="3054" t="s">
        <v>2569</v>
      </c>
    </row>
    <row r="37" spans="1:13">
      <c r="A37" s="3036" t="s">
        <v>2541</v>
      </c>
      <c r="B37" s="3037"/>
      <c r="C37" s="3037"/>
      <c r="D37" s="3037"/>
      <c r="E37" s="3037"/>
      <c r="F37" s="3037"/>
      <c r="G37" s="3038"/>
      <c r="I37" s="3054">
        <v>20</v>
      </c>
      <c r="J37" s="3054">
        <v>83.6</v>
      </c>
      <c r="K37" s="3054">
        <f t="shared" si="3"/>
        <v>7.2999999999999972</v>
      </c>
      <c r="L37" s="3054" t="s">
        <v>2567</v>
      </c>
      <c r="M37" s="3054">
        <v>10</v>
      </c>
    </row>
    <row r="38" spans="1:13">
      <c r="A38" s="3036" t="s">
        <v>2542</v>
      </c>
      <c r="B38" s="3037"/>
      <c r="C38" s="3037"/>
      <c r="D38" s="3037"/>
      <c r="E38" s="3037"/>
      <c r="F38" s="3037"/>
      <c r="G38" s="3038"/>
      <c r="I38" s="3054">
        <v>25</v>
      </c>
      <c r="J38" s="3054">
        <v>89.3</v>
      </c>
      <c r="K38" s="3054">
        <f t="shared" si="3"/>
        <v>5.7000000000000028</v>
      </c>
      <c r="L38" s="3054" t="s">
        <v>2571</v>
      </c>
      <c r="M38" s="3054">
        <v>8</v>
      </c>
    </row>
    <row r="39" spans="1:13">
      <c r="A39" s="3036"/>
      <c r="B39" s="3037"/>
      <c r="C39" s="3037"/>
      <c r="D39" s="3037"/>
      <c r="E39" s="3037"/>
      <c r="F39" s="3037"/>
      <c r="G39" s="3038"/>
      <c r="I39" s="3054">
        <v>30</v>
      </c>
      <c r="J39" s="3054">
        <v>93.8</v>
      </c>
      <c r="K39" s="3054">
        <f t="shared" si="3"/>
        <v>4.5</v>
      </c>
      <c r="L39" s="3054" t="s">
        <v>2572</v>
      </c>
      <c r="M39" s="3054">
        <v>6</v>
      </c>
    </row>
    <row r="40" spans="1:13">
      <c r="A40" s="3039" t="s">
        <v>2543</v>
      </c>
      <c r="B40" s="3040"/>
      <c r="C40" s="3040"/>
      <c r="D40" s="3040"/>
      <c r="E40" s="3040"/>
      <c r="F40" s="3040"/>
      <c r="G40" s="3041"/>
      <c r="I40" s="3054">
        <v>35</v>
      </c>
      <c r="J40" s="3054">
        <v>97.2</v>
      </c>
      <c r="K40" s="3054">
        <f t="shared" si="3"/>
        <v>3.4000000000000057</v>
      </c>
      <c r="L40" s="3054" t="s">
        <v>2573</v>
      </c>
      <c r="M40" s="3054">
        <v>3</v>
      </c>
    </row>
    <row r="41" spans="1:13">
      <c r="A41" s="3042" t="s">
        <v>2544</v>
      </c>
      <c r="B41" s="3043" t="s">
        <v>2545</v>
      </c>
      <c r="C41" s="3044" t="s">
        <v>2546</v>
      </c>
      <c r="D41" s="3044" t="s">
        <v>2547</v>
      </c>
      <c r="E41" s="3045"/>
      <c r="F41" s="3046"/>
      <c r="G41" s="3047"/>
      <c r="I41" s="3054">
        <v>40</v>
      </c>
      <c r="J41" s="3054">
        <v>100</v>
      </c>
      <c r="K41" s="3054">
        <f t="shared" si="3"/>
        <v>2.7999999999999972</v>
      </c>
    </row>
    <row r="42" spans="1:13">
      <c r="A42" s="3042" t="s">
        <v>2548</v>
      </c>
      <c r="B42" s="3043" t="s">
        <v>2549</v>
      </c>
      <c r="C42" s="3044" t="s">
        <v>2550</v>
      </c>
      <c r="D42" s="3048" t="s">
        <v>2551</v>
      </c>
      <c r="E42" s="3040" t="s">
        <v>2552</v>
      </c>
      <c r="F42" s="3040"/>
      <c r="G42" s="3041"/>
    </row>
    <row r="43" spans="1:13">
      <c r="A43" s="3042" t="s">
        <v>2553</v>
      </c>
      <c r="B43" s="3043" t="s">
        <v>2554</v>
      </c>
      <c r="C43" s="3044" t="s">
        <v>2555</v>
      </c>
      <c r="D43" s="3044" t="s">
        <v>2556</v>
      </c>
      <c r="E43" s="3045" t="s">
        <v>2557</v>
      </c>
      <c r="F43" s="3046"/>
      <c r="G43" s="3047"/>
      <c r="I43" s="3054" t="s">
        <v>2565</v>
      </c>
      <c r="J43" s="3054" t="s">
        <v>2576</v>
      </c>
    </row>
    <row r="44" spans="1:13">
      <c r="A44" s="3042" t="s">
        <v>2558</v>
      </c>
      <c r="B44" s="3043" t="s">
        <v>2559</v>
      </c>
      <c r="C44" s="3044" t="s">
        <v>2560</v>
      </c>
      <c r="D44" s="3048">
        <v>0.5</v>
      </c>
      <c r="E44" s="3045" t="s">
        <v>2561</v>
      </c>
      <c r="F44" s="3046"/>
      <c r="G44" s="3047"/>
      <c r="I44" s="3054">
        <v>30</v>
      </c>
      <c r="J44" s="3054">
        <v>81.7</v>
      </c>
    </row>
    <row r="45" spans="1:13" ht="14.25" thickBot="1">
      <c r="A45" s="3049" t="s">
        <v>2562</v>
      </c>
      <c r="B45" s="3050" t="s">
        <v>2549</v>
      </c>
      <c r="C45" s="3051" t="s">
        <v>2549</v>
      </c>
      <c r="D45" s="3051" t="s">
        <v>2563</v>
      </c>
      <c r="E45" s="3052" t="s">
        <v>2564</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6" zoomScaleNormal="100" zoomScaleSheetLayoutView="100" workbookViewId="0">
      <selection activeCell="L17" sqref="L1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4" customWidth="1"/>
    <col min="12" max="13" width="10" style="2625"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3" t="s">
        <v>2168</v>
      </c>
      <c r="B1" s="3511" t="str">
        <f>IF(B10="北京市","北京市",C10)&amp;F10&amp;IF(结果表!G1="在建","出让国有建设用地使用权及在建建筑物",IF(结果表!G1="土地","出让国有建设用地使用权",))&amp;B9&amp;"预评估"</f>
        <v>预评估</v>
      </c>
      <c r="C1" s="3512"/>
      <c r="D1" s="3512"/>
      <c r="E1" s="3512"/>
      <c r="F1" s="3512"/>
      <c r="G1" s="3512"/>
      <c r="H1" s="3512"/>
      <c r="I1" s="3513"/>
      <c r="J1" s="2467"/>
      <c r="K1" s="2365"/>
      <c r="L1" s="2366"/>
      <c r="M1" s="2366"/>
      <c r="N1" s="2367"/>
      <c r="O1" s="1576"/>
      <c r="P1" s="2367"/>
      <c r="Q1" s="2367"/>
      <c r="R1" s="2367"/>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4" t="s">
        <v>2169</v>
      </c>
      <c r="B2" s="2368"/>
      <c r="C2" s="2369"/>
      <c r="D2" s="2666"/>
      <c r="E2" s="2658"/>
      <c r="F2" s="2658"/>
      <c r="G2" s="2659"/>
      <c r="H2" s="2659"/>
      <c r="I2" s="2659"/>
      <c r="J2" s="2467"/>
      <c r="K2" s="2365"/>
      <c r="L2" s="2366"/>
      <c r="M2" s="2366"/>
      <c r="N2" s="2367"/>
      <c r="O2" s="1576"/>
      <c r="P2" s="2367"/>
      <c r="Q2" s="2367"/>
      <c r="R2" s="2367"/>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0">
        <v>45189</v>
      </c>
      <c r="C3" s="2371" t="s">
        <v>2171</v>
      </c>
      <c r="D3" s="2370">
        <f>B3</f>
        <v>45189</v>
      </c>
      <c r="E3" s="2659"/>
      <c r="F3" s="2659"/>
      <c r="G3" s="2659"/>
      <c r="H3" s="2659"/>
      <c r="I3" s="2659"/>
      <c r="J3" s="2467"/>
      <c r="K3" s="2365"/>
      <c r="L3" s="2366"/>
      <c r="M3" s="2366"/>
      <c r="N3" s="2367"/>
      <c r="O3" s="1576"/>
      <c r="P3" s="2367"/>
      <c r="Q3" s="2367"/>
      <c r="R3" s="2367"/>
      <c r="S3" s="1682"/>
      <c r="T3" s="1745"/>
      <c r="U3" s="1745"/>
      <c r="V3" s="1745"/>
      <c r="W3" s="1745"/>
      <c r="X3" s="1745"/>
      <c r="Y3" s="1745"/>
      <c r="Z3" s="1745"/>
      <c r="AA3" s="1745"/>
      <c r="AB3" s="1745"/>
    </row>
    <row r="4" spans="1:30" ht="13.5" thickBot="1">
      <c r="A4" s="1090" t="s">
        <v>2172</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6"/>
      <c r="P4" s="2367"/>
      <c r="Q4" s="2367"/>
      <c r="R4" s="2367"/>
      <c r="S4" s="1682"/>
      <c r="T4" s="1745"/>
      <c r="U4" s="1745"/>
      <c r="V4" s="1745"/>
      <c r="W4" s="1745"/>
      <c r="X4" s="1745"/>
      <c r="Y4" s="1745"/>
      <c r="Z4" s="1745"/>
      <c r="AA4" s="1745"/>
      <c r="AB4" s="1745"/>
    </row>
    <row r="5" spans="1:30" ht="13.5" thickTop="1">
      <c r="A5" s="2376" t="s">
        <v>2173</v>
      </c>
      <c r="B5" s="2377"/>
      <c r="C5" s="2378"/>
      <c r="D5" s="2379"/>
      <c r="E5" s="2660"/>
      <c r="F5" s="2660"/>
      <c r="G5" s="2660"/>
      <c r="H5" s="2660"/>
      <c r="I5" s="2660"/>
      <c r="J5" s="2436"/>
      <c r="K5" s="2375" t="str">
        <f>IF(F4="——","",IF(H4="——",F4&amp;"（注册号："&amp;G4&amp;")",CONCATENATE(F4,"（注册号：",G4,")、",H4,"（注册号：",I4,")")))</f>
        <v>（注册号：0)、（注册号：0)</v>
      </c>
      <c r="L5" s="2366"/>
      <c r="M5" s="2366"/>
      <c r="N5" s="2367"/>
      <c r="O5" s="1576"/>
      <c r="P5" s="2367"/>
      <c r="Q5" s="2367"/>
      <c r="R5" s="2367"/>
      <c r="S5" s="1745"/>
      <c r="T5" s="1745"/>
      <c r="U5" s="1745"/>
      <c r="V5" s="1745"/>
      <c r="W5" s="1745"/>
      <c r="X5" s="1745"/>
      <c r="Y5" s="1745"/>
      <c r="Z5" s="1745"/>
      <c r="AA5" s="1745"/>
      <c r="AB5" s="1745"/>
    </row>
    <row r="6" spans="1:30">
      <c r="A6" s="2380" t="s">
        <v>2174</v>
      </c>
      <c r="B6" s="2381"/>
      <c r="C6" s="2382"/>
      <c r="D6" s="2383"/>
      <c r="E6" s="2658"/>
      <c r="F6" s="2660"/>
      <c r="G6" s="2660"/>
      <c r="H6" s="2660"/>
      <c r="I6" s="2660"/>
      <c r="J6" s="2436"/>
      <c r="K6" s="2611" t="str">
        <f>IF(COUNTIF(B6,"*上海银行*"),"上海银行","")</f>
        <v/>
      </c>
      <c r="L6" s="2609"/>
      <c r="M6" s="2609"/>
      <c r="N6" s="2436"/>
      <c r="O6" s="2447"/>
      <c r="P6" s="2436"/>
      <c r="Q6" s="2436"/>
      <c r="R6" s="2436"/>
    </row>
    <row r="7" spans="1:30">
      <c r="A7" s="2380" t="s">
        <v>2175</v>
      </c>
      <c r="B7" s="2384"/>
      <c r="C7" s="2382"/>
      <c r="D7" s="2383"/>
      <c r="E7" s="2658"/>
      <c r="F7" s="2660"/>
      <c r="G7" s="2660"/>
      <c r="H7" s="2660"/>
      <c r="I7" s="2660"/>
      <c r="J7" s="2436"/>
      <c r="K7" s="2612"/>
      <c r="L7" s="2609"/>
      <c r="M7" s="2609"/>
      <c r="N7" s="2436"/>
      <c r="O7" s="2447"/>
      <c r="P7" s="2436"/>
      <c r="Q7" s="2436"/>
      <c r="R7" s="2436"/>
    </row>
    <row r="8" spans="1:30">
      <c r="A8" s="2385" t="s">
        <v>2176</v>
      </c>
      <c r="B8" s="2386"/>
      <c r="C8" s="2387"/>
      <c r="D8" s="3514" t="s">
        <v>2177</v>
      </c>
      <c r="E8" s="2388"/>
      <c r="F8" s="2389"/>
      <c r="G8" s="2659"/>
      <c r="H8" s="2659"/>
      <c r="I8" s="2659"/>
      <c r="J8" s="2436"/>
      <c r="K8" s="2610"/>
      <c r="L8" s="2609"/>
      <c r="M8" s="2609"/>
      <c r="N8" s="2436"/>
      <c r="O8" s="2447"/>
      <c r="P8" s="2436"/>
      <c r="Q8" s="2436"/>
      <c r="R8" s="2436"/>
    </row>
    <row r="9" spans="1:30" ht="13.5" thickBot="1">
      <c r="A9" s="2390" t="s">
        <v>2178</v>
      </c>
      <c r="B9" s="2391"/>
      <c r="C9" s="2392"/>
      <c r="D9" s="3515"/>
      <c r="E9" s="2391"/>
      <c r="F9" s="2393"/>
      <c r="G9" s="2661"/>
      <c r="H9" s="2661"/>
      <c r="I9" s="2661"/>
      <c r="J9" s="2436"/>
      <c r="K9" s="2612"/>
      <c r="L9" s="2609"/>
      <c r="M9" s="2609"/>
      <c r="N9" s="2436"/>
      <c r="O9" s="2447"/>
      <c r="P9" s="2436"/>
      <c r="Q9" s="2436"/>
      <c r="R9" s="2436"/>
    </row>
    <row r="10" spans="1:30" ht="13.5" thickTop="1">
      <c r="A10" s="2394" t="s">
        <v>2179</v>
      </c>
      <c r="B10" s="2395"/>
      <c r="C10" s="2396"/>
      <c r="D10" s="2379"/>
      <c r="E10" s="2397" t="s">
        <v>2180</v>
      </c>
      <c r="F10" s="2662"/>
      <c r="G10" s="2663"/>
      <c r="H10" s="2664"/>
      <c r="I10" s="2665"/>
      <c r="J10" s="2436"/>
      <c r="K10" s="2612"/>
      <c r="L10" s="2609"/>
      <c r="M10" s="2609"/>
      <c r="N10" s="2436"/>
      <c r="O10" s="2447"/>
      <c r="P10" s="2436"/>
      <c r="Q10" s="2436"/>
      <c r="R10" s="2436"/>
    </row>
    <row r="11" spans="1:30">
      <c r="A11" s="2398" t="s">
        <v>2181</v>
      </c>
      <c r="B11" s="2399"/>
      <c r="C11" s="2400"/>
      <c r="D11" s="2401"/>
      <c r="E11" s="2367"/>
      <c r="F11" s="2367"/>
      <c r="G11" s="2367"/>
      <c r="H11" s="2367"/>
      <c r="I11" s="2367"/>
      <c r="J11" s="3057"/>
      <c r="K11" s="3056"/>
      <c r="L11" s="2609"/>
      <c r="M11" s="2609"/>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5" t="s">
        <v>2577</v>
      </c>
      <c r="J12" s="3058"/>
      <c r="K12" s="2609"/>
      <c r="L12" s="2609"/>
      <c r="M12" s="2436"/>
      <c r="N12" s="2447"/>
      <c r="O12" s="2436"/>
      <c r="P12" s="2436"/>
      <c r="Q12" s="2436"/>
      <c r="AD12" s="1745"/>
    </row>
    <row r="13" spans="1:30">
      <c r="A13" s="3419" t="s">
        <v>3334</v>
      </c>
      <c r="B13" s="2404" t="s">
        <v>2190</v>
      </c>
      <c r="C13" s="856">
        <v>61250</v>
      </c>
      <c r="D13" s="856"/>
      <c r="E13" s="856"/>
      <c r="F13" s="856"/>
      <c r="G13" s="856"/>
      <c r="H13" s="856"/>
      <c r="I13" s="856"/>
      <c r="J13" s="3058"/>
      <c r="K13" s="2609"/>
      <c r="L13" s="2609" t="s">
        <v>3398</v>
      </c>
      <c r="M13" s="2436"/>
      <c r="N13" s="2447"/>
      <c r="O13" s="2436"/>
      <c r="P13" s="2436"/>
      <c r="Q13" s="2436"/>
      <c r="AD13" s="1745"/>
    </row>
    <row r="14" spans="1:30">
      <c r="A14" s="1081"/>
      <c r="B14" s="2404" t="s">
        <v>2191</v>
      </c>
      <c r="C14" s="2405">
        <v>70</v>
      </c>
      <c r="D14" s="2405"/>
      <c r="E14" s="2405"/>
      <c r="F14" s="2405"/>
      <c r="G14" s="2405"/>
      <c r="H14" s="2405"/>
      <c r="I14" s="2405"/>
      <c r="J14" s="3059"/>
      <c r="K14" s="2609"/>
      <c r="L14" s="2609" t="s">
        <v>3399</v>
      </c>
      <c r="M14" s="3449">
        <f>L14+70</f>
        <v>2067</v>
      </c>
      <c r="N14" s="2447"/>
      <c r="O14" s="2436"/>
      <c r="P14" s="2436"/>
      <c r="Q14" s="2436"/>
      <c r="AD14" s="1745"/>
    </row>
    <row r="15" spans="1:30">
      <c r="A15" s="320"/>
      <c r="B15" s="2406" t="s">
        <v>2192</v>
      </c>
      <c r="C15" s="2407">
        <f>IF(A13="出让",IF(C13="","",ROUNDDOWN(MIN((C13-$D$3)/365,C14),2)),C14)</f>
        <v>44</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0"/>
      <c r="K15" s="2448"/>
      <c r="L15" s="2448"/>
      <c r="M15" s="2505"/>
      <c r="N15" s="2448"/>
      <c r="O15" s="2505"/>
      <c r="P15" s="2436"/>
      <c r="Q15" s="2436"/>
      <c r="AD15" s="1745"/>
    </row>
    <row r="16" spans="1:30">
      <c r="A16" s="2397" t="s">
        <v>2193</v>
      </c>
      <c r="B16" s="3521"/>
      <c r="C16" s="3522"/>
      <c r="D16" s="3523"/>
      <c r="E16" s="2410" t="s">
        <v>2194</v>
      </c>
      <c r="F16" s="3524"/>
      <c r="G16" s="3525"/>
      <c r="H16" s="3525"/>
      <c r="I16" s="3526"/>
      <c r="J16" s="2436"/>
      <c r="K16" s="2613"/>
      <c r="L16" s="2448"/>
      <c r="M16" s="2448"/>
      <c r="N16" s="2505"/>
      <c r="O16" s="2448"/>
      <c r="P16" s="2505"/>
      <c r="Q16" s="2436"/>
      <c r="R16" s="2436"/>
    </row>
    <row r="17" spans="1:28">
      <c r="A17" s="313" t="s">
        <v>2195</v>
      </c>
      <c r="B17" s="302" t="s">
        <v>2196</v>
      </c>
      <c r="C17" s="8">
        <f>'数据-汇总表'!E3</f>
        <v>90.08</v>
      </c>
      <c r="D17" s="2319" t="s">
        <v>2197</v>
      </c>
      <c r="E17" s="3527" t="s">
        <v>2198</v>
      </c>
      <c r="F17" s="3528"/>
      <c r="G17" s="3528"/>
      <c r="H17" s="3528"/>
      <c r="I17" s="3529"/>
      <c r="J17" s="2436"/>
      <c r="K17" s="2614"/>
      <c r="L17" s="2448"/>
      <c r="M17" s="2448"/>
      <c r="N17" s="2505"/>
      <c r="O17" s="2448"/>
      <c r="P17" s="2505"/>
      <c r="Q17" s="2436"/>
      <c r="R17" s="2436"/>
      <c r="S17" s="2436"/>
      <c r="T17" s="2436"/>
      <c r="U17" s="2436"/>
      <c r="V17" s="2436"/>
    </row>
    <row r="18" spans="1:28" ht="24.75" thickBot="1">
      <c r="A18" s="2411" t="s">
        <v>2199</v>
      </c>
      <c r="B18" s="1090" t="s">
        <v>2200</v>
      </c>
      <c r="C18" s="2412">
        <f>'数据-汇总表'!D3</f>
        <v>0</v>
      </c>
      <c r="D18" s="1092" t="s">
        <v>2201</v>
      </c>
      <c r="E18" s="3530" t="s">
        <v>2202</v>
      </c>
      <c r="F18" s="3531"/>
      <c r="G18" s="3531"/>
      <c r="H18" s="3531"/>
      <c r="I18" s="3532"/>
      <c r="J18" s="2436"/>
      <c r="K18" s="2614"/>
      <c r="L18" s="2448"/>
      <c r="M18" s="2448"/>
      <c r="N18" s="2505"/>
      <c r="O18" s="2448"/>
      <c r="P18" s="2505"/>
      <c r="Q18" s="2436"/>
      <c r="R18" s="2436"/>
      <c r="S18" s="2436"/>
      <c r="T18" s="2436"/>
      <c r="U18" s="2436"/>
      <c r="V18" s="2436"/>
    </row>
    <row r="19" spans="1:28" ht="37.5" thickTop="1" thickBot="1">
      <c r="A19" s="327" t="s">
        <v>1055</v>
      </c>
      <c r="B19" s="307" t="s">
        <v>2203</v>
      </c>
      <c r="C19" s="1563"/>
      <c r="D19" s="1564" t="s">
        <v>2204</v>
      </c>
      <c r="E19" s="1565"/>
      <c r="F19" s="1566" t="str">
        <f>IF(AND(C19="是",E19="否"),"是否提供他项权证或相关说明","")</f>
        <v/>
      </c>
      <c r="G19" s="1567"/>
      <c r="H19" s="2660"/>
      <c r="I19" s="2660"/>
      <c r="J19" s="2436"/>
      <c r="K19" s="2612"/>
      <c r="L19" s="2609"/>
      <c r="M19" s="2609"/>
      <c r="N19" s="2505"/>
      <c r="O19" s="2448"/>
      <c r="P19" s="2505"/>
      <c r="Q19" s="2436"/>
      <c r="R19" s="2436"/>
      <c r="S19" s="2436"/>
      <c r="T19" s="2436"/>
      <c r="U19" s="2436"/>
      <c r="V19" s="2436"/>
    </row>
    <row r="20" spans="1:28">
      <c r="A20" s="2628" t="s">
        <v>2205</v>
      </c>
      <c r="B20" s="3517" t="s">
        <v>2206</v>
      </c>
      <c r="C20" s="3518"/>
      <c r="D20" s="3519" t="s">
        <v>2207</v>
      </c>
      <c r="E20" s="3520"/>
      <c r="F20" s="2643" t="s">
        <v>1056</v>
      </c>
      <c r="G20" s="2660"/>
      <c r="H20" s="2660"/>
      <c r="I20" s="2660"/>
      <c r="J20" s="2436"/>
      <c r="K20" s="351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5"/>
      <c r="X20" s="1745"/>
      <c r="Y20" s="1745"/>
      <c r="Z20" s="1745"/>
      <c r="AA20" s="1745"/>
      <c r="AB20" s="1745"/>
    </row>
    <row r="21" spans="1:28" ht="24.75" thickBot="1">
      <c r="A21" s="2628"/>
      <c r="B21" s="2629" t="s">
        <v>2209</v>
      </c>
      <c r="C21" s="2630" t="s">
        <v>1057</v>
      </c>
      <c r="D21" s="1568" t="s">
        <v>2210</v>
      </c>
      <c r="E21" s="2631" t="s">
        <v>1057</v>
      </c>
      <c r="F21" s="2644"/>
      <c r="G21" s="2660"/>
      <c r="H21" s="2660"/>
      <c r="I21" s="2660"/>
      <c r="J21" s="2436"/>
      <c r="K21" s="351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5"/>
      <c r="X21" s="1745"/>
      <c r="Y21" s="1745"/>
      <c r="Z21" s="1745"/>
      <c r="AA21" s="1745"/>
      <c r="AB21" s="1745"/>
    </row>
    <row r="22" spans="1:28" ht="24.75" thickBot="1">
      <c r="A22" s="2628"/>
      <c r="B22" s="2632" t="s">
        <v>2211</v>
      </c>
      <c r="C22" s="2630" t="s">
        <v>1058</v>
      </c>
      <c r="D22" s="2659"/>
      <c r="E22" s="2659"/>
      <c r="F22" s="2659"/>
      <c r="G22" s="2660"/>
      <c r="H22" s="2660"/>
      <c r="I22" s="2660"/>
      <c r="J22" s="2436"/>
      <c r="K22" s="351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5"/>
      <c r="X22" s="1745"/>
      <c r="Y22" s="1745"/>
      <c r="Z22" s="1745"/>
      <c r="AA22" s="1745"/>
      <c r="AB22" s="1745"/>
    </row>
    <row r="23" spans="1:28">
      <c r="A23" s="2633" t="s">
        <v>2212</v>
      </c>
      <c r="B23" s="2498" t="s">
        <v>2213</v>
      </c>
      <c r="C23" s="2634"/>
      <c r="D23" s="2635" t="s">
        <v>2213</v>
      </c>
      <c r="E23" s="2636"/>
      <c r="F23" s="2659"/>
      <c r="G23" s="2660"/>
      <c r="H23" s="2660"/>
      <c r="I23" s="2660"/>
      <c r="J23" s="2436"/>
      <c r="K23" s="2615"/>
      <c r="L23" s="2471"/>
      <c r="M23" s="2609"/>
      <c r="N23" s="2505"/>
      <c r="O23" s="2448"/>
      <c r="P23" s="2505"/>
      <c r="Q23" s="2436"/>
      <c r="R23" s="2436"/>
      <c r="S23" s="2436"/>
      <c r="T23" s="2436"/>
      <c r="U23" s="2436"/>
      <c r="V23" s="2436"/>
    </row>
    <row r="24" spans="1:28">
      <c r="A24" s="2633"/>
      <c r="B24" s="2498" t="s">
        <v>1059</v>
      </c>
      <c r="C24" s="2637"/>
      <c r="D24" s="2633" t="s">
        <v>1059</v>
      </c>
      <c r="E24" s="2638"/>
      <c r="F24" s="2659"/>
      <c r="G24" s="2660"/>
      <c r="H24" s="2660"/>
      <c r="I24" s="2660"/>
      <c r="J24" s="2436"/>
      <c r="K24" s="2615"/>
      <c r="L24" s="2471"/>
      <c r="M24" s="2609"/>
      <c r="N24" s="2505"/>
      <c r="O24" s="2448"/>
      <c r="P24" s="2505"/>
      <c r="Q24" s="2436"/>
      <c r="R24" s="2436"/>
      <c r="S24" s="2436"/>
      <c r="T24" s="2436"/>
      <c r="U24" s="2436"/>
      <c r="V24" s="2436"/>
    </row>
    <row r="25" spans="1:28">
      <c r="A25" s="2633"/>
      <c r="B25" s="2498" t="s">
        <v>1060</v>
      </c>
      <c r="C25" s="2637"/>
      <c r="D25" s="2633" t="s">
        <v>1060</v>
      </c>
      <c r="E25" s="2638"/>
      <c r="F25" s="2659"/>
      <c r="G25" s="2660"/>
      <c r="H25" s="2660"/>
      <c r="I25" s="2660"/>
      <c r="J25" s="2436"/>
      <c r="K25" s="2612"/>
      <c r="L25" s="2609"/>
      <c r="M25" s="2609"/>
      <c r="N25" s="2505"/>
      <c r="O25" s="2448"/>
      <c r="P25" s="2505"/>
      <c r="Q25" s="2436"/>
      <c r="R25" s="2436"/>
      <c r="S25" s="2436"/>
      <c r="T25" s="2436"/>
      <c r="U25" s="2436"/>
      <c r="V25" s="2436"/>
    </row>
    <row r="26" spans="1:28" ht="13.5" thickBot="1">
      <c r="A26" s="2639"/>
      <c r="B26" s="2640" t="s">
        <v>1061</v>
      </c>
      <c r="C26" s="2641"/>
      <c r="D26" s="2639" t="s">
        <v>1061</v>
      </c>
      <c r="E26" s="2642"/>
      <c r="F26" s="2661"/>
      <c r="G26" s="2661"/>
      <c r="H26" s="2661"/>
      <c r="I26" s="2661"/>
      <c r="J26" s="2436"/>
      <c r="K26" s="2612"/>
      <c r="L26" s="2609"/>
      <c r="M26" s="2609"/>
      <c r="N26" s="2505"/>
      <c r="O26" s="2448"/>
      <c r="P26" s="2505"/>
      <c r="Q26" s="2436"/>
      <c r="R26" s="2436"/>
      <c r="S26" s="2436"/>
      <c r="T26" s="2436"/>
      <c r="U26" s="2436"/>
      <c r="V26" s="2436"/>
    </row>
    <row r="27" spans="1:28" ht="13.5" thickTop="1">
      <c r="A27" s="3534" t="s">
        <v>2214</v>
      </c>
      <c r="B27" s="320" t="s">
        <v>2215</v>
      </c>
      <c r="C27" s="2413"/>
      <c r="D27" s="2414"/>
      <c r="E27" s="2660"/>
      <c r="F27" s="2660"/>
      <c r="G27" s="2660"/>
      <c r="H27" s="2660"/>
      <c r="I27" s="2660"/>
      <c r="J27" s="2436"/>
      <c r="K27" s="2613"/>
      <c r="L27" s="2448"/>
      <c r="M27" s="2448"/>
      <c r="N27" s="2505"/>
      <c r="O27" s="2448"/>
      <c r="P27" s="2505"/>
      <c r="Q27" s="2436"/>
      <c r="R27" s="2436"/>
      <c r="S27" s="2436"/>
      <c r="T27" s="2436"/>
      <c r="U27" s="2436"/>
      <c r="V27" s="2436"/>
    </row>
    <row r="28" spans="1:28">
      <c r="A28" s="3534"/>
      <c r="B28" s="302" t="s">
        <v>2216</v>
      </c>
      <c r="C28" s="2415"/>
      <c r="D28" s="2416"/>
      <c r="E28" s="2660"/>
      <c r="F28" s="2660"/>
      <c r="G28" s="2660"/>
      <c r="H28" s="2660"/>
      <c r="I28" s="2660"/>
      <c r="J28" s="2436"/>
      <c r="K28" s="2612"/>
      <c r="L28" s="2609"/>
      <c r="M28" s="2609"/>
      <c r="N28" s="2436"/>
      <c r="O28" s="2447"/>
      <c r="P28" s="2436"/>
      <c r="Q28" s="2436"/>
      <c r="R28" s="2436"/>
      <c r="S28" s="2436"/>
      <c r="T28" s="2436"/>
      <c r="U28" s="2436"/>
      <c r="V28" s="2436"/>
    </row>
    <row r="29" spans="1:28">
      <c r="A29" s="3534"/>
      <c r="B29" s="302" t="s">
        <v>2217</v>
      </c>
      <c r="C29" s="2417"/>
      <c r="D29" s="2418"/>
      <c r="E29" s="2660"/>
      <c r="F29" s="2660"/>
      <c r="G29" s="2660"/>
      <c r="H29" s="2660"/>
      <c r="I29" s="2660"/>
      <c r="J29" s="2436"/>
      <c r="K29" s="2612"/>
      <c r="L29" s="2609"/>
      <c r="M29" s="2609"/>
      <c r="N29" s="2436"/>
      <c r="O29" s="2447"/>
      <c r="P29" s="2436"/>
      <c r="Q29" s="2436"/>
      <c r="R29" s="2436"/>
      <c r="S29" s="2436"/>
      <c r="T29" s="2436"/>
      <c r="U29" s="2436"/>
      <c r="V29" s="2436"/>
    </row>
    <row r="30" spans="1:28">
      <c r="A30" s="3535"/>
      <c r="B30" s="302" t="s">
        <v>2218</v>
      </c>
      <c r="C30" s="3536"/>
      <c r="D30" s="3537"/>
      <c r="E30" s="2660"/>
      <c r="F30" s="2660"/>
      <c r="G30" s="2660"/>
      <c r="H30" s="2660"/>
      <c r="I30" s="2660"/>
      <c r="J30" s="2436"/>
      <c r="K30" s="2612"/>
      <c r="L30" s="2609"/>
      <c r="M30" s="2609"/>
      <c r="N30" s="2436"/>
      <c r="O30" s="2447"/>
      <c r="P30" s="2436"/>
      <c r="Q30" s="2436"/>
      <c r="R30" s="2436"/>
      <c r="S30" s="2436"/>
      <c r="T30" s="2436"/>
      <c r="U30" s="2436"/>
      <c r="V30" s="2436"/>
    </row>
    <row r="31" spans="1:28">
      <c r="A31" s="3538" t="s">
        <v>2219</v>
      </c>
      <c r="B31" s="2419"/>
      <c r="C31" s="2320" t="str">
        <f>IF(B31="现房","成新及维护状况正常否",IF(B31="在建","工程状态是否正常",IF(B31="土地","是否闲置","-")))</f>
        <v>-</v>
      </c>
      <c r="D31" s="1373"/>
      <c r="E31" s="2420"/>
      <c r="F31" s="2660"/>
      <c r="G31" s="2660"/>
      <c r="H31" s="2660"/>
      <c r="I31" s="2660"/>
      <c r="J31" s="2436"/>
      <c r="K31" s="2611"/>
      <c r="L31" s="2609"/>
      <c r="M31" s="2609"/>
      <c r="N31" s="2436"/>
      <c r="O31" s="2447"/>
      <c r="P31" s="2436"/>
      <c r="Q31" s="2436"/>
      <c r="R31" s="2436"/>
      <c r="S31" s="2436"/>
      <c r="T31" s="2436"/>
      <c r="U31" s="2436"/>
      <c r="V31" s="2436"/>
    </row>
    <row r="32" spans="1:28">
      <c r="A32" s="3539"/>
      <c r="B32" s="2419"/>
      <c r="C32" s="2320" t="str">
        <f>IF(B32="现房","成新及维护状况是否正常",IF(B32="在建","工程状态是否正常",IF(B32="土地","是否闲置","-")))</f>
        <v>-</v>
      </c>
      <c r="D32" s="1373"/>
      <c r="E32" s="2420"/>
      <c r="F32" s="2660"/>
      <c r="G32" s="2660"/>
      <c r="H32" s="2660"/>
      <c r="I32" s="2660"/>
      <c r="J32" s="2436"/>
      <c r="K32" s="2612"/>
      <c r="L32" s="2609"/>
      <c r="M32" s="2609"/>
      <c r="N32" s="2436"/>
      <c r="O32" s="2447"/>
      <c r="P32" s="2436"/>
      <c r="Q32" s="2436"/>
      <c r="R32" s="2436"/>
      <c r="S32" s="2436"/>
      <c r="T32" s="2436"/>
      <c r="U32" s="2436"/>
      <c r="V32" s="2436"/>
    </row>
    <row r="33" spans="1:30">
      <c r="A33" s="3539"/>
      <c r="B33" s="2422"/>
      <c r="C33" s="1590" t="str">
        <f>IF(B33="现房","成新及维护状况是否正常",IF(B33="在建","工程状态是否正常",IF(B33="土地","是否闲置","-")))</f>
        <v>-</v>
      </c>
      <c r="D33" s="1365"/>
      <c r="E33" s="2423"/>
      <c r="F33" s="2660"/>
      <c r="G33" s="2660"/>
      <c r="H33" s="2660"/>
      <c r="I33" s="2660"/>
      <c r="J33" s="2436"/>
      <c r="K33" s="2612"/>
      <c r="L33" s="2609"/>
      <c r="M33" s="2609"/>
      <c r="N33" s="2436"/>
      <c r="O33" s="2447"/>
      <c r="P33" s="2436"/>
      <c r="Q33" s="2436"/>
      <c r="R33" s="2436"/>
      <c r="S33" s="2436"/>
      <c r="T33" s="2436"/>
      <c r="U33" s="2436"/>
      <c r="V33" s="2436"/>
    </row>
    <row r="34" spans="1:30">
      <c r="A34" s="302" t="s">
        <v>2220</v>
      </c>
      <c r="B34" s="2023"/>
      <c r="C34" s="2023"/>
      <c r="D34" s="2023"/>
      <c r="E34" s="2023"/>
      <c r="F34" s="2023"/>
      <c r="G34" s="2023"/>
      <c r="H34" s="2023"/>
      <c r="I34" s="2660"/>
      <c r="J34" s="2436"/>
      <c r="K34" s="2424">
        <f>COUNTIF(B34:H34,"——")</f>
        <v>0</v>
      </c>
      <c r="L34" s="323" t="s">
        <v>2221</v>
      </c>
      <c r="M34" s="323" t="s">
        <v>2222</v>
      </c>
      <c r="N34" s="323" t="s">
        <v>2223</v>
      </c>
      <c r="O34" s="323" t="s">
        <v>2224</v>
      </c>
      <c r="P34" s="323" t="s">
        <v>2225</v>
      </c>
      <c r="Q34" s="323" t="s">
        <v>2226</v>
      </c>
      <c r="R34" s="323" t="s">
        <v>2227</v>
      </c>
      <c r="S34" s="3533" t="s">
        <v>2228</v>
      </c>
      <c r="T34" s="2425" t="str">
        <f>NUMBERSTRING(7-K34,1)&amp;"通"</f>
        <v>七通</v>
      </c>
      <c r="U34" s="2436"/>
      <c r="V34" s="2436"/>
    </row>
    <row r="35" spans="1:30">
      <c r="A35" s="2426"/>
      <c r="B35" s="3540" t="s">
        <v>2229</v>
      </c>
      <c r="C35" s="3540"/>
      <c r="D35" s="3540"/>
      <c r="E35" s="3540"/>
      <c r="F35" s="664">
        <f>C10</f>
        <v>0</v>
      </c>
      <c r="G35" s="2660"/>
      <c r="H35" s="2660"/>
      <c r="I35" s="2660"/>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3"/>
      <c r="T35" s="329" t="str">
        <f>IF(T34="一通",L35,IF(T34="二通",M35,IF(T34="三通",N35,IF(T34="四通",O35,IF(T34="五通",P35,IF(T34="六通",Q35,R35))))))</f>
        <v>、、、、、、</v>
      </c>
      <c r="U35" s="2436"/>
      <c r="V35" s="2436"/>
    </row>
    <row r="36" spans="1:30">
      <c r="A36" s="2427"/>
      <c r="B36" s="664" t="s">
        <v>2185</v>
      </c>
      <c r="C36" s="664" t="s">
        <v>2186</v>
      </c>
      <c r="D36" s="664" t="s">
        <v>2184</v>
      </c>
      <c r="E36" s="664" t="s">
        <v>2189</v>
      </c>
      <c r="F36" s="3061" t="s">
        <v>2580</v>
      </c>
      <c r="G36" s="2660"/>
      <c r="H36" s="2660"/>
      <c r="I36" s="2660"/>
      <c r="J36" s="2436"/>
      <c r="K36" s="2612"/>
      <c r="L36" s="2609"/>
      <c r="M36" s="2609"/>
      <c r="N36" s="2436"/>
      <c r="O36" s="2447"/>
      <c r="P36" s="2436"/>
      <c r="Q36" s="2436"/>
      <c r="R36" s="2436"/>
      <c r="S36" s="2436"/>
      <c r="T36" s="2436"/>
      <c r="U36" s="2436"/>
      <c r="V36" s="2436"/>
    </row>
    <row r="37" spans="1:30">
      <c r="A37" s="2626" t="s">
        <v>2230</v>
      </c>
      <c r="B37" s="2428"/>
      <c r="C37" s="2428"/>
      <c r="D37" s="2428" t="s">
        <v>304</v>
      </c>
      <c r="E37" s="2428"/>
      <c r="F37" s="2428"/>
      <c r="G37" s="2660"/>
      <c r="H37" s="2660"/>
      <c r="I37" s="2660"/>
      <c r="J37" s="2436"/>
      <c r="K37" s="2612"/>
      <c r="L37" s="2609"/>
      <c r="M37" s="2609"/>
      <c r="N37" s="2436"/>
      <c r="O37" s="2447"/>
      <c r="P37" s="2436"/>
      <c r="Q37" s="2436"/>
      <c r="R37" s="2436"/>
      <c r="S37" s="2436"/>
      <c r="T37" s="2436"/>
      <c r="U37" s="2436"/>
      <c r="V37" s="2436"/>
    </row>
    <row r="38" spans="1:30" ht="13.5" thickBot="1">
      <c r="A38" s="2627" t="s">
        <v>2231</v>
      </c>
      <c r="B38" s="2429"/>
      <c r="C38" s="2429"/>
      <c r="D38" s="2429" t="s">
        <v>3391</v>
      </c>
      <c r="E38" s="2429"/>
      <c r="F38" s="2429"/>
      <c r="G38" s="2661"/>
      <c r="H38" s="2661"/>
      <c r="I38" s="2661"/>
      <c r="J38" s="2436"/>
      <c r="K38" s="2612"/>
      <c r="L38" s="2609"/>
      <c r="M38" s="2609"/>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7"/>
      <c r="B40" s="2367"/>
      <c r="C40" s="2367"/>
      <c r="D40" s="2367"/>
      <c r="E40" s="2367"/>
      <c r="F40" s="2367"/>
      <c r="G40" s="2367"/>
      <c r="H40" s="2367"/>
      <c r="I40" s="1578"/>
      <c r="J40" s="2505"/>
      <c r="K40" s="2611"/>
      <c r="L40" s="2448"/>
      <c r="M40" s="2448"/>
      <c r="N40" s="2505"/>
      <c r="O40" s="2448"/>
      <c r="P40" s="2436"/>
      <c r="Q40" s="2436"/>
      <c r="R40" s="2436"/>
      <c r="S40" s="2436"/>
      <c r="T40" s="2436"/>
      <c r="U40" s="2436"/>
      <c r="V40" s="2436"/>
    </row>
    <row r="41" spans="1:30">
      <c r="A41" s="2433" t="s">
        <v>2233</v>
      </c>
      <c r="B41" s="1757"/>
      <c r="C41" s="1373"/>
      <c r="D41" s="2367"/>
      <c r="E41" s="2367"/>
      <c r="F41" s="2367"/>
      <c r="G41" s="2367"/>
      <c r="H41" s="2367"/>
      <c r="I41" s="1576"/>
      <c r="J41" s="2436"/>
      <c r="K41" s="2612"/>
      <c r="L41" s="2609"/>
      <c r="M41" s="2609"/>
      <c r="N41" s="2436"/>
      <c r="O41" s="2447"/>
      <c r="P41" s="2436"/>
      <c r="Q41" s="2436"/>
      <c r="R41" s="2436"/>
      <c r="S41" s="2436"/>
      <c r="T41" s="2436"/>
      <c r="U41" s="2436"/>
      <c r="V41" s="2436"/>
    </row>
    <row r="42" spans="1:30" ht="25.5">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5" sqref="J1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90.08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90.08</v>
      </c>
      <c r="H5" s="13">
        <f t="shared" ref="H5:AT5" si="0">SUM(H13:H656)</f>
        <v>90.08</v>
      </c>
      <c r="I5" s="13">
        <f t="shared" si="0"/>
        <v>90.08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90.08</v>
      </c>
      <c r="BA5" s="15">
        <f t="shared" si="1"/>
        <v>90.08</v>
      </c>
      <c r="BB5" s="15">
        <f t="shared" si="1"/>
        <v>90.08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3382</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3383</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平层住宅</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3380</v>
      </c>
      <c r="E13" s="13">
        <f>IF($C$3="是",ROUND($A$3*G13/$B$3,2),ROUND($A$3*(G13-AT13)/$B$3,2))</f>
        <v>0</v>
      </c>
      <c r="F13" s="29"/>
      <c r="G13" s="30">
        <f>H13+AC13+AT13</f>
        <v>90.08</v>
      </c>
      <c r="H13" s="17">
        <f>SUMIF(I$12:AB$12,"总值",I13:AB13)</f>
        <v>90.08</v>
      </c>
      <c r="I13" s="1626">
        <v>90.08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90.08</v>
      </c>
      <c r="BA13" s="13">
        <f>SUM(BB13:BK13)</f>
        <v>90.08</v>
      </c>
      <c r="BB13" s="13">
        <f>IF($D13="是",I13-J13,0)</f>
        <v>90.08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5"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0" t="s">
        <v>1131</v>
      </c>
      <c r="B2" s="3550"/>
      <c r="C2" s="3550"/>
      <c r="D2" s="796" t="s">
        <v>1107</v>
      </c>
      <c r="E2" s="1639" t="s">
        <v>1108</v>
      </c>
      <c r="F2" s="2655"/>
      <c r="G2" s="2646"/>
      <c r="H2" s="2647"/>
      <c r="I2" s="2322" t="s">
        <v>1132</v>
      </c>
      <c r="J2" s="2655"/>
      <c r="K2" s="2655"/>
      <c r="L2" s="2655"/>
      <c r="M2" s="2655"/>
      <c r="N2" s="2657"/>
      <c r="O2" s="2655"/>
      <c r="P2" s="2655"/>
    </row>
    <row r="3" spans="1:16" ht="15.75" thickBot="1">
      <c r="A3" s="3551" t="s">
        <v>1105</v>
      </c>
      <c r="B3" s="3551"/>
      <c r="C3" s="3551"/>
      <c r="D3" s="43">
        <f>'数据-基础表'!AY6</f>
        <v>0</v>
      </c>
      <c r="E3" s="43">
        <f>'数据-基础表'!AZ5</f>
        <v>90.08</v>
      </c>
      <c r="F3" s="2655"/>
      <c r="G3" s="1145"/>
      <c r="H3" s="1026" t="s">
        <v>1106</v>
      </c>
      <c r="I3" s="855" t="e">
        <f>ROUND('数据-基础表'!B3/'数据-基础表'!A3,2)</f>
        <v>#DIV/0!</v>
      </c>
      <c r="J3" s="2655"/>
      <c r="K3" s="2655"/>
      <c r="L3" s="2655"/>
      <c r="M3" s="2655"/>
      <c r="N3" s="2657"/>
      <c r="O3" s="2655"/>
      <c r="P3" s="2655"/>
    </row>
    <row r="4" spans="1:16" ht="15">
      <c r="A4" s="3552"/>
      <c r="B4" s="3553"/>
      <c r="C4" s="3554"/>
      <c r="D4" s="1641" t="s">
        <v>1107</v>
      </c>
      <c r="E4" s="1642" t="s">
        <v>1108</v>
      </c>
      <c r="F4" s="2655"/>
      <c r="G4" s="2648" t="s">
        <v>1133</v>
      </c>
      <c r="H4" s="1026" t="s">
        <v>1113</v>
      </c>
      <c r="I4" s="855" t="e">
        <f>ROUND(SUMIF('数据-基础表'!I9:AS9,"地上",'数据-基础表'!I5:AS5)/'数据-基础表'!A3,2)</f>
        <v>#DIV/0!</v>
      </c>
      <c r="J4" s="2655"/>
      <c r="K4" s="2655"/>
      <c r="L4" s="2655"/>
      <c r="M4" s="2655"/>
      <c r="N4" s="2657"/>
      <c r="O4" s="2655"/>
      <c r="P4" s="2655"/>
    </row>
    <row r="5" spans="1:16">
      <c r="A5" s="44" t="s">
        <v>1109</v>
      </c>
      <c r="B5" s="3555" t="s">
        <v>1110</v>
      </c>
      <c r="C5" s="3555"/>
      <c r="D5" s="45">
        <f>ROUND($D$3*E5/$E$3,2)</f>
        <v>0</v>
      </c>
      <c r="E5" s="46">
        <f>SUMIF('数据-基础表'!$11:$11,"住宅",'数据-基础表'!$5:$5)</f>
        <v>90.08</v>
      </c>
      <c r="F5" s="2655"/>
      <c r="G5" s="1145"/>
      <c r="H5" s="1026" t="s">
        <v>1106</v>
      </c>
      <c r="I5" s="855" t="e">
        <f>ROUND(E31/D31,2)</f>
        <v>#DIV/0!</v>
      </c>
      <c r="J5" s="2655"/>
      <c r="K5" s="2655"/>
      <c r="L5" s="2655"/>
      <c r="M5" s="2655"/>
      <c r="N5" s="2655"/>
      <c r="O5" s="2655"/>
      <c r="P5" s="2655"/>
    </row>
    <row r="6" spans="1:16" ht="15" thickBot="1">
      <c r="A6" s="1644"/>
      <c r="B6" s="3555" t="s">
        <v>1111</v>
      </c>
      <c r="C6" s="3555"/>
      <c r="D6" s="45">
        <f>ROUND($D$3*E6/$E$3,2)</f>
        <v>0</v>
      </c>
      <c r="E6" s="46">
        <f>E3-E5</f>
        <v>0</v>
      </c>
      <c r="F6" s="2655"/>
      <c r="G6" s="2649" t="s">
        <v>1112</v>
      </c>
      <c r="H6" s="1146" t="s">
        <v>1113</v>
      </c>
      <c r="I6" s="2650" t="e">
        <f>ROUND(F31/D31,2)</f>
        <v>#DIV/0!</v>
      </c>
      <c r="J6" s="2655"/>
      <c r="K6" s="2655"/>
      <c r="L6" s="2655"/>
      <c r="M6" s="2655"/>
      <c r="N6" s="2655"/>
      <c r="O6" s="2655"/>
      <c r="P6" s="2655"/>
    </row>
    <row r="7" spans="1:16" ht="15.75" thickBot="1">
      <c r="A7" s="3547"/>
      <c r="B7" s="3548"/>
      <c r="C7" s="3549"/>
      <c r="D7" s="1641" t="s">
        <v>1107</v>
      </c>
      <c r="E7" s="1645" t="s">
        <v>1114</v>
      </c>
      <c r="F7" s="2655"/>
      <c r="G7" s="2651" t="s">
        <v>1115</v>
      </c>
      <c r="H7" s="2652"/>
      <c r="I7" s="2653">
        <v>1.3</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90.08</v>
      </c>
      <c r="F8" s="2655"/>
      <c r="G8" s="2656"/>
      <c r="H8" s="2656"/>
      <c r="I8" s="2655"/>
      <c r="J8" s="2655"/>
      <c r="K8" s="2655"/>
      <c r="L8" s="2655"/>
      <c r="M8" s="2655"/>
      <c r="N8" s="2655"/>
      <c r="O8" s="2655"/>
      <c r="P8" s="2655"/>
    </row>
    <row r="9" spans="1:16">
      <c r="A9" s="1646"/>
      <c r="B9" s="1647"/>
      <c r="C9" s="45" t="s">
        <v>1119</v>
      </c>
      <c r="D9" s="45">
        <f t="shared" si="0"/>
        <v>0</v>
      </c>
      <c r="E9" s="49">
        <v>0</v>
      </c>
      <c r="F9" s="2655"/>
      <c r="G9" s="2656"/>
      <c r="H9" s="2656"/>
      <c r="I9" s="2655"/>
      <c r="J9" s="2655"/>
      <c r="K9" s="2655"/>
      <c r="L9" s="2655"/>
      <c r="M9" s="2655"/>
      <c r="N9" s="2655"/>
      <c r="O9" s="2655"/>
      <c r="P9" s="2655"/>
    </row>
    <row r="10" spans="1:16">
      <c r="A10" s="1646"/>
      <c r="B10" s="1647"/>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6"/>
      <c r="B11" s="1647"/>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6"/>
      <c r="B12" s="1647"/>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6"/>
      <c r="B13" s="1647"/>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6"/>
      <c r="B14" s="1647"/>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6"/>
      <c r="B15" s="1647"/>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4"/>
      <c r="B16" s="1647"/>
      <c r="C16" s="47" t="s">
        <v>1123</v>
      </c>
      <c r="D16" s="47">
        <f>SUM(D8:D15)</f>
        <v>0</v>
      </c>
      <c r="E16" s="50">
        <f>SUM(E8:E15)</f>
        <v>90.08</v>
      </c>
      <c r="F16" s="2655"/>
      <c r="G16" s="2656"/>
      <c r="H16" s="1648" t="s">
        <v>1135</v>
      </c>
      <c r="I16" s="1649"/>
      <c r="J16" s="1139"/>
      <c r="K16" s="3544" t="s">
        <v>1135</v>
      </c>
      <c r="L16" s="3545"/>
      <c r="M16" s="3545"/>
      <c r="N16" s="3545"/>
      <c r="O16" s="3545"/>
      <c r="P16" s="3546"/>
    </row>
    <row r="17" spans="1:19" ht="15">
      <c r="A17" s="1650" t="s">
        <v>1136</v>
      </c>
      <c r="B17" s="1651" t="s">
        <v>1137</v>
      </c>
      <c r="C17" s="1652" t="s">
        <v>1138</v>
      </c>
      <c r="D17" s="1653" t="s">
        <v>1126</v>
      </c>
      <c r="E17" s="1654" t="s">
        <v>1127</v>
      </c>
      <c r="F17" s="1655"/>
      <c r="G17" s="1656"/>
      <c r="H17" s="1657" t="s">
        <v>1139</v>
      </c>
      <c r="I17" s="1658" t="s">
        <v>1124</v>
      </c>
      <c r="J17" s="1139"/>
      <c r="K17" s="3541" t="s">
        <v>1140</v>
      </c>
      <c r="L17" s="3542"/>
      <c r="M17" s="3543"/>
      <c r="N17" s="3541" t="s">
        <v>1141</v>
      </c>
      <c r="O17" s="3542"/>
      <c r="P17" s="354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3" t="s">
        <v>3384</v>
      </c>
      <c r="D19" s="45">
        <f>ROUND($D$3*E19/$E$3,2)</f>
        <v>0</v>
      </c>
      <c r="E19" s="53">
        <f t="shared" ref="E19:E26" si="1">SUM(F19:G19)</f>
        <v>90.08</v>
      </c>
      <c r="F19" s="2791">
        <f>'数据-基础表'!I13</f>
        <v>90.08</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90.08</v>
      </c>
    </row>
    <row r="20" spans="1:19">
      <c r="A20" s="1670"/>
      <c r="B20" s="47" t="s">
        <v>1153</v>
      </c>
      <c r="C20" s="3413"/>
      <c r="D20" s="45">
        <f t="shared" ref="D20:D26" si="6">ROUND($D$3*E20/$E$3,2)</f>
        <v>0</v>
      </c>
      <c r="E20" s="53">
        <f t="shared" si="1"/>
        <v>0</v>
      </c>
      <c r="F20" s="2791"/>
      <c r="G20" s="279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90.08</v>
      </c>
      <c r="F27" s="1140">
        <f>IF(SUM(F19:F26)=E8,SUM(F19:F26),"地上面积有误")</f>
        <v>90.08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90.08</v>
      </c>
    </row>
    <row r="28" spans="1:19">
      <c r="A28" s="1670"/>
      <c r="B28" s="47" t="s">
        <v>1155</v>
      </c>
      <c r="C28" s="1038"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70"/>
      <c r="B29" s="47" t="s">
        <v>1155</v>
      </c>
      <c r="C29" s="1674"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70"/>
      <c r="B30" s="47"/>
      <c r="C30" s="1675" t="s">
        <v>1154</v>
      </c>
      <c r="D30" s="1140">
        <f>SUM(D28:D29)</f>
        <v>0</v>
      </c>
      <c r="E30" s="1140">
        <f>SUM(E28:E29)</f>
        <v>0</v>
      </c>
      <c r="F30" s="1140">
        <f>SUM(F28:F29)</f>
        <v>0</v>
      </c>
      <c r="G30" s="1142">
        <f>SUM(G28:G29)</f>
        <v>0</v>
      </c>
      <c r="H30" s="2655"/>
      <c r="I30" s="2655"/>
      <c r="J30" s="2655"/>
      <c r="K30" s="2655"/>
      <c r="L30" s="2655"/>
      <c r="M30" s="2655"/>
      <c r="N30" s="2655"/>
      <c r="O30" s="2655"/>
      <c r="P30" s="2655"/>
    </row>
    <row r="31" spans="1:19" ht="15.75" thickBot="1">
      <c r="A31" s="1676"/>
      <c r="B31" s="1677"/>
      <c r="C31" s="835" t="s">
        <v>1158</v>
      </c>
      <c r="D31" s="676">
        <f>D27+D30</f>
        <v>0</v>
      </c>
      <c r="E31" s="676">
        <f>E27+E30</f>
        <v>90.08</v>
      </c>
      <c r="F31" s="677">
        <f>F27+F30</f>
        <v>90.08</v>
      </c>
      <c r="G31" s="678">
        <f>G27+G30</f>
        <v>0</v>
      </c>
      <c r="H31" s="2655"/>
      <c r="I31" s="2655"/>
      <c r="J31" s="2655"/>
      <c r="K31" s="2655"/>
      <c r="L31" s="2655"/>
      <c r="M31" s="2655"/>
      <c r="N31" s="2655"/>
      <c r="O31" s="2655"/>
      <c r="P31" s="2655"/>
    </row>
    <row r="32" spans="1:19">
      <c r="A32" s="1643"/>
      <c r="B32" s="1643" t="s">
        <v>1159</v>
      </c>
      <c r="C32" s="1643"/>
      <c r="D32" s="1643"/>
      <c r="E32" s="1053">
        <f>SUMIF(C19:C26,"*住宅*",E19:E26)</f>
        <v>90.08</v>
      </c>
      <c r="F32" s="1643"/>
      <c r="G32" s="1643"/>
      <c r="H32" s="2655"/>
      <c r="I32" s="2655"/>
      <c r="J32" s="2655"/>
      <c r="K32" s="2655"/>
      <c r="L32" s="2655"/>
      <c r="M32" s="2655"/>
      <c r="N32" s="2655"/>
      <c r="O32" s="2655"/>
      <c r="P32" s="2655"/>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L6" activePane="bottomRight" state="frozen"/>
      <selection activeCell="C50" sqref="C50"/>
      <selection pane="topRight" activeCell="C50" sqref="C50"/>
      <selection pane="bottomLeft" activeCell="C50" sqref="C50"/>
      <selection pane="bottomRight" activeCell="N22" sqref="N2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7"/>
      <c r="AO1" s="2667"/>
      <c r="AP1" s="2667"/>
      <c r="AQ1" s="2667"/>
      <c r="AR1" s="2667"/>
    </row>
    <row r="2" spans="1:67" s="1559" customFormat="1" ht="15.75" thickBot="1">
      <c r="A2" s="1683" t="s">
        <v>1161</v>
      </c>
      <c r="B2" s="1045">
        <f>项目基本情况!D3</f>
        <v>45189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9"/>
      <c r="AO2" s="2669"/>
      <c r="AP2" s="2669"/>
      <c r="AQ2" s="2669"/>
      <c r="AR2" s="266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9"/>
      <c r="AO3" s="2669"/>
      <c r="AP3" s="2669"/>
      <c r="AQ3" s="2669"/>
      <c r="AR3" s="266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4"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9"/>
      <c r="AO4" s="2669"/>
      <c r="AP4" s="2669"/>
      <c r="AQ4" s="2669"/>
      <c r="AR4" s="266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3382</v>
      </c>
      <c r="D6" s="858">
        <f>SUMIF(项目基本情况!C$12:I$12,C6,项目基本情况!C$14:I$14)</f>
        <v>70</v>
      </c>
      <c r="E6" s="857">
        <f>IF(B6="","",SUMIF(项目基本情况!C$12:I$12,C6,项目基本情况!C$13:I$13))</f>
        <v>61250</v>
      </c>
      <c r="F6" s="64">
        <f>SUMIF(项目基本情况!C$12:I$12,C6,项目基本情况!C$15:I$15)</f>
        <v>44</v>
      </c>
      <c r="G6" s="65">
        <f>IF(ISERROR(ROUND(POWER(1+H6,D6-F6)*(POWER(1+H6,F6)-1)/(POWER(1+H6,D6)-1),3)),0,ROUND(POWER(1+H6,D6-F6)*(POWER(1+H6,F6)-1)/(POWER(1+H6,D6)-1),3))</f>
        <v>0.91300000000000003</v>
      </c>
      <c r="H6" s="732">
        <v>0.05</v>
      </c>
      <c r="I6" s="732">
        <v>5.5E-2</v>
      </c>
      <c r="J6" s="66">
        <v>0.06</v>
      </c>
      <c r="K6" s="1030">
        <f>SUMIF('数据-汇总表'!C$19:C$33,A6,'数据-汇总表'!E$19:E$33)</f>
        <v>90.08</v>
      </c>
      <c r="L6" s="733">
        <v>3000</v>
      </c>
      <c r="M6" s="67">
        <f t="shared" ref="M6:M14" si="0">ROUND(K6*L6/10000,0)</f>
        <v>27</v>
      </c>
      <c r="N6" s="731">
        <f>N21</f>
        <v>0.61499999999999999</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4">
        <v>2800</v>
      </c>
      <c r="V6" s="70">
        <v>0.02</v>
      </c>
      <c r="W6" s="70">
        <v>0.1</v>
      </c>
      <c r="X6" s="1040"/>
      <c r="Y6" s="71">
        <f>N6</f>
        <v>0.61499999999999999</v>
      </c>
      <c r="Z6" s="72"/>
      <c r="AA6" s="66"/>
      <c r="AB6" s="66"/>
      <c r="AC6" s="1040"/>
      <c r="AD6" s="73"/>
      <c r="AE6" s="1041">
        <f ca="1">IF(AN6="",0,SUMIF(INDIRECT("'"&amp;AN6&amp;"'"&amp;"!E:E"),$AE$5,INDIRECT("'"&amp;AN6&amp;"'"&amp;"!F:F")))</f>
        <v>44</v>
      </c>
      <c r="AF6" s="1348"/>
      <c r="AG6" s="138">
        <f>IF(AF6="",0,AE6-AF6)</f>
        <v>0</v>
      </c>
      <c r="AH6" s="74">
        <v>1</v>
      </c>
      <c r="AI6" s="76">
        <v>12</v>
      </c>
      <c r="AJ6" s="77"/>
      <c r="AK6" s="78">
        <v>0.01</v>
      </c>
      <c r="AL6" s="79">
        <v>1E-3</v>
      </c>
      <c r="AM6" s="80">
        <v>0.01</v>
      </c>
      <c r="AN6" s="1715" t="s">
        <v>3387</v>
      </c>
      <c r="AO6" s="52">
        <f ca="1">SUMIF(INDIRECT("'"&amp;AN6&amp;"'"&amp;"!A:A"),"总价",INDIRECT("'"&amp;AN6&amp;"'"&amp;"!B:B"))</f>
        <v>45.346600000000002</v>
      </c>
      <c r="AP6" s="1716">
        <f>IF(C6="住宅",K6*L6,0)</f>
        <v>270240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7"/>
      <c r="AO14" s="2669"/>
      <c r="AP14" s="2669"/>
      <c r="AQ14" s="2669"/>
      <c r="AR14" s="266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7"/>
      <c r="AO15" s="2669"/>
      <c r="AP15" s="2669"/>
      <c r="AQ15" s="2669"/>
      <c r="AR15" s="266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0.91300000000000003</v>
      </c>
      <c r="H16" s="90">
        <f>ROUND(SUMPRODUCT(H6:H13,K6:K13)/SUMPRODUCT((H6:H13&gt;0)*(K6:K13)),3)</f>
        <v>0.05</v>
      </c>
      <c r="I16" s="91"/>
      <c r="J16" s="91"/>
      <c r="K16" s="92">
        <f>SUM(K6:K15)</f>
        <v>90.08</v>
      </c>
      <c r="L16" s="93">
        <f>ROUND(M16*10000/SUM(K6:K14),0)</f>
        <v>2997</v>
      </c>
      <c r="M16" s="93">
        <f>SUM(M6:M14)</f>
        <v>27</v>
      </c>
      <c r="N16" s="94">
        <f>ROUND(SUMPRODUCT(M6:M14,N6:N14)/M16,3)</f>
        <v>0.61499999999999999</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v>1999</v>
      </c>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2" t="s">
        <v>1211</v>
      </c>
      <c r="B19" s="103">
        <v>0</v>
      </c>
      <c r="C19" s="2795" t="s">
        <v>2303</v>
      </c>
      <c r="D19" s="2672"/>
      <c r="E19" s="2669"/>
      <c r="F19" s="2669"/>
      <c r="G19" s="2669"/>
      <c r="H19" s="2669"/>
      <c r="I19" s="2669"/>
      <c r="J19" s="2669"/>
      <c r="K19" s="2668"/>
      <c r="L19" s="2668"/>
      <c r="M19" s="2667"/>
      <c r="N19" s="3447">
        <f>1-(1-2%)*(2023-N18)/50</f>
        <v>0.52960000000000007</v>
      </c>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3" t="s">
        <v>1212</v>
      </c>
      <c r="B20" s="104">
        <v>2</v>
      </c>
      <c r="C20" s="2796" t="s">
        <v>2301</v>
      </c>
      <c r="D20" s="2672"/>
      <c r="E20" s="2669"/>
      <c r="F20" s="2669"/>
      <c r="G20" s="2669"/>
      <c r="H20" s="2669"/>
      <c r="I20" s="2669"/>
      <c r="J20" s="2669"/>
      <c r="K20" s="2668"/>
      <c r="L20" s="2668"/>
      <c r="M20" s="2667"/>
      <c r="N20" s="3448">
        <v>0.7</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4" t="s">
        <v>1213</v>
      </c>
      <c r="B21" s="104">
        <v>2</v>
      </c>
      <c r="C21" s="2669"/>
      <c r="D21" s="2672"/>
      <c r="E21" s="2669"/>
      <c r="F21" s="2669"/>
      <c r="G21" s="2669"/>
      <c r="H21" s="2669"/>
      <c r="I21" s="2669"/>
      <c r="J21" s="2669"/>
      <c r="K21" s="2668"/>
      <c r="L21" s="2668"/>
      <c r="M21" s="2667"/>
      <c r="N21" s="3447">
        <f>ROUND(AVERAGE(N19:N20),3)</f>
        <v>0.61499999999999999</v>
      </c>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3"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4"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5"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7"/>
      <c r="B25" s="1687"/>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3" t="s">
        <v>1217</v>
      </c>
      <c r="B26" s="1726"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8" customFormat="1" ht="27.75">
      <c r="A27" s="1727" t="s">
        <v>1220</v>
      </c>
      <c r="B27" s="107">
        <v>160</v>
      </c>
      <c r="C27" s="2797" t="s">
        <v>2305</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(元)'!C9</f>
        <v>14413</v>
      </c>
      <c r="C29" s="2798" t="s">
        <v>2292</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9" t="s">
        <v>2293</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0.03</v>
      </c>
      <c r="C34" s="2799" t="s">
        <v>2294</v>
      </c>
      <c r="D34" s="2680" t="s">
        <v>2302</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799" t="s">
        <v>2295</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9" t="s">
        <v>2296</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1" t="s">
        <v>1230</v>
      </c>
      <c r="B37" s="115">
        <v>0.01</v>
      </c>
      <c r="C37" s="2799" t="s">
        <v>2297</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9" t="s">
        <v>1231</v>
      </c>
      <c r="B38" s="113">
        <v>0.01</v>
      </c>
      <c r="C38" s="2799" t="s">
        <v>2297</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2"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3385</v>
      </c>
      <c r="B40" s="1078">
        <f ca="1">IF(A40="利息：取LPR",存贷款利率!G1,存贷款利率!G1+C40)</f>
        <v>4.7500000000000001E-2</v>
      </c>
      <c r="C40" s="2810">
        <v>1.0999999999999999E-2</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7" t="s">
        <v>1233</v>
      </c>
      <c r="B41" s="116">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3"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3" t="s">
        <v>1235</v>
      </c>
      <c r="B43" s="118">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4" t="s">
        <v>1236</v>
      </c>
      <c r="B44" s="119">
        <v>0.05</v>
      </c>
      <c r="C44" s="2799" t="s">
        <v>2306</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4" t="s">
        <v>1237</v>
      </c>
      <c r="B45" s="117">
        <v>0.03</v>
      </c>
      <c r="C45" s="2798" t="s">
        <v>2298</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4" t="s">
        <v>1238</v>
      </c>
      <c r="B46" s="117">
        <v>0.02</v>
      </c>
      <c r="C46" s="2798" t="s">
        <v>2299</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5" t="s">
        <v>1239</v>
      </c>
      <c r="B47" s="120"/>
      <c r="C47" s="2801" t="s">
        <v>2307</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6" t="s">
        <v>1240</v>
      </c>
      <c r="B48" s="121">
        <v>0.03</v>
      </c>
      <c r="C48" s="2798" t="s">
        <v>2298</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2" t="s">
        <v>1241</v>
      </c>
      <c r="B49" s="117">
        <v>5.0000000000000001E-4</v>
      </c>
      <c r="C49" s="2798" t="s">
        <v>2300</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7"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30"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7" t="s">
        <v>1244</v>
      </c>
      <c r="B52" s="124">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9" t="s">
        <v>1245</v>
      </c>
      <c r="B53" s="1738"/>
      <c r="C53" s="2657" t="s">
        <v>1246</v>
      </c>
      <c r="D53" s="2800" t="s">
        <v>2304</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9"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9"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9"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9"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9"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9"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9"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9"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9"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40"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686" customWidth="1"/>
    <col min="2" max="2" width="24.5" style="1572" customWidth="1"/>
    <col min="3" max="3" width="24.5" style="2506" customWidth="1"/>
    <col min="4" max="4" width="2.625" style="2506" customWidth="1"/>
    <col min="5" max="5" width="5.875" style="2506" customWidth="1"/>
    <col min="6" max="6" width="27" style="1572"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6"/>
  </cols>
  <sheetData>
    <row r="1" spans="1:29" s="2454" customFormat="1" ht="18.75" thickBot="1">
      <c r="A1" s="3556" t="s">
        <v>2284</v>
      </c>
      <c r="B1" s="3557"/>
      <c r="C1" s="3557"/>
      <c r="D1" s="3557"/>
      <c r="E1" s="3557"/>
      <c r="F1" s="3557"/>
      <c r="G1" s="3557"/>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2280</v>
      </c>
      <c r="D2" s="2458"/>
      <c r="E2" s="2455"/>
      <c r="F2" s="2459"/>
      <c r="G2" s="2457" t="s">
        <v>2281</v>
      </c>
      <c r="H2" s="799"/>
      <c r="I2" s="799"/>
      <c r="J2" s="799"/>
      <c r="K2" s="799"/>
      <c r="L2" s="799"/>
      <c r="M2" s="799"/>
      <c r="N2" s="799"/>
      <c r="O2" s="799"/>
      <c r="P2" s="799"/>
      <c r="Q2" s="799"/>
      <c r="R2" s="799"/>
    </row>
    <row r="3" spans="1:29" ht="36">
      <c r="A3" s="2438" t="s">
        <v>2282</v>
      </c>
      <c r="B3" s="2460" t="s">
        <v>2252</v>
      </c>
      <c r="C3" s="3466" t="s">
        <v>3424</v>
      </c>
      <c r="D3" s="2461"/>
      <c r="E3" s="2439" t="s">
        <v>2282</v>
      </c>
      <c r="F3" s="2462" t="s">
        <v>2253</v>
      </c>
      <c r="G3" s="2463" t="s">
        <v>2283</v>
      </c>
      <c r="H3" s="799"/>
      <c r="I3" s="799"/>
      <c r="J3" s="799"/>
      <c r="K3" s="799"/>
      <c r="L3" s="799"/>
      <c r="M3" s="799"/>
      <c r="N3" s="799"/>
      <c r="O3" s="799"/>
      <c r="P3" s="799"/>
      <c r="Q3" s="799"/>
      <c r="R3" s="799"/>
    </row>
    <row r="4" spans="1:29" ht="36.75">
      <c r="A4" s="2439"/>
      <c r="B4" s="323" t="s">
        <v>2254</v>
      </c>
      <c r="C4" s="2464" t="s">
        <v>2255</v>
      </c>
      <c r="D4" s="2461"/>
      <c r="E4" s="2465"/>
      <c r="F4" s="1373" t="s">
        <v>2256</v>
      </c>
      <c r="G4" s="2466" t="s">
        <v>2257</v>
      </c>
      <c r="H4" s="799"/>
      <c r="I4" s="799"/>
      <c r="J4" s="799"/>
      <c r="K4" s="799"/>
      <c r="L4" s="799"/>
      <c r="M4" s="799"/>
      <c r="N4" s="799"/>
      <c r="O4" s="799"/>
      <c r="P4" s="799"/>
      <c r="Q4" s="799"/>
      <c r="R4" s="799"/>
    </row>
    <row r="5" spans="1:29" ht="36.75">
      <c r="A5" s="2439"/>
      <c r="B5" s="323" t="s">
        <v>2258</v>
      </c>
      <c r="C5" s="2464" t="s">
        <v>2259</v>
      </c>
      <c r="D5" s="2461"/>
      <c r="E5" s="2465"/>
      <c r="F5" s="323" t="s">
        <v>2260</v>
      </c>
      <c r="G5" s="2466" t="s">
        <v>2261</v>
      </c>
      <c r="H5" s="799"/>
      <c r="I5" s="799"/>
      <c r="J5" s="799"/>
      <c r="K5" s="799"/>
      <c r="L5" s="799"/>
      <c r="M5" s="799"/>
      <c r="N5" s="799"/>
      <c r="O5" s="799"/>
      <c r="P5" s="799"/>
      <c r="Q5" s="799"/>
      <c r="R5" s="799"/>
    </row>
    <row r="6" spans="1:29" ht="48">
      <c r="A6" s="2439"/>
      <c r="B6" s="323" t="s">
        <v>2262</v>
      </c>
      <c r="C6" s="3465" t="s">
        <v>3423</v>
      </c>
      <c r="D6" s="2461"/>
      <c r="E6" s="2465"/>
      <c r="F6" s="323" t="s">
        <v>2263</v>
      </c>
      <c r="G6" s="2466" t="s">
        <v>2264</v>
      </c>
      <c r="H6" s="799"/>
      <c r="I6" s="799"/>
      <c r="J6" s="799"/>
      <c r="K6" s="799"/>
      <c r="L6" s="799"/>
      <c r="M6" s="799"/>
      <c r="N6" s="799"/>
      <c r="O6" s="799"/>
      <c r="P6" s="799"/>
      <c r="Q6" s="799"/>
      <c r="R6" s="799"/>
    </row>
    <row r="7" spans="1:29" ht="108.75" thickBot="1">
      <c r="A7" s="2439"/>
      <c r="B7" s="323" t="s">
        <v>2260</v>
      </c>
      <c r="C7" s="3465" t="s">
        <v>3422</v>
      </c>
      <c r="D7" s="2467"/>
      <c r="E7" s="2468"/>
      <c r="F7" s="2469" t="s">
        <v>2265</v>
      </c>
      <c r="G7" s="2470" t="s">
        <v>2266</v>
      </c>
      <c r="H7" s="799"/>
      <c r="I7" s="799"/>
      <c r="J7" s="799"/>
      <c r="K7" s="799"/>
      <c r="L7" s="799"/>
      <c r="M7" s="799"/>
      <c r="N7" s="799"/>
      <c r="O7" s="799"/>
      <c r="P7" s="799"/>
      <c r="Q7" s="799"/>
      <c r="R7" s="799"/>
    </row>
    <row r="8" spans="1:29">
      <c r="A8" s="2439"/>
      <c r="B8" s="323" t="s">
        <v>2263</v>
      </c>
      <c r="C8" s="2466" t="s">
        <v>2264</v>
      </c>
      <c r="D8" s="2467"/>
      <c r="E8" s="2467"/>
      <c r="F8" s="2471"/>
      <c r="G8" s="2471"/>
      <c r="H8" s="799"/>
      <c r="I8" s="799"/>
      <c r="J8" s="799"/>
      <c r="K8" s="799"/>
      <c r="L8" s="799"/>
      <c r="M8" s="799"/>
      <c r="N8" s="799"/>
      <c r="O8" s="799"/>
      <c r="P8" s="799"/>
      <c r="Q8" s="799"/>
      <c r="R8" s="799"/>
    </row>
    <row r="9" spans="1:29" ht="48">
      <c r="A9" s="2439"/>
      <c r="B9" s="323" t="s">
        <v>2267</v>
      </c>
      <c r="C9" s="3467" t="s">
        <v>3425</v>
      </c>
      <c r="D9" s="2461"/>
      <c r="E9" s="2467"/>
      <c r="F9" s="2471"/>
      <c r="G9" s="2471"/>
      <c r="H9" s="799"/>
      <c r="I9" s="799"/>
      <c r="J9" s="799"/>
      <c r="K9" s="799"/>
      <c r="L9" s="799"/>
      <c r="M9" s="799"/>
      <c r="N9" s="799"/>
      <c r="O9" s="799"/>
      <c r="P9" s="799"/>
      <c r="Q9" s="799"/>
      <c r="R9" s="799"/>
    </row>
    <row r="10" spans="1:29" s="2477" customFormat="1" ht="15" thickBot="1">
      <c r="A10" s="2440"/>
      <c r="B10" s="2472" t="s">
        <v>2268</v>
      </c>
      <c r="C10" s="2473"/>
      <c r="D10" s="2461"/>
      <c r="E10" s="2461"/>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4" customFormat="1" ht="18">
      <c r="A12" s="2478"/>
      <c r="B12" s="2467"/>
      <c r="C12" s="2461"/>
      <c r="D12" s="2480"/>
      <c r="E12" s="2461"/>
      <c r="F12" s="2467"/>
      <c r="G12" s="2479"/>
      <c r="H12" s="2481"/>
      <c r="I12" s="2482"/>
      <c r="J12" s="2481"/>
      <c r="K12" s="2481"/>
      <c r="L12" s="2483"/>
      <c r="M12" s="2481"/>
      <c r="N12" s="2484"/>
      <c r="O12" s="2485"/>
      <c r="P12" s="2484"/>
      <c r="Q12" s="2484"/>
      <c r="R12" s="2452"/>
      <c r="S12" s="2453"/>
      <c r="T12" s="2453"/>
      <c r="U12" s="2453"/>
      <c r="V12" s="2453"/>
      <c r="W12" s="2453"/>
      <c r="X12" s="2453"/>
      <c r="Y12" s="2453"/>
      <c r="Z12" s="2453"/>
      <c r="AA12" s="2453"/>
      <c r="AB12" s="2453"/>
      <c r="AC12" s="2453"/>
    </row>
    <row r="13" spans="1:29" ht="15.75" thickBot="1">
      <c r="A13" s="2486" t="s">
        <v>2285</v>
      </c>
      <c r="B13" s="2480"/>
      <c r="C13" s="2480"/>
      <c r="D13" s="2478"/>
      <c r="E13" s="2480"/>
      <c r="F13" s="2480"/>
      <c r="G13" s="2480"/>
    </row>
    <row r="14" spans="1:29" ht="15" thickBot="1">
      <c r="A14" s="2490"/>
      <c r="B14" s="2490"/>
      <c r="C14" s="2491" t="s">
        <v>2269</v>
      </c>
      <c r="D14" s="2461"/>
      <c r="E14" s="2492"/>
      <c r="F14" s="2492"/>
      <c r="G14" s="2457" t="s">
        <v>2270</v>
      </c>
    </row>
    <row r="15" spans="1:29" ht="38.25">
      <c r="A15" s="2441" t="s">
        <v>2271</v>
      </c>
      <c r="B15" s="2493" t="s">
        <v>2252</v>
      </c>
      <c r="C15" s="2494" t="str">
        <f>C3</f>
        <v>周边有西潞园小区、北潞园小区、拱辰星园等住宅项目，住宅社区成熟度一般。</v>
      </c>
      <c r="D15" s="2461"/>
      <c r="E15" s="2442" t="s">
        <v>2272</v>
      </c>
      <c r="F15" s="2493" t="s">
        <v>2273</v>
      </c>
      <c r="G15" s="2495" t="str">
        <f>G3</f>
        <v>估价对象位于XX开发区，园区建设成熟度XX，产业集聚程度XX</v>
      </c>
    </row>
    <row r="16" spans="1:29" ht="38.25">
      <c r="A16" s="2443"/>
      <c r="B16" s="2496" t="s">
        <v>2254</v>
      </c>
      <c r="C16" s="2497" t="str">
        <f>C4</f>
        <v>估价对象位于XX商圈，周边商业氛围成熟，人流量大，商业繁华度好</v>
      </c>
      <c r="D16" s="2461"/>
      <c r="E16" s="2444"/>
      <c r="F16" s="2498" t="s">
        <v>2256</v>
      </c>
      <c r="G16" s="2499" t="str">
        <f>G4</f>
        <v>估价对象周边道路状况、公共交通通达情况、停车便捷程度，综合评价交通便捷度较好</v>
      </c>
    </row>
    <row r="17" spans="1:18" ht="38.25">
      <c r="A17" s="2443"/>
      <c r="B17" s="2496" t="s">
        <v>2258</v>
      </c>
      <c r="C17" s="2497" t="str">
        <f>C5</f>
        <v>估价对象位于XX商圈，周边办公楼项目较多，入驻率高，办公集聚程度较好</v>
      </c>
      <c r="D17" s="2467"/>
      <c r="E17" s="2444"/>
      <c r="F17" s="2498" t="s">
        <v>2274</v>
      </c>
      <c r="G17" s="2500"/>
    </row>
    <row r="18" spans="1:18" ht="51">
      <c r="A18" s="2443"/>
      <c r="B18" s="2498" t="s">
        <v>2262</v>
      </c>
      <c r="C18" s="2499" t="str">
        <f>C6</f>
        <v>周边有F2、F13、F36、F41、616、833路等多条公交线路经过并设站，距离地铁房山线良乡南关约2公里，交通较便捷。</v>
      </c>
      <c r="D18" s="2467"/>
      <c r="E18" s="2444"/>
      <c r="F18" s="2498" t="s">
        <v>2265</v>
      </c>
      <c r="G18" s="2499" t="str">
        <f>G7</f>
        <v>该园区内是否有污染型企业，绿化情况，卫生条件，整体环境状况判断</v>
      </c>
    </row>
    <row r="19" spans="1:18" ht="25.5">
      <c r="A19" s="2443"/>
      <c r="B19" s="2498" t="s">
        <v>2275</v>
      </c>
      <c r="C19" s="2500"/>
      <c r="D19" s="2461"/>
      <c r="E19" s="2444"/>
      <c r="F19" s="323" t="s">
        <v>2260</v>
      </c>
      <c r="G19" s="2499" t="str">
        <f>G5</f>
        <v>估价对象所在区域公共配套设施齐备情况</v>
      </c>
    </row>
    <row r="20" spans="1:18" ht="51">
      <c r="A20" s="2443"/>
      <c r="B20" s="2498" t="s">
        <v>2276</v>
      </c>
      <c r="C20" s="2497" t="str">
        <f>C9</f>
        <v>估价对象周边有刺猬河、北潞园健身公园、房山区良乡体育中心等自然人文景观，总体自然人文环境较好。</v>
      </c>
      <c r="D20" s="2467"/>
      <c r="E20" s="2444"/>
      <c r="F20" s="323" t="s">
        <v>2263</v>
      </c>
      <c r="G20" s="2499" t="str">
        <f>G6</f>
        <v>估价对象所在区域基础设施水平</v>
      </c>
    </row>
    <row r="21" spans="1:18" ht="114.75">
      <c r="A21" s="2443"/>
      <c r="B21" s="323" t="s">
        <v>2260</v>
      </c>
      <c r="C21" s="2499" t="str">
        <f>C7</f>
        <v>周边有华冠购物中心、龙湖房山天街、永辉超市等商业项目；有中国建设银行、中国工商银行、北京农商银行等金融机构；有房山区妇幼保健院、北京仁德医院、良乡医院等医疗机构，有良乡第二中学、良乡第三小学、北师大良乡附中、良乡幼儿园等教育机构；公共配套设施齐备度较好</v>
      </c>
      <c r="D21" s="2461"/>
      <c r="E21" s="2444"/>
      <c r="F21" s="2498" t="s">
        <v>2277</v>
      </c>
      <c r="G21" s="2501"/>
    </row>
    <row r="22" spans="1:18" ht="13.5" customHeight="1">
      <c r="A22" s="2443"/>
      <c r="B22" s="323" t="s">
        <v>2263</v>
      </c>
      <c r="C22" s="2499" t="str">
        <f>C8</f>
        <v>估价对象所在区域基础设施水平</v>
      </c>
      <c r="D22" s="2461"/>
      <c r="E22" s="2444"/>
      <c r="F22" s="2498" t="s">
        <v>2268</v>
      </c>
      <c r="G22" s="2500"/>
    </row>
    <row r="23" spans="1:18" s="799" customFormat="1" ht="15" thickBot="1">
      <c r="A23" s="2443"/>
      <c r="B23" s="2498" t="s">
        <v>2277</v>
      </c>
      <c r="C23" s="2501"/>
      <c r="D23" s="1741"/>
      <c r="E23" s="2445"/>
      <c r="F23" s="2502" t="s">
        <v>2278</v>
      </c>
      <c r="G23" s="2503"/>
      <c r="H23" s="2487"/>
      <c r="I23" s="2488"/>
      <c r="J23" s="2487"/>
      <c r="K23" s="2487"/>
      <c r="L23" s="2488"/>
      <c r="M23" s="2487"/>
      <c r="N23" s="2487"/>
      <c r="O23" s="2488"/>
      <c r="P23" s="2487"/>
      <c r="Q23" s="2487"/>
      <c r="R23" s="2489"/>
    </row>
    <row r="24" spans="1:18" s="799" customFormat="1" ht="15" thickBot="1">
      <c r="A24" s="2446"/>
      <c r="B24" s="2502" t="s">
        <v>2279</v>
      </c>
      <c r="C24" s="2504">
        <f>C10</f>
        <v>0</v>
      </c>
      <c r="D24" s="1741"/>
      <c r="E24" s="2436"/>
      <c r="F24" s="2436"/>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90.08</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45189</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233.18109999999999</v>
      </c>
      <c r="C5" s="2508" t="e">
        <f ca="1">IF(B5=D14,结果表!H102,ROUND(B5*10000/$B$1,0))</f>
        <v>#N/A</v>
      </c>
      <c r="D5" s="2508" t="e">
        <f ca="1">ROUND(B5*10000/$B$2,0)</f>
        <v>#DIV/0!</v>
      </c>
      <c r="E5" s="2682"/>
      <c r="F5" s="2683"/>
      <c r="G5" s="2683"/>
      <c r="H5" s="2684"/>
      <c r="I5" s="2684"/>
      <c r="J5" s="2684"/>
      <c r="K5" s="2684"/>
    </row>
    <row r="6" spans="1:11" ht="16.5">
      <c r="A6" s="2508" t="s">
        <v>656</v>
      </c>
      <c r="B6" s="2508">
        <f>SUM(G14:G23)</f>
        <v>0</v>
      </c>
      <c r="C6" s="2508">
        <f ca="1">IF(B6=G14,结果表!H108,ROUND(B6*10000/$B$1,0))</f>
        <v>0</v>
      </c>
      <c r="D6" s="2508" t="e">
        <f>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3358</v>
      </c>
      <c r="D10" s="2508" t="s">
        <v>3359</v>
      </c>
      <c r="E10" s="3437"/>
      <c r="F10" s="3441" t="s">
        <v>3360</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'数据-汇总表'!F19</f>
        <v>90.08</v>
      </c>
      <c r="C14" s="2514"/>
      <c r="D14" s="2514">
        <f ca="1">ROUND(E14*B14/10000,4)</f>
        <v>233.18109999999999</v>
      </c>
      <c r="E14" s="2514">
        <f ca="1">结果表!G20</f>
        <v>25886</v>
      </c>
      <c r="F14" s="2514" t="e">
        <f ca="1">ROUND(D14*10000/C14,0)</f>
        <v>#DIV/0!</v>
      </c>
      <c r="G14" s="2514"/>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31"/>
      <c r="H15" s="1331"/>
      <c r="I15" s="2515"/>
      <c r="J15" s="2683"/>
      <c r="K15" s="2684"/>
    </row>
    <row r="16" spans="1:11" ht="16.5">
      <c r="A16" s="2513" t="s">
        <v>648</v>
      </c>
      <c r="B16" s="2515"/>
      <c r="C16" s="2515"/>
      <c r="D16" s="2515"/>
      <c r="E16" s="2514" t="e">
        <f t="shared" si="0"/>
        <v>#DIV/0!</v>
      </c>
      <c r="F16" s="2514" t="e">
        <f t="shared" si="1"/>
        <v>#DIV/0!</v>
      </c>
      <c r="G16" s="1331"/>
      <c r="H16" s="1331"/>
      <c r="I16" s="2515"/>
      <c r="J16" s="2684"/>
      <c r="K16" s="2684"/>
    </row>
    <row r="17" spans="1:11" ht="16.5">
      <c r="A17" s="2513" t="s">
        <v>647</v>
      </c>
      <c r="B17" s="2515"/>
      <c r="C17" s="2515"/>
      <c r="D17" s="2515"/>
      <c r="E17" s="2514" t="e">
        <f t="shared" si="0"/>
        <v>#DIV/0!</v>
      </c>
      <c r="F17" s="2514" t="e">
        <f t="shared" si="1"/>
        <v>#DIV/0!</v>
      </c>
      <c r="G17" s="1331"/>
      <c r="H17" s="1331"/>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B1" zoomScaleNormal="100" zoomScaleSheetLayoutView="100" zoomScalePageLayoutView="80" workbookViewId="0">
      <selection activeCell="D14" sqref="D14:D1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5" t="str">
        <f>项目基本情况!S2</f>
        <v>房地产</v>
      </c>
      <c r="B2" s="3626"/>
      <c r="C2" s="3626"/>
      <c r="D2" s="3626"/>
      <c r="E2" s="3626"/>
      <c r="F2" s="3626"/>
      <c r="G2" s="3626"/>
      <c r="H2" s="3626"/>
      <c r="I2" s="3627"/>
    </row>
    <row r="3" spans="1:12" ht="12.75">
      <c r="A3" s="3629" t="s">
        <v>1264</v>
      </c>
      <c r="B3" s="3630"/>
      <c r="C3" s="3630"/>
      <c r="D3" s="3630"/>
      <c r="E3" s="3630"/>
      <c r="F3" s="3630"/>
      <c r="G3" s="3630"/>
      <c r="H3" s="3630"/>
      <c r="I3" s="3630"/>
    </row>
    <row r="4" spans="1:12" ht="14.25">
      <c r="A4" s="1754" t="s">
        <v>1265</v>
      </c>
      <c r="B4" s="1755" t="s">
        <v>1266</v>
      </c>
      <c r="C4" s="1756" t="s">
        <v>3403</v>
      </c>
      <c r="D4" s="1756" t="s">
        <v>3404</v>
      </c>
      <c r="E4" s="3634" t="s">
        <v>1267</v>
      </c>
      <c r="F4" s="3635"/>
      <c r="G4" s="3635"/>
      <c r="H4" s="3635"/>
      <c r="I4" s="363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73" t="s">
        <v>1268</v>
      </c>
      <c r="B5" s="3628">
        <v>25</v>
      </c>
      <c r="C5" s="3631"/>
      <c r="D5" s="3619"/>
      <c r="E5" s="131" t="s">
        <v>1269</v>
      </c>
      <c r="F5" s="1757"/>
      <c r="G5" s="1757"/>
      <c r="H5" s="1757"/>
      <c r="I5" s="1373"/>
    </row>
    <row r="6" spans="1:12" ht="12.75">
      <c r="A6" s="3573"/>
      <c r="B6" s="3628"/>
      <c r="C6" s="3633"/>
      <c r="D6" s="3619"/>
      <c r="E6" s="131" t="s">
        <v>1270</v>
      </c>
      <c r="F6" s="1757"/>
      <c r="G6" s="1757"/>
      <c r="H6" s="1757"/>
      <c r="I6" s="1373"/>
    </row>
    <row r="7" spans="1:12" ht="12.75">
      <c r="A7" s="3573"/>
      <c r="B7" s="3628"/>
      <c r="C7" s="3632"/>
      <c r="D7" s="3619"/>
      <c r="E7" s="131" t="s">
        <v>1271</v>
      </c>
      <c r="F7" s="1757"/>
      <c r="G7" s="1757"/>
      <c r="H7" s="1757"/>
      <c r="I7" s="1373"/>
    </row>
    <row r="8" spans="1:12" ht="12.75">
      <c r="A8" s="3573" t="s">
        <v>1272</v>
      </c>
      <c r="B8" s="3628">
        <v>15</v>
      </c>
      <c r="C8" s="3631"/>
      <c r="D8" s="3619"/>
      <c r="E8" s="131" t="s">
        <v>1273</v>
      </c>
      <c r="F8" s="1757"/>
      <c r="G8" s="1757"/>
      <c r="H8" s="1757"/>
      <c r="I8" s="1373"/>
    </row>
    <row r="9" spans="1:12" ht="12.75">
      <c r="A9" s="3573"/>
      <c r="B9" s="3628"/>
      <c r="C9" s="3632"/>
      <c r="D9" s="3619"/>
      <c r="E9" s="131" t="s">
        <v>1274</v>
      </c>
      <c r="F9" s="1757"/>
      <c r="G9" s="1757"/>
      <c r="H9" s="1757"/>
      <c r="I9" s="1373"/>
    </row>
    <row r="10" spans="1:12" ht="12.75">
      <c r="A10" s="3573" t="s">
        <v>1275</v>
      </c>
      <c r="B10" s="3628">
        <v>15</v>
      </c>
      <c r="C10" s="3631"/>
      <c r="D10" s="3619"/>
      <c r="E10" s="131" t="s">
        <v>1276</v>
      </c>
      <c r="F10" s="1757"/>
      <c r="G10" s="1757"/>
      <c r="H10" s="1757"/>
      <c r="I10" s="1373"/>
    </row>
    <row r="11" spans="1:12" ht="12.75">
      <c r="A11" s="3573"/>
      <c r="B11" s="3628"/>
      <c r="C11" s="3632"/>
      <c r="D11" s="3619"/>
      <c r="E11" s="131" t="s">
        <v>1277</v>
      </c>
      <c r="F11" s="1757"/>
      <c r="G11" s="1757"/>
      <c r="H11" s="1757"/>
      <c r="I11" s="1373"/>
    </row>
    <row r="12" spans="1:12" ht="12.75">
      <c r="A12" s="3573" t="s">
        <v>1278</v>
      </c>
      <c r="B12" s="3628">
        <v>15</v>
      </c>
      <c r="C12" s="3631"/>
      <c r="D12" s="3619"/>
      <c r="E12" s="131" t="s">
        <v>1279</v>
      </c>
      <c r="F12" s="1757"/>
      <c r="G12" s="1757"/>
      <c r="H12" s="1757"/>
      <c r="I12" s="1373"/>
    </row>
    <row r="13" spans="1:12" ht="12.75">
      <c r="A13" s="3573"/>
      <c r="B13" s="3628"/>
      <c r="C13" s="3632"/>
      <c r="D13" s="3619"/>
      <c r="E13" s="131" t="s">
        <v>1280</v>
      </c>
      <c r="F13" s="1757"/>
      <c r="G13" s="1757"/>
      <c r="H13" s="1757"/>
      <c r="I13" s="1373"/>
    </row>
    <row r="14" spans="1:12" ht="12.75">
      <c r="A14" s="3573" t="s">
        <v>1281</v>
      </c>
      <c r="B14" s="3628">
        <v>30</v>
      </c>
      <c r="C14" s="3631">
        <v>7</v>
      </c>
      <c r="D14" s="3619">
        <f>10-C14</f>
        <v>3</v>
      </c>
      <c r="E14" s="131" t="s">
        <v>1282</v>
      </c>
      <c r="F14" s="1757"/>
      <c r="G14" s="1757"/>
      <c r="H14" s="1757"/>
      <c r="I14" s="1373"/>
    </row>
    <row r="15" spans="1:12" ht="12.75">
      <c r="A15" s="3573"/>
      <c r="B15" s="3628"/>
      <c r="C15" s="3633"/>
      <c r="D15" s="3619"/>
      <c r="E15" s="131" t="s">
        <v>1283</v>
      </c>
      <c r="F15" s="1757"/>
      <c r="G15" s="1757"/>
      <c r="H15" s="1757"/>
      <c r="I15" s="1373"/>
    </row>
    <row r="16" spans="1:12" ht="12.75">
      <c r="A16" s="3573"/>
      <c r="B16" s="3628"/>
      <c r="C16" s="3632"/>
      <c r="D16" s="3619"/>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50" t="s">
        <v>2131</v>
      </c>
      <c r="F18" s="3651"/>
      <c r="G18" s="3651"/>
      <c r="H18" s="3651"/>
      <c r="I18" s="3651"/>
      <c r="K18" s="302" t="s">
        <v>1289</v>
      </c>
      <c r="L18" s="302">
        <f>IF(C1="",'数据-汇总表'!E3,SUMIF(项目类型,C1,'数据-汇总表'!E17:E26)+SUMIF(项目类型,C1,'数据-汇总表'!I17:I26))</f>
        <v>90.08</v>
      </c>
      <c r="M18" s="302">
        <f>IF(C1="",'数据-汇总表'!E3,SUMIF(项目类型,C1,'数据-汇总表'!E17:E26))</f>
        <v>90.08</v>
      </c>
    </row>
    <row r="19" spans="1:36" ht="15">
      <c r="A19" s="1761" t="s">
        <v>1290</v>
      </c>
      <c r="B19" s="1762" t="s">
        <v>1291</v>
      </c>
      <c r="C19" s="134">
        <f ca="1">SUMIF(INDIRECT("'"&amp;C4&amp;"'"&amp;"!A:A"),结果表!B19,INDIRECT("'"&amp;C4&amp;"'"&amp;"!B:B"))</f>
        <v>250.08009999999999</v>
      </c>
      <c r="D19" s="135">
        <f ca="1">SUMIF(INDIRECT("'"&amp;D4&amp;"'"&amp;"!A:A"),结果表!B19,INDIRECT("'"&amp;D4&amp;"'"&amp;"!B:B"))</f>
        <v>193.75980000000001</v>
      </c>
      <c r="E19" s="1761" t="s">
        <v>1292</v>
      </c>
      <c r="F19" s="1762" t="s">
        <v>1291</v>
      </c>
      <c r="G19" s="136">
        <f ca="1">ROUND(C19*$C$18+D19*$D$18,0)</f>
        <v>233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27762</v>
      </c>
      <c r="D20" s="138">
        <f ca="1">SUMIF(INDIRECT("'"&amp;D4&amp;"'"&amp;"!A:A"),结果表!B20,INDIRECT("'"&amp;D4&amp;"'"&amp;"!B:B"))</f>
        <v>21510</v>
      </c>
      <c r="E20" s="1764"/>
      <c r="F20" s="1026" t="s">
        <v>1295</v>
      </c>
      <c r="G20" s="139">
        <f ca="1">ROUND(C20*$C$18+D20*$D$18,0)</f>
        <v>25886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0.29067071704244096</v>
      </c>
      <c r="E22" s="129"/>
      <c r="F22" s="129"/>
      <c r="G22" s="129"/>
      <c r="H22" s="129"/>
      <c r="I22" s="129"/>
    </row>
    <row r="23" spans="1:36" ht="13.5" thickBot="1">
      <c r="A23" s="1747"/>
      <c r="B23" s="1747"/>
      <c r="C23" s="1747"/>
      <c r="D23" s="1747"/>
      <c r="E23" s="129"/>
      <c r="F23" s="129"/>
      <c r="G23" s="129"/>
      <c r="H23" s="129"/>
      <c r="I23" s="129"/>
    </row>
    <row r="24" spans="1:36" ht="14.25">
      <c r="A24" s="3643" t="s">
        <v>1299</v>
      </c>
      <c r="B24" s="1762" t="s">
        <v>1291</v>
      </c>
      <c r="C24" s="136">
        <f>IF(B30=0,0,D30)</f>
        <v>0</v>
      </c>
      <c r="D24" s="1769"/>
      <c r="E24" s="129"/>
      <c r="F24" s="129"/>
      <c r="G24" s="129">
        <f ca="1">系统读取表!D14</f>
        <v>233.18109999999999</v>
      </c>
      <c r="H24" s="129"/>
      <c r="I24" s="129"/>
      <c r="K24" s="725">
        <f>2200/27700</f>
        <v>7.9422382671480149E-2</v>
      </c>
    </row>
    <row r="25" spans="1:36" ht="14.25">
      <c r="A25" s="364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0" t="s">
        <v>2132</v>
      </c>
      <c r="F30" s="129"/>
      <c r="G30" s="129"/>
      <c r="H30" s="129"/>
      <c r="I30" s="129"/>
    </row>
    <row r="31" spans="1:36" s="2306" customFormat="1" ht="26.45" customHeight="1" thickTop="1" thickBot="1">
      <c r="A31" s="2301"/>
      <c r="B31" s="2302"/>
      <c r="C31" s="2302"/>
      <c r="D31" s="2302"/>
      <c r="E31" s="2302"/>
      <c r="F31" s="2302"/>
      <c r="G31" s="2302"/>
      <c r="H31" s="2302"/>
      <c r="I31" s="2303" t="s">
        <v>2133</v>
      </c>
      <c r="J31" s="2685"/>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3" t="s">
        <v>1305</v>
      </c>
      <c r="B32" s="1774"/>
      <c r="C32" s="144">
        <f ca="1">IF(D32="总价",G19-C24,G20-C25)</f>
        <v>25886</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20" t="s">
        <v>1312</v>
      </c>
      <c r="B36" s="1787" t="s">
        <v>1313</v>
      </c>
      <c r="C36" s="145"/>
      <c r="D36" s="1788"/>
      <c r="E36" s="1789"/>
      <c r="F36" s="1790"/>
      <c r="G36" s="129"/>
      <c r="H36" s="129"/>
      <c r="I36" s="129"/>
    </row>
    <row r="37" spans="1:15" ht="15.75" thickBot="1">
      <c r="A37" s="3621"/>
      <c r="B37" s="1674" t="s">
        <v>1314</v>
      </c>
      <c r="C37" s="147"/>
      <c r="D37" s="1139"/>
      <c r="E37" s="1139"/>
      <c r="F37" s="1790"/>
      <c r="G37" s="129"/>
      <c r="H37" s="129"/>
      <c r="I37" s="129"/>
    </row>
    <row r="38" spans="1:15" ht="15.75" thickBot="1">
      <c r="A38" s="362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0" t="s">
        <v>1326</v>
      </c>
      <c r="B45" s="3641"/>
      <c r="C45" s="3642"/>
      <c r="D45" s="155" t="e">
        <f ca="1">ROUND(H101*F45,0)</f>
        <v>#REF!</v>
      </c>
      <c r="E45" s="156" t="s">
        <v>1327</v>
      </c>
      <c r="F45" s="157">
        <v>1</v>
      </c>
      <c r="G45" s="158" t="s">
        <v>1328</v>
      </c>
      <c r="H45" s="129"/>
      <c r="I45" s="129"/>
      <c r="J45" s="3560" t="s">
        <v>1329</v>
      </c>
      <c r="K45" s="3560"/>
      <c r="L45" s="3560"/>
      <c r="M45" s="3560"/>
      <c r="N45" s="3560"/>
      <c r="O45" s="3560"/>
    </row>
    <row r="46" spans="1:15" ht="14.25" customHeight="1">
      <c r="A46" s="3637" t="s">
        <v>1330</v>
      </c>
      <c r="B46" s="3638"/>
      <c r="C46" s="3638"/>
      <c r="D46" s="3638"/>
      <c r="E46" s="3638"/>
      <c r="F46" s="3638"/>
      <c r="G46" s="3639"/>
      <c r="H46" s="1806"/>
      <c r="I46" s="159"/>
      <c r="J46" s="2519">
        <v>1</v>
      </c>
      <c r="K46" s="3561" t="s">
        <v>1331</v>
      </c>
      <c r="L46" s="3561"/>
      <c r="M46" s="3562"/>
      <c r="N46" s="3562"/>
      <c r="O46" s="3562"/>
    </row>
    <row r="47" spans="1:15" ht="12" customHeight="1">
      <c r="A47" s="160" t="s">
        <v>1332</v>
      </c>
      <c r="B47" s="161"/>
      <c r="C47" s="162"/>
      <c r="D47" s="1087" t="s">
        <v>1333</v>
      </c>
      <c r="E47" s="302" t="s">
        <v>1334</v>
      </c>
      <c r="F47" s="163" t="s">
        <v>1335</v>
      </c>
      <c r="G47" s="2542" t="s">
        <v>1336</v>
      </c>
      <c r="H47" s="2543"/>
      <c r="I47" s="159"/>
      <c r="J47" s="2519">
        <v>2</v>
      </c>
      <c r="K47" s="3561" t="s">
        <v>1337</v>
      </c>
      <c r="L47" s="3561"/>
      <c r="M47" s="3563">
        <f>'数据-取费表'!B2</f>
        <v>45189</v>
      </c>
      <c r="N47" s="3563"/>
      <c r="O47" s="3563"/>
    </row>
    <row r="48" spans="1:15" ht="25.5">
      <c r="A48" s="3623" t="s">
        <v>1338</v>
      </c>
      <c r="B48" s="3624"/>
      <c r="C48" s="3624"/>
      <c r="D48" s="2321" t="b">
        <f>IF(H48="情况1",0,IF(H48="情况2",D52,IF(H48="情况3",D53,IF(H48="情况4",D54))))</f>
        <v>0</v>
      </c>
      <c r="E48" s="2331" t="str">
        <f>IF(H48="情况4","(销售额-原购置价)×税（费）率","销售额×税（费）率")</f>
        <v>销售额×税（费）率</v>
      </c>
      <c r="F48" s="2544">
        <f>IF(H48="情况1","免征",'数据-取费表'!B41)</f>
        <v>5.5000000000000007E-2</v>
      </c>
      <c r="G48" s="2545" t="s">
        <v>1339</v>
      </c>
      <c r="H48" s="2546"/>
      <c r="I48" s="1806"/>
      <c r="J48" s="2519">
        <v>3</v>
      </c>
      <c r="K48" s="3561" t="s">
        <v>1340</v>
      </c>
      <c r="L48" s="3561"/>
      <c r="M48" s="3564" t="e">
        <f ca="1">H101</f>
        <v>#REF!</v>
      </c>
      <c r="N48" s="3564"/>
      <c r="O48" s="3564"/>
    </row>
    <row r="49" spans="1:35" ht="25.5" customHeight="1">
      <c r="A49" s="2330" t="s">
        <v>1341</v>
      </c>
      <c r="B49" s="3609" t="s">
        <v>1342</v>
      </c>
      <c r="C49" s="3609"/>
      <c r="D49" s="1590">
        <v>0</v>
      </c>
      <c r="E49" s="324" t="s">
        <v>1343</v>
      </c>
      <c r="F49" s="2421" t="s">
        <v>28</v>
      </c>
      <c r="G49" s="3592"/>
      <c r="H49" s="2307" t="s">
        <v>2134</v>
      </c>
      <c r="I49" s="2308"/>
      <c r="J49" s="2519">
        <v>4</v>
      </c>
      <c r="K49" s="3561" t="str">
        <f>IF(项目基本情况!E8="房地产抵押价值","房地产抵押价值","抵押担保权已注销时的房地产抵押价值")</f>
        <v>抵押担保权已注销时的房地产抵押价值</v>
      </c>
      <c r="L49" s="3561"/>
      <c r="M49" s="3564" t="str">
        <f>IF(项目基本情况!E8="房地产抵押价值",H107,H109)</f>
        <v>——</v>
      </c>
      <c r="N49" s="3564"/>
      <c r="O49" s="3564"/>
    </row>
    <row r="50" spans="1:35" ht="25.5" customHeight="1">
      <c r="A50" s="2547"/>
      <c r="B50" s="3609" t="s">
        <v>1344</v>
      </c>
      <c r="C50" s="3609"/>
      <c r="D50" s="2548"/>
      <c r="E50" s="332"/>
      <c r="F50" s="2421"/>
      <c r="G50" s="3593"/>
      <c r="H50" s="2309" t="s">
        <v>2135</v>
      </c>
      <c r="I50" s="2308"/>
      <c r="J50" s="3560" t="s">
        <v>1345</v>
      </c>
      <c r="K50" s="3560"/>
      <c r="L50" s="3560"/>
      <c r="M50" s="3560"/>
      <c r="N50" s="3560"/>
      <c r="O50" s="3560"/>
    </row>
    <row r="51" spans="1:35" ht="20.45" customHeight="1">
      <c r="A51" s="2549"/>
      <c r="B51" s="3609" t="s">
        <v>1346</v>
      </c>
      <c r="C51" s="3609"/>
      <c r="D51" s="1087"/>
      <c r="E51" s="327"/>
      <c r="F51" s="2421"/>
      <c r="G51" s="3594"/>
      <c r="H51" s="2309" t="s">
        <v>2136</v>
      </c>
      <c r="I51" s="2308"/>
      <c r="J51" s="2520" t="s">
        <v>1347</v>
      </c>
      <c r="K51" s="3561" t="s">
        <v>1348</v>
      </c>
      <c r="L51" s="3561"/>
      <c r="M51" s="2520" t="s">
        <v>1349</v>
      </c>
      <c r="N51" s="2520" t="s">
        <v>1350</v>
      </c>
      <c r="O51" s="2520" t="s">
        <v>1351</v>
      </c>
    </row>
    <row r="52" spans="1:35" ht="24" customHeight="1">
      <c r="A52" s="2332" t="s">
        <v>1352</v>
      </c>
      <c r="B52" s="3609" t="s">
        <v>1353</v>
      </c>
      <c r="C52" s="3609"/>
      <c r="D52" s="1087" t="e">
        <f ca="1">ROUND(D45*'数据-取费表'!B41/(1+'数据-取费表'!C42),0)</f>
        <v>#REF!</v>
      </c>
      <c r="E52" s="2331" t="s">
        <v>1354</v>
      </c>
      <c r="F52" s="2550">
        <f>'数据-取费表'!B41</f>
        <v>5.5000000000000007E-2</v>
      </c>
      <c r="G52" s="2551"/>
      <c r="H52" s="2540"/>
      <c r="I52" s="1807"/>
      <c r="J52" s="2519">
        <v>1</v>
      </c>
      <c r="K52" s="3586" t="s">
        <v>1355</v>
      </c>
      <c r="L52" s="3586"/>
      <c r="M52" s="2521" t="b">
        <f>D48</f>
        <v>0</v>
      </c>
      <c r="N52" s="2519" t="str">
        <f>E48</f>
        <v>销售额×税（费）率</v>
      </c>
      <c r="O52" s="2522">
        <f>F48</f>
        <v>5.5000000000000007E-2</v>
      </c>
    </row>
    <row r="53" spans="1:35" ht="12" customHeight="1">
      <c r="A53" s="2332" t="s">
        <v>1356</v>
      </c>
      <c r="B53" s="3610" t="s">
        <v>2289</v>
      </c>
      <c r="C53" s="3611"/>
      <c r="D53" s="1087" t="e">
        <f ca="1">ROUND(D45*'数据-取费表'!B41/(1+'数据-取费表'!C42),0)</f>
        <v>#REF!</v>
      </c>
      <c r="E53" s="2331" t="s">
        <v>1354</v>
      </c>
      <c r="F53" s="2550">
        <f>'数据-取费表'!B41</f>
        <v>5.5000000000000007E-2</v>
      </c>
      <c r="G53" s="2551"/>
      <c r="H53" s="2540"/>
      <c r="I53" s="1807"/>
      <c r="J53" s="2519">
        <v>2</v>
      </c>
      <c r="K53" s="3586" t="s">
        <v>1357</v>
      </c>
      <c r="L53" s="3586"/>
      <c r="M53" s="2521" t="e">
        <f t="shared" ref="M53:O54" ca="1" si="0">D55</f>
        <v>#REF!</v>
      </c>
      <c r="N53" s="2519" t="str">
        <f t="shared" si="0"/>
        <v>销售额×税（费）率</v>
      </c>
      <c r="O53" s="2522" t="str">
        <f t="shared" si="0"/>
        <v>免征</v>
      </c>
    </row>
    <row r="54" spans="1:35" ht="12" customHeight="1">
      <c r="A54" s="2332" t="s">
        <v>1358</v>
      </c>
      <c r="B54" s="3610" t="s">
        <v>2290</v>
      </c>
      <c r="C54" s="3611"/>
      <c r="D54" s="1087" t="e">
        <f ca="1">C68</f>
        <v>#REF!</v>
      </c>
      <c r="E54" s="327" t="s">
        <v>1359</v>
      </c>
      <c r="F54" s="2550">
        <f>'数据-取费表'!B41</f>
        <v>5.5000000000000007E-2</v>
      </c>
      <c r="G54" s="2551"/>
      <c r="H54" s="2552"/>
      <c r="I54" s="1807"/>
      <c r="J54" s="2519">
        <v>3</v>
      </c>
      <c r="K54" s="3586" t="s">
        <v>1360</v>
      </c>
      <c r="L54" s="3586"/>
      <c r="M54" s="2521" t="e">
        <f t="shared" ca="1" si="0"/>
        <v>#REF!</v>
      </c>
      <c r="N54" s="2519" t="str">
        <f t="shared" si="0"/>
        <v>增值额×税（费）率</v>
      </c>
      <c r="O54" s="2523" t="str">
        <f t="shared" si="0"/>
        <v>免征</v>
      </c>
    </row>
    <row r="55" spans="1:35" ht="24" customHeight="1">
      <c r="A55" s="3646" t="s">
        <v>1361</v>
      </c>
      <c r="B55" s="3624"/>
      <c r="C55" s="3624"/>
      <c r="D55" s="2321" t="e">
        <f ca="1">IF(H55="个人住宅",0,ROUND(D45*I55,0))</f>
        <v>#REF!</v>
      </c>
      <c r="E55" s="2331" t="s">
        <v>1362</v>
      </c>
      <c r="F55" s="2550" t="str">
        <f>IF(H55="正常",I55,"免征")</f>
        <v>免征</v>
      </c>
      <c r="G55" s="2551"/>
      <c r="H55" s="2546"/>
      <c r="I55" s="165">
        <f>'数据-取费表'!B49</f>
        <v>5.0000000000000001E-4</v>
      </c>
      <c r="J55" s="2519">
        <f>IF(H59="非个人房产","",4)</f>
        <v>4</v>
      </c>
      <c r="K55" s="3586" t="str">
        <f>IF(H59="非个人房产","——","个人所得税")</f>
        <v>个人所得税</v>
      </c>
      <c r="L55" s="3586"/>
      <c r="M55" s="2524" t="e">
        <f ca="1">D59</f>
        <v>#REF!</v>
      </c>
      <c r="N55" s="2037" t="str">
        <f>E59</f>
        <v>差额计税</v>
      </c>
      <c r="O55" s="2525">
        <f>F59</f>
        <v>0.01</v>
      </c>
    </row>
    <row r="56" spans="1:35" ht="24.75">
      <c r="A56" s="3646" t="s">
        <v>1363</v>
      </c>
      <c r="B56" s="3624"/>
      <c r="C56" s="3624"/>
      <c r="D56" s="2321" t="e">
        <f ca="1">IF(H56="个人住宅",D57,D58)</f>
        <v>#REF!</v>
      </c>
      <c r="E56" s="2331" t="s">
        <v>1364</v>
      </c>
      <c r="F56" s="2550" t="str">
        <f>IF(H56="正常",F58,"免征")</f>
        <v>免征</v>
      </c>
      <c r="G56" s="2553" t="s">
        <v>1365</v>
      </c>
      <c r="H56" s="2554"/>
      <c r="I56" s="1808"/>
      <c r="J56" s="2519" t="str">
        <f>IF(项目基本情况!K6="上海银行",IF(J55="",4,J55+1),"")</f>
        <v/>
      </c>
      <c r="K56" s="3567" t="str">
        <f>IF(项目基本情况!K6="上海银行","其他处置费用","")</f>
        <v/>
      </c>
      <c r="L56" s="3568"/>
      <c r="M56" s="2521" t="str">
        <f>IF(项目基本情况!K6="上海银行",M69,"")</f>
        <v/>
      </c>
      <c r="N56" s="3567" t="str">
        <f>IF(项目基本情况!K6="上海银行","包含处置中涉及的律师、诉讼、拍卖、评估等费用","")</f>
        <v/>
      </c>
      <c r="O56" s="3570"/>
    </row>
    <row r="57" spans="1:35" ht="12.75">
      <c r="A57" s="2332" t="s">
        <v>1341</v>
      </c>
      <c r="B57" s="3610" t="s">
        <v>1366</v>
      </c>
      <c r="C57" s="3611"/>
      <c r="D57" s="1590">
        <v>0</v>
      </c>
      <c r="E57" s="324" t="s">
        <v>1343</v>
      </c>
      <c r="F57" s="302"/>
      <c r="G57" s="2551"/>
      <c r="H57" s="2555"/>
      <c r="I57" s="1808"/>
      <c r="J57" s="3586">
        <f>IF(AND(J55="",J56=""),4,IF(项目基本情况!K6="上海银行",结果表!J56+1,结果表!J55+1))</f>
        <v>5</v>
      </c>
      <c r="K57" s="3586" t="s">
        <v>1367</v>
      </c>
      <c r="L57" s="2526" t="s">
        <v>1368</v>
      </c>
      <c r="M57" s="2527"/>
      <c r="N57" s="2528">
        <f ca="1">SUMIF(M52:M56,"&lt;9e307")</f>
        <v>0</v>
      </c>
      <c r="O57" s="2529"/>
      <c r="P57" s="2686" t="e">
        <f ca="1">N57/M49</f>
        <v>#VALUE!</v>
      </c>
    </row>
    <row r="58" spans="1:35" ht="24.75">
      <c r="A58" s="2332" t="s">
        <v>1352</v>
      </c>
      <c r="B58" s="3610" t="s">
        <v>1369</v>
      </c>
      <c r="C58" s="3609"/>
      <c r="D58" s="2321" t="e">
        <f ca="1">IF(H58="转让取得",C81,C97)</f>
        <v>#REF!</v>
      </c>
      <c r="E58" s="2331" t="s">
        <v>1364</v>
      </c>
      <c r="F58" s="302" t="s">
        <v>28</v>
      </c>
      <c r="G58" s="2551"/>
      <c r="H58" s="2554"/>
      <c r="I58" s="1808"/>
      <c r="J58" s="3586"/>
      <c r="K58" s="3586"/>
      <c r="L58" s="2526" t="s">
        <v>1370</v>
      </c>
      <c r="M58" s="2530"/>
      <c r="N58" s="2531" t="str">
        <f ca="1">NUMBERSTRING(INT(N57*10000),2)&amp;"元整"</f>
        <v>零元整</v>
      </c>
      <c r="O58" s="2532"/>
    </row>
    <row r="59" spans="1:35" ht="24.75" thickBot="1">
      <c r="A59" s="3590" t="s">
        <v>1371</v>
      </c>
      <c r="B59" s="3591"/>
      <c r="C59" s="3591"/>
      <c r="D59" s="2556" t="e">
        <f ca="1">IF(H59="非个人房产","——",IF(H59="个人住宅（满五唯一有凭证）",0,IF(H59="个人其他（无凭证）",ROUND(D45*F59,0),ROUND(C67*F59,0))))</f>
        <v>#REF!</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1"/>
      <c r="I59" s="2310" t="s">
        <v>2137</v>
      </c>
      <c r="J59" s="3588">
        <f>J57+1</f>
        <v>6</v>
      </c>
      <c r="K59" s="3586" t="s">
        <v>1372</v>
      </c>
      <c r="L59" s="2519" t="s">
        <v>1368</v>
      </c>
      <c r="M59" s="2533"/>
      <c r="N59" s="2534" t="e">
        <f ca="1">M49-N57</f>
        <v>#VALUE!</v>
      </c>
      <c r="O59" s="2535"/>
    </row>
    <row r="60" spans="1:35" ht="12" customHeight="1">
      <c r="A60" s="1809"/>
      <c r="B60" s="1747"/>
      <c r="C60" s="1747"/>
      <c r="D60" s="1747"/>
      <c r="E60" s="1578"/>
      <c r="F60" s="1808"/>
      <c r="G60" s="1808"/>
      <c r="H60" s="1810"/>
      <c r="I60" s="129"/>
      <c r="J60" s="3589"/>
      <c r="K60" s="3586"/>
      <c r="L60" s="2526" t="s">
        <v>1370</v>
      </c>
      <c r="M60" s="2530"/>
      <c r="N60" s="2531" t="e">
        <f ca="1">NUMBERSTRING(INT(N59*10000),2)&amp;"元整"</f>
        <v>#VALUE!</v>
      </c>
      <c r="O60" s="2532"/>
    </row>
    <row r="61" spans="1:35" ht="13.5" thickBot="1">
      <c r="A61" s="3645" t="s">
        <v>1373</v>
      </c>
      <c r="B61" s="3645"/>
      <c r="C61" s="3645"/>
      <c r="D61" s="3645"/>
      <c r="E61" s="3645"/>
      <c r="F61" s="1808"/>
      <c r="G61" s="1808"/>
      <c r="H61" s="1810"/>
      <c r="I61" s="129"/>
      <c r="J61" s="2519">
        <f>J59+1</f>
        <v>7</v>
      </c>
      <c r="K61" s="3586" t="s">
        <v>1374</v>
      </c>
      <c r="L61" s="3586"/>
      <c r="M61" s="2536"/>
      <c r="N61" s="2537" t="e">
        <f ca="1">ROUND(N59*10000/'数据-汇总表'!E3,0)</f>
        <v>#VALUE!</v>
      </c>
      <c r="O61" s="2538"/>
    </row>
    <row r="62" spans="1:35" ht="12.75">
      <c r="A62" s="3605" t="s">
        <v>1375</v>
      </c>
      <c r="B62" s="3606"/>
      <c r="C62" s="2018"/>
      <c r="D62" s="2018" t="s">
        <v>1376</v>
      </c>
      <c r="E62" s="166" t="s">
        <v>1377</v>
      </c>
      <c r="F62" s="1808"/>
      <c r="G62" s="1808"/>
      <c r="H62" s="1810"/>
      <c r="I62" s="129"/>
    </row>
    <row r="63" spans="1:35" ht="12.75">
      <c r="A63" s="173" t="s">
        <v>330</v>
      </c>
      <c r="B63" s="167" t="s">
        <v>1378</v>
      </c>
      <c r="C63" s="2560" t="e">
        <f ca="1">ROUND((C64+C65)/(1+'数据-取费表'!C42),0)</f>
        <v>#REF!</v>
      </c>
      <c r="D63" s="167"/>
      <c r="E63" s="168"/>
      <c r="F63" s="1808"/>
      <c r="G63" s="1808"/>
      <c r="H63" s="1810"/>
      <c r="I63" s="129"/>
      <c r="J63" s="3569" t="s">
        <v>1379</v>
      </c>
      <c r="K63" s="1332" t="s">
        <v>1380</v>
      </c>
      <c r="L63" s="1332" t="e">
        <f>IF(M49&gt;10000,M49*0.5%,IF(AND(M49&gt;1000,M49&lt;=10000),M49*1%,IF(AND(M49&gt;100,M49&lt;=1000),M49*3%,IF(AND(M49&gt;10,M49&lt;=100),M49*5%,M49*8%))))</f>
        <v>#VALUE!</v>
      </c>
      <c r="M63" s="302" t="e">
        <f>ROUND(L63,1)</f>
        <v>#VALUE!</v>
      </c>
      <c r="N63" s="2539"/>
      <c r="Z63" s="1752"/>
      <c r="AI63" s="1753"/>
    </row>
    <row r="64" spans="1:35" ht="14.25" customHeight="1">
      <c r="A64" s="169" t="s">
        <v>325</v>
      </c>
      <c r="B64" s="170" t="s">
        <v>1381</v>
      </c>
      <c r="C64" s="2561" t="e">
        <f ca="1">D45</f>
        <v>#REF!</v>
      </c>
      <c r="D64" s="170" t="s">
        <v>26</v>
      </c>
      <c r="E64" s="172"/>
      <c r="F64" s="1808"/>
      <c r="G64" s="1808"/>
      <c r="H64" s="1810"/>
      <c r="I64" s="129"/>
      <c r="J64" s="356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0" t="s">
        <v>1383</v>
      </c>
      <c r="Z64" s="1752"/>
      <c r="AI64" s="1753"/>
    </row>
    <row r="65" spans="1:35" ht="14.25" customHeight="1">
      <c r="A65" s="169" t="s">
        <v>326</v>
      </c>
      <c r="B65" s="170" t="s">
        <v>1384</v>
      </c>
      <c r="C65" s="2562"/>
      <c r="D65" s="170"/>
      <c r="E65" s="172"/>
      <c r="F65" s="1808"/>
      <c r="G65" s="1808"/>
      <c r="H65" s="1810"/>
      <c r="I65" s="129"/>
      <c r="J65" s="3569"/>
      <c r="K65" s="1332" t="s">
        <v>1385</v>
      </c>
      <c r="L65" s="1332" t="e">
        <f>IF(M49&gt;1000,M49*0.1%,IF(AND(M49&gt;500,M49&lt;=1000),M49*0.5%,IF(AND(M49&gt;50,M49&lt;=500),M49*1%,IF(AND(M49&gt;1,M49&lt;=50),M49*1.5%))))</f>
        <v>#VALUE!</v>
      </c>
      <c r="M65" s="302" t="e">
        <f t="shared" si="1"/>
        <v>#VALUE!</v>
      </c>
      <c r="N65" s="2540" t="s">
        <v>1383</v>
      </c>
      <c r="Z65" s="1752"/>
      <c r="AI65" s="1753"/>
    </row>
    <row r="66" spans="1:35" ht="14.25" customHeight="1">
      <c r="A66" s="173" t="s">
        <v>327</v>
      </c>
      <c r="B66" s="174" t="s">
        <v>1386</v>
      </c>
      <c r="C66" s="2563"/>
      <c r="D66" s="174" t="s">
        <v>26</v>
      </c>
      <c r="E66" s="1338" t="s">
        <v>671</v>
      </c>
      <c r="F66" s="1808"/>
      <c r="G66" s="1808"/>
      <c r="H66" s="1810"/>
      <c r="I66" s="129"/>
      <c r="J66" s="3569"/>
      <c r="K66" s="1332" t="s">
        <v>1387</v>
      </c>
      <c r="L66" s="1332" t="e">
        <f>M49*0.5%</f>
        <v>#VALUE!</v>
      </c>
      <c r="M66" s="302" t="e">
        <f>IF(L66&gt;0.5,0.5,ROUND(L66,0))</f>
        <v>#VALUE!</v>
      </c>
      <c r="N66" s="2540" t="s">
        <v>1388</v>
      </c>
      <c r="Z66" s="1752"/>
      <c r="AI66" s="1753"/>
    </row>
    <row r="67" spans="1:35" ht="14.25" customHeight="1">
      <c r="A67" s="173" t="s">
        <v>328</v>
      </c>
      <c r="B67" s="174" t="s">
        <v>1389</v>
      </c>
      <c r="C67" s="2564" t="e">
        <f ca="1">C63-C66</f>
        <v>#REF!</v>
      </c>
      <c r="D67" s="170" t="s">
        <v>26</v>
      </c>
      <c r="E67" s="172"/>
      <c r="F67" s="1808"/>
      <c r="G67" s="1808"/>
      <c r="H67" s="1810"/>
      <c r="I67" s="129"/>
      <c r="J67" s="356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9"/>
      <c r="Z67" s="1752"/>
      <c r="AI67" s="1753"/>
    </row>
    <row r="68" spans="1:35" ht="14.25" customHeight="1" thickBot="1">
      <c r="A68" s="176" t="s">
        <v>329</v>
      </c>
      <c r="B68" s="177" t="s">
        <v>1391</v>
      </c>
      <c r="C68" s="2565" t="e">
        <f ca="1">IF(C67&lt;=0,0,ROUND(C67*D68,0))</f>
        <v>#REF!</v>
      </c>
      <c r="D68" s="2566">
        <f>'数据-取费表'!B41</f>
        <v>5.5000000000000007E-2</v>
      </c>
      <c r="E68" s="178"/>
      <c r="F68" s="1808"/>
      <c r="G68" s="1808"/>
      <c r="H68" s="1810"/>
      <c r="I68" s="129"/>
      <c r="J68" s="3569"/>
      <c r="K68" s="1332" t="s">
        <v>1392</v>
      </c>
      <c r="L68" s="1332" t="e">
        <f>IF(M49&gt;10000,M49*0.5%,IF(AND(M49&gt;5000,M49&lt;=10000),M49*1%,IF(AND(M49&gt;1000,M49&lt;=5000),M49*2%,IF(AND(M49&gt;200,M49&lt;=1000),M49*3%,M49*5%))))</f>
        <v>#VALUE!</v>
      </c>
      <c r="M68" s="302" t="e">
        <f>ROUND(L68,1)</f>
        <v>#VALUE!</v>
      </c>
      <c r="N68" s="2539"/>
      <c r="Z68" s="1752"/>
      <c r="AI68" s="1753"/>
    </row>
    <row r="69" spans="1:35" s="1772" customFormat="1" ht="16.5" customHeight="1">
      <c r="A69" s="1811"/>
      <c r="B69" s="1812"/>
      <c r="C69" s="1813"/>
      <c r="D69" s="1814"/>
      <c r="E69" s="1815"/>
      <c r="F69" s="1578"/>
      <c r="G69" s="1578"/>
      <c r="H69" s="1577"/>
      <c r="I69" s="1747"/>
      <c r="J69" s="3569"/>
      <c r="K69" s="1332" t="s">
        <v>1393</v>
      </c>
      <c r="L69" s="1332"/>
      <c r="M69" s="302" t="e">
        <f>ROUND(SUM(M63:M68),0)</f>
        <v>#VALUE!</v>
      </c>
      <c r="N69" s="2541"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3" t="s">
        <v>1394</v>
      </c>
      <c r="B70" s="3614"/>
      <c r="C70" s="3614"/>
      <c r="D70" s="3614"/>
      <c r="E70" s="3614"/>
      <c r="F70" s="3614"/>
      <c r="G70" s="3614"/>
      <c r="H70" s="3614"/>
      <c r="I70" s="1816"/>
      <c r="J70" s="2687"/>
      <c r="K70" s="2687"/>
      <c r="L70" s="2687"/>
      <c r="M70" s="268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5" t="s">
        <v>1375</v>
      </c>
      <c r="B71" s="3606"/>
      <c r="C71" s="2018"/>
      <c r="D71" s="2018" t="s">
        <v>1376</v>
      </c>
      <c r="E71" s="179" t="s">
        <v>1377</v>
      </c>
      <c r="F71" s="180"/>
      <c r="G71" s="180"/>
      <c r="H71" s="181"/>
      <c r="I71" s="1820"/>
      <c r="J71" s="2687"/>
      <c r="K71" s="2687"/>
      <c r="L71" s="2687"/>
      <c r="M71" s="268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4" t="e">
        <f ca="1">ROUND(D45/(1+'数据-取费表'!C42),0)</f>
        <v>#REF!</v>
      </c>
      <c r="D72" s="170" t="s">
        <v>26</v>
      </c>
      <c r="E72" s="2328"/>
      <c r="F72" s="2327"/>
      <c r="G72" s="2327"/>
      <c r="H72" s="182"/>
      <c r="I72" s="1820"/>
      <c r="J72" s="2687"/>
      <c r="K72" s="2687"/>
      <c r="L72" s="2687"/>
      <c r="M72" s="268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4" t="e">
        <f ca="1">C74+C78</f>
        <v>#REF!</v>
      </c>
      <c r="D73" s="170" t="s">
        <v>26</v>
      </c>
      <c r="E73" s="2328"/>
      <c r="F73" s="2327"/>
      <c r="G73" s="2327"/>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28"/>
      <c r="F74" s="2327"/>
      <c r="G74" s="2327"/>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7"/>
      <c r="D75" s="170" t="s">
        <v>26</v>
      </c>
      <c r="E75" s="184" t="s">
        <v>1399</v>
      </c>
      <c r="F75" s="2568"/>
      <c r="G75" s="184" t="s">
        <v>1400</v>
      </c>
      <c r="H75" s="2569"/>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0">
        <v>0.05</v>
      </c>
      <c r="E76" s="3610" t="s">
        <v>1402</v>
      </c>
      <c r="F76" s="3609"/>
      <c r="G76" s="3609"/>
      <c r="H76" s="361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1">
        <f>'数据-取费表'!B48+'数据-取费表'!B49</f>
        <v>3.0499999999999999E-2</v>
      </c>
      <c r="E77" s="2321" t="s">
        <v>1404</v>
      </c>
      <c r="F77" s="186"/>
      <c r="G77" s="1822"/>
      <c r="H77" s="2329"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2" t="e">
        <f ca="1">ROUND(D45*D78/(1+'数据-取费表'!C42),0)</f>
        <v>#REF!</v>
      </c>
      <c r="D78" s="2573">
        <f>'数据-取费表'!B43</f>
        <v>5.000000000000001E-3</v>
      </c>
      <c r="E78" s="3602" t="s">
        <v>1406</v>
      </c>
      <c r="F78" s="3603"/>
      <c r="G78" s="3603"/>
      <c r="H78" s="360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4" t="e">
        <f ca="1">C72-C73</f>
        <v>#REF!</v>
      </c>
      <c r="D79" s="170" t="s">
        <v>26</v>
      </c>
      <c r="E79" s="2328"/>
      <c r="F79" s="2327"/>
      <c r="G79" s="2327"/>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4" t="e">
        <f ca="1">IF(C79&lt;=0,0,C79/C73)</f>
        <v>#REF!</v>
      </c>
      <c r="D80" s="170" t="s">
        <v>26</v>
      </c>
      <c r="E80" s="2321" t="e">
        <f ca="1">IF(C80&gt;=200%,"增值额超过扣除项目金额200%",IF(C80&gt;=100%,"增值额超过扣除项目金额100%，未超过200%",IF(C80&gt;=50%,"增值额超过扣除项目金额50%，未超过100%",IF(C80&lt;50%,"增值额未超过扣除项目金额50%"))))</f>
        <v>#REF!</v>
      </c>
      <c r="F80" s="2327"/>
      <c r="G80" s="2327"/>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5" t="e">
        <f ca="1">ROUND(IF(C79&lt;=0,0,IF(C80&gt;=200%,C79*60%-C73*35%,IF(C80&gt;=100%,C79*50%-C73*15%,IF(C80&gt;=50%,C79*40%-C73*5%,IF(C80&lt;50%,C79*30%,0))))),0)</f>
        <v>#REF!</v>
      </c>
      <c r="D81" s="2576"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3" t="s">
        <v>1410</v>
      </c>
      <c r="B83" s="3614"/>
      <c r="C83" s="3614"/>
      <c r="D83" s="3614"/>
      <c r="E83" s="3614"/>
      <c r="F83" s="3614"/>
      <c r="G83" s="3614"/>
      <c r="H83" s="361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5" t="s">
        <v>1375</v>
      </c>
      <c r="B84" s="3606"/>
      <c r="C84" s="2018"/>
      <c r="D84" s="2018"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4" t="e">
        <f ca="1">ROUND(D45/(1+'数据-取费表'!C42),0)</f>
        <v>#REF!</v>
      </c>
      <c r="D85" s="170" t="s">
        <v>26</v>
      </c>
      <c r="E85" s="2328"/>
      <c r="F85" s="2327"/>
      <c r="G85" s="2327"/>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4" t="e">
        <f ca="1">IF(H88="仅含出让金",C87+C90+C91+C92+C93+C94,C87+C91+C92+C93+C94)</f>
        <v>#REF!</v>
      </c>
      <c r="D86" s="2577"/>
      <c r="E86" s="2328"/>
      <c r="F86" s="2327"/>
      <c r="G86" s="2327"/>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2">
        <f>C88+C89</f>
        <v>0</v>
      </c>
      <c r="D87" s="2573"/>
      <c r="E87" s="2323"/>
      <c r="F87" s="2324"/>
      <c r="G87" s="2324"/>
      <c r="H87" s="2325"/>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8"/>
      <c r="D88" s="2573"/>
      <c r="E88" s="193" t="s">
        <v>1413</v>
      </c>
      <c r="F88" s="2324"/>
      <c r="G88" s="194" t="s">
        <v>1414</v>
      </c>
      <c r="H88" s="1824"/>
      <c r="I88" s="1821"/>
      <c r="J88" s="2517"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2">
        <f>ROUND(C88*D89,0)</f>
        <v>0</v>
      </c>
      <c r="D89" s="2573">
        <f>'数据-取费表'!B48+'数据-取费表'!B49</f>
        <v>3.0499999999999999E-2</v>
      </c>
      <c r="E89" s="193" t="s">
        <v>1415</v>
      </c>
      <c r="F89" s="2324"/>
      <c r="G89" s="2324"/>
      <c r="H89" s="2325"/>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8"/>
      <c r="D90" s="2573"/>
      <c r="E90" s="193" t="str">
        <f>IF(H88="-","土地取得成本中已包含该笔费用"," ")</f>
        <v xml:space="preserve"> </v>
      </c>
      <c r="F90" s="2324"/>
      <c r="G90" s="3571" t="s">
        <v>2129</v>
      </c>
      <c r="H90" s="3572"/>
      <c r="I90" s="1821"/>
      <c r="J90" s="2517"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2">
        <f>IF(H91="——",成本法!C33,I91)</f>
        <v>0</v>
      </c>
      <c r="D91" s="2573"/>
      <c r="E91" s="3602" t="s">
        <v>1419</v>
      </c>
      <c r="F91" s="3603"/>
      <c r="G91" s="360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2">
        <f>ROUND((C87+C90+C91)*D92,0)</f>
        <v>0</v>
      </c>
      <c r="D92" s="2579"/>
      <c r="E92" s="3602" t="s">
        <v>1422</v>
      </c>
      <c r="F92" s="3603"/>
      <c r="G92" s="3603"/>
      <c r="H92" s="3604"/>
      <c r="I92" s="1821"/>
      <c r="J92" s="2518"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2" t="e">
        <f ca="1">ROUND(D45*D93/(1+'数据-取费表'!C42),0)</f>
        <v>#REF!</v>
      </c>
      <c r="D93" s="2573">
        <f>'数据-取费表'!B43</f>
        <v>5.000000000000001E-3</v>
      </c>
      <c r="E93" s="3602" t="s">
        <v>1406</v>
      </c>
      <c r="F93" s="3603"/>
      <c r="G93" s="3603"/>
      <c r="H93" s="360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8">
        <f>ROUND((C87+C90+C91)*D94,0)</f>
        <v>0</v>
      </c>
      <c r="D94" s="2573">
        <v>0.2</v>
      </c>
      <c r="E94" s="3647" t="s">
        <v>1426</v>
      </c>
      <c r="F94" s="3648"/>
      <c r="G94" s="3648"/>
      <c r="H94" s="364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4" t="e">
        <f ca="1">ROUND(C85-C86,0)</f>
        <v>#REF!</v>
      </c>
      <c r="D95" s="170" t="s">
        <v>26</v>
      </c>
      <c r="E95" s="2328"/>
      <c r="F95" s="2327"/>
      <c r="G95" s="2327"/>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4" t="e">
        <f ca="1">IF(C95&lt;=0,0,C95/C86)</f>
        <v>#REF!</v>
      </c>
      <c r="D96" s="170" t="s">
        <v>26</v>
      </c>
      <c r="E96" s="2321" t="e">
        <f ca="1">IF(C96&gt;=200%,"增值额超过扣除项目金额200%",IF(C96&gt;=100%,"增值额超过扣除项目金额100%，未超过200%",IF(C96&gt;=50%,"增值额超过扣除项目金额50%，未超过100%",IF(C96&lt;50%,"增值额未超过扣除项目金额50%"))))</f>
        <v>#REF!</v>
      </c>
      <c r="F96" s="2327"/>
      <c r="G96" s="2327"/>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5" t="e">
        <f ca="1">ROUND(IF(C95&lt;=0,0,IF(C96&gt;=200%,C95*60%-C86*35%,IF(C96&gt;=100%,C95*50%-C86*15%,IF(C96&gt;=50%,C95*40%-C86*5%,IF(C96&lt;50%,C95*30%,0))))),0)</f>
        <v>#REF!</v>
      </c>
      <c r="D97" s="2576"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2" t="s">
        <v>1428</v>
      </c>
      <c r="B100" s="3553"/>
      <c r="C100" s="3553"/>
      <c r="D100" s="3587"/>
      <c r="E100" s="3553" t="s">
        <v>1429</v>
      </c>
      <c r="F100" s="3553"/>
      <c r="G100" s="3553"/>
      <c r="H100" s="3587"/>
      <c r="I100" s="129"/>
    </row>
    <row r="101" spans="1:35" ht="18.75" customHeight="1">
      <c r="A101" s="3595" t="s">
        <v>1430</v>
      </c>
      <c r="B101" s="3596"/>
      <c r="C101" s="2581" t="str">
        <f>C4</f>
        <v>比较法-住宅</v>
      </c>
      <c r="D101" s="2582" t="str">
        <f>D4</f>
        <v>成本法 (元)</v>
      </c>
      <c r="E101" s="3565" t="s">
        <v>1431</v>
      </c>
      <c r="F101" s="3566"/>
      <c r="G101" s="1827" t="s">
        <v>1432</v>
      </c>
      <c r="H101" s="2591" t="e">
        <f ca="1">H118</f>
        <v>#REF!</v>
      </c>
      <c r="I101" s="129"/>
    </row>
    <row r="102" spans="1:35" ht="18.75" customHeight="1">
      <c r="A102" s="3597" t="s">
        <v>1433</v>
      </c>
      <c r="B102" s="2580" t="s">
        <v>1432</v>
      </c>
      <c r="C102" s="2581">
        <f ca="1">IF(D32="楼面单价",ROUND(C19,0),C19)</f>
        <v>250.08009999999999</v>
      </c>
      <c r="D102" s="2582">
        <f ca="1">IF(D32="楼面单价",ROUND(D19,0),D19)</f>
        <v>193.75980000000001</v>
      </c>
      <c r="E102" s="3565"/>
      <c r="F102" s="3566"/>
      <c r="G102" s="1827" t="s">
        <v>1434</v>
      </c>
      <c r="H102" s="2551" t="e">
        <f ca="1">I118</f>
        <v>#REF!</v>
      </c>
      <c r="I102" s="129"/>
    </row>
    <row r="103" spans="1:35" ht="42.75" customHeight="1">
      <c r="A103" s="3597"/>
      <c r="B103" s="2580" t="s">
        <v>1434</v>
      </c>
      <c r="C103" s="2583">
        <f ca="1">C20</f>
        <v>27762</v>
      </c>
      <c r="D103" s="2584">
        <f ca="1">D20</f>
        <v>21510</v>
      </c>
      <c r="E103" s="3558" t="s">
        <v>1435</v>
      </c>
      <c r="F103" s="3559"/>
      <c r="G103" s="1828" t="s">
        <v>1436</v>
      </c>
      <c r="H103" s="2591">
        <f>IF(D36="正常操作",H104+H105+H106,H105+H106)</f>
        <v>0</v>
      </c>
      <c r="I103" s="129"/>
    </row>
    <row r="104" spans="1:35" ht="18.75" customHeight="1">
      <c r="A104" s="3597" t="s">
        <v>1437</v>
      </c>
      <c r="B104" s="2585" t="s">
        <v>1432</v>
      </c>
      <c r="C104" s="2586" t="e">
        <f ca="1">H118</f>
        <v>#REF!</v>
      </c>
      <c r="D104" s="2587"/>
      <c r="E104" s="1674" t="s">
        <v>1438</v>
      </c>
      <c r="F104" s="1666"/>
      <c r="G104" s="1828" t="s">
        <v>1436</v>
      </c>
      <c r="H104" s="2592">
        <f>IF(D36="同一抵押权人同一抵押物续贷",C36&amp;"（续贷，未扣减，详见特别提示）",C36)</f>
        <v>0</v>
      </c>
      <c r="I104" s="129"/>
    </row>
    <row r="105" spans="1:35" ht="18.75" customHeight="1" thickBot="1">
      <c r="A105" s="3607"/>
      <c r="B105" s="2588" t="s">
        <v>1434</v>
      </c>
      <c r="C105" s="2589" t="e">
        <f ca="1">I118</f>
        <v>#REF!</v>
      </c>
      <c r="D105" s="2590"/>
      <c r="E105" s="1674" t="s">
        <v>1439</v>
      </c>
      <c r="F105" s="1666"/>
      <c r="G105" s="1828" t="s">
        <v>1436</v>
      </c>
      <c r="H105" s="2593">
        <f>C37</f>
        <v>0</v>
      </c>
      <c r="I105" s="129"/>
    </row>
    <row r="106" spans="1:35" ht="18.75" customHeight="1">
      <c r="A106" s="1747" t="s">
        <v>1440</v>
      </c>
      <c r="B106" s="1747"/>
      <c r="C106" s="1747"/>
      <c r="D106" s="1747"/>
      <c r="E106" s="1829" t="s">
        <v>1441</v>
      </c>
      <c r="F106" s="1666"/>
      <c r="G106" s="1828" t="s">
        <v>1436</v>
      </c>
      <c r="H106" s="2593">
        <f>C38</f>
        <v>0</v>
      </c>
      <c r="I106" s="129"/>
    </row>
    <row r="107" spans="1:35" ht="18.75" customHeight="1">
      <c r="A107" s="129"/>
      <c r="B107" s="129"/>
      <c r="C107" s="129"/>
      <c r="D107" s="129"/>
      <c r="E107" s="3598" t="str">
        <f>IF(项目基本情况!E8="已注销","——","3.房地产抵押价值")</f>
        <v>3.房地产抵押价值</v>
      </c>
      <c r="F107" s="3566"/>
      <c r="G107" s="1827" t="s">
        <v>1432</v>
      </c>
      <c r="H107" s="2591" t="e">
        <f ca="1">IF(E107="——","——",H101-H103)</f>
        <v>#REF!</v>
      </c>
      <c r="I107" s="129"/>
    </row>
    <row r="108" spans="1:35" ht="18.75" customHeight="1">
      <c r="A108" s="129"/>
      <c r="B108" s="129"/>
      <c r="C108" s="129"/>
      <c r="D108" s="129"/>
      <c r="E108" s="3598"/>
      <c r="F108" s="3566"/>
      <c r="G108" s="1827" t="s">
        <v>1434</v>
      </c>
      <c r="H108" s="2551">
        <f ca="1">IF(H107=H101,H102,ROUND(H107*10000/'数据-汇总表'!E3,0))</f>
        <v>0</v>
      </c>
      <c r="I108" s="129"/>
    </row>
    <row r="109" spans="1:35" ht="18.75" customHeight="1">
      <c r="A109" s="129"/>
      <c r="B109" s="129"/>
      <c r="C109" s="129"/>
      <c r="D109" s="129"/>
      <c r="E109" s="3598" t="str">
        <f>IF(项目基本情况!E8="已注销及未注销","4.抵押担保权已注销时的房地产抵押价值",IF(项目基本情况!E8="已注销","3.抵押担保权已注销时的房地产抵押价值","——"))</f>
        <v>——</v>
      </c>
      <c r="F109" s="3566"/>
      <c r="G109" s="1827" t="s">
        <v>1432</v>
      </c>
      <c r="H109" s="2594" t="str">
        <f>IF(E109="——","——",H101-H105-H106)</f>
        <v>——</v>
      </c>
      <c r="I109" s="129"/>
    </row>
    <row r="110" spans="1:35" ht="18.75" customHeight="1">
      <c r="A110" s="129"/>
      <c r="B110" s="129"/>
      <c r="C110" s="129"/>
      <c r="D110" s="129"/>
      <c r="E110" s="3598"/>
      <c r="F110" s="3566"/>
      <c r="G110" s="1827" t="s">
        <v>1434</v>
      </c>
      <c r="H110" s="2551" t="str">
        <f>IF(H109="——","——",ROUND(H109*10000/'数据-汇总表'!E3,0))</f>
        <v>——</v>
      </c>
      <c r="I110" s="129"/>
    </row>
    <row r="111" spans="1:35" ht="18.75" customHeight="1">
      <c r="A111" s="129"/>
      <c r="B111" s="129"/>
      <c r="C111" s="129"/>
      <c r="D111" s="129"/>
      <c r="E111" s="3599" t="str">
        <f>IF(项目基本情况!E9="抵押净值",IF(OR(项目基本情况!E8="已注销",项目基本情况!E8="房地产抵押价值"),"4.抵押净值","5.抵押净值"),"——")</f>
        <v>——</v>
      </c>
      <c r="F111" s="3585"/>
      <c r="G111" s="1827" t="s">
        <v>1432</v>
      </c>
      <c r="H111" s="2591" t="str">
        <f>IF(E111="——","——",N59)</f>
        <v>——</v>
      </c>
      <c r="I111" s="129"/>
    </row>
    <row r="112" spans="1:35" ht="18.75" customHeight="1" thickBot="1">
      <c r="A112" s="129"/>
      <c r="B112" s="129"/>
      <c r="C112" s="129"/>
      <c r="D112" s="129"/>
      <c r="E112" s="3600"/>
      <c r="F112" s="3601"/>
      <c r="G112" s="1830" t="s">
        <v>1434</v>
      </c>
      <c r="H112" s="2595" t="str">
        <f>IF(E111="——","——",N61)</f>
        <v>——</v>
      </c>
      <c r="I112" s="129"/>
    </row>
    <row r="113" spans="1:27" ht="18.75" customHeight="1">
      <c r="A113" s="129"/>
      <c r="B113" s="129"/>
      <c r="C113" s="129"/>
      <c r="D113" s="129"/>
      <c r="E113" s="3608" t="s">
        <v>1440</v>
      </c>
      <c r="F113" s="3608"/>
      <c r="G113" s="3608"/>
      <c r="H113" s="3608"/>
      <c r="I113" s="129"/>
    </row>
    <row r="114" spans="1:27" ht="3.75" customHeight="1">
      <c r="A114" s="1747"/>
      <c r="B114" s="1747"/>
      <c r="C114" s="1747"/>
      <c r="D114" s="1747"/>
      <c r="E114" s="1809"/>
      <c r="F114" s="1809"/>
      <c r="G114" s="1809"/>
      <c r="H114" s="1809"/>
      <c r="I114" s="1747"/>
    </row>
    <row r="115" spans="1:27" ht="18.75" customHeight="1">
      <c r="A115" s="3616" t="s">
        <v>1442</v>
      </c>
      <c r="B115" s="3617"/>
      <c r="C115" s="3617"/>
      <c r="D115" s="3617"/>
      <c r="E115" s="3617"/>
      <c r="F115" s="3617"/>
      <c r="G115" s="3617"/>
      <c r="H115" s="3617"/>
      <c r="I115" s="3618"/>
    </row>
    <row r="116" spans="1:27" ht="27" customHeight="1">
      <c r="A116" s="3573" t="s">
        <v>1443</v>
      </c>
      <c r="B116" s="3577" t="s">
        <v>1444</v>
      </c>
      <c r="C116" s="3577" t="s">
        <v>1445</v>
      </c>
      <c r="D116" s="3583" t="s">
        <v>1446</v>
      </c>
      <c r="E116" s="3584"/>
      <c r="F116" s="3615" t="s">
        <v>1447</v>
      </c>
      <c r="G116" s="3615"/>
      <c r="H116" s="3573" t="s">
        <v>1448</v>
      </c>
      <c r="I116" s="3573"/>
    </row>
    <row r="117" spans="1:27" ht="18.75" customHeight="1">
      <c r="A117" s="3573"/>
      <c r="B117" s="3578"/>
      <c r="C117" s="3578"/>
      <c r="D117" s="2326" t="s">
        <v>1449</v>
      </c>
      <c r="E117" s="2326" t="s">
        <v>1450</v>
      </c>
      <c r="F117" s="2326" t="s">
        <v>1449</v>
      </c>
      <c r="G117" s="2326" t="s">
        <v>1451</v>
      </c>
      <c r="H117" s="2326" t="s">
        <v>1449</v>
      </c>
      <c r="I117" s="2326" t="s">
        <v>1451</v>
      </c>
    </row>
    <row r="118" spans="1:27" ht="24.75" customHeight="1">
      <c r="A118" s="2596" t="str">
        <f>项目基本情况!S2</f>
        <v>房地产</v>
      </c>
      <c r="B118" s="2326">
        <f>M18</f>
        <v>90.08</v>
      </c>
      <c r="C118" s="2326">
        <f>M19</f>
        <v>0</v>
      </c>
      <c r="D118" s="2326" t="e">
        <f ca="1">ROUND(IF(D32="总价",C34,E118*B118/10000),0)</f>
        <v>#REF!</v>
      </c>
      <c r="E118" s="2326" t="e">
        <f ca="1">ROUND(IF(C33="自定义",IF(D32="楼面单价",C34,D118*10000/B118),I118-G118),0)</f>
        <v>#REF!</v>
      </c>
      <c r="F118" s="2326" t="e">
        <f ca="1">ROUND(IF(D32="总价",C35,G118*B118/10000),0)</f>
        <v>#REF!</v>
      </c>
      <c r="G118" s="2326" t="e">
        <f ca="1">ROUND(IF(D32="楼面单价",C35,F118*10000/B118),0)</f>
        <v>#REF!</v>
      </c>
      <c r="H118" s="2326" t="e">
        <f ca="1">ROUND(IF(D32="总价",C32,I118*B118/10000),0)</f>
        <v>#REF!</v>
      </c>
      <c r="I118" s="2326" t="e">
        <f ca="1">ROUND(IF(D32="楼面单价",C32,H118*10000/B118),0)</f>
        <v>#REF!</v>
      </c>
    </row>
    <row r="119" spans="1:27" ht="18.75" customHeight="1">
      <c r="A119" s="3573" t="s">
        <v>1452</v>
      </c>
      <c r="B119" s="3573"/>
      <c r="C119" s="3573"/>
      <c r="D119" s="3579" t="e">
        <f ca="1">NUMBERSTRING(INT(D118*10000),2)&amp;"元整"</f>
        <v>#REF!</v>
      </c>
      <c r="E119" s="3580"/>
      <c r="F119" s="3579" t="e">
        <f ca="1">NUMBERSTRING(INT(F118*10000),2)&amp;"元整"</f>
        <v>#REF!</v>
      </c>
      <c r="G119" s="3580"/>
      <c r="H119" s="3579" t="e">
        <f ca="1">NUMBERSTRING(INT(H118*10000),2)&amp;"元整"</f>
        <v>#REF!</v>
      </c>
      <c r="I119" s="3580"/>
    </row>
    <row r="120" spans="1:27" ht="18.75" customHeight="1">
      <c r="A120" s="3574" t="str">
        <f>IF(项目基本情况!B9="房地产市场价值","",MID(E103,3,LEN(E103)-2))</f>
        <v>估价师知悉的法定优先受偿款</v>
      </c>
      <c r="B120" s="3575"/>
      <c r="C120" s="3576"/>
      <c r="D120" s="3574">
        <f>H103</f>
        <v>0</v>
      </c>
      <c r="E120" s="3575"/>
      <c r="F120" s="3575"/>
      <c r="G120" s="3575"/>
      <c r="H120" s="3575"/>
      <c r="I120" s="357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9" t="s">
        <v>1452</v>
      </c>
      <c r="B121" s="3581"/>
      <c r="C121" s="3580"/>
      <c r="D121" s="3579" t="str">
        <f>IF(D120=0,"零元整",NUMBERSTRING(INT(D120*10000),2)&amp;"元整")</f>
        <v>零元整</v>
      </c>
      <c r="E121" s="3581"/>
      <c r="F121" s="3581"/>
      <c r="G121" s="3581"/>
      <c r="H121" s="3581"/>
      <c r="I121" s="3580"/>
      <c r="AA121" s="725"/>
    </row>
    <row r="122" spans="1:27" ht="18.75" customHeight="1">
      <c r="A122" s="3585" t="str">
        <f>IF(项目基本情况!B9="房地产市场价值","",MID(E107,3,LEN(E107)-2))</f>
        <v>房地产抵押价值</v>
      </c>
      <c r="B122" s="3585"/>
      <c r="C122" s="3585"/>
      <c r="D122" s="3574" t="e">
        <f ca="1">H107</f>
        <v>#REF!</v>
      </c>
      <c r="E122" s="3575"/>
      <c r="F122" s="3575"/>
      <c r="G122" s="3575"/>
      <c r="H122" s="3575"/>
      <c r="I122" s="3576"/>
      <c r="AA122" s="725"/>
    </row>
    <row r="123" spans="1:27" ht="18.75" customHeight="1">
      <c r="A123" s="3573" t="s">
        <v>1452</v>
      </c>
      <c r="B123" s="3573"/>
      <c r="C123" s="3573"/>
      <c r="D123" s="3579" t="e">
        <f ca="1">NUMBERSTRING(INT(D122*10000),2)&amp;"元整"</f>
        <v>#REF!</v>
      </c>
      <c r="E123" s="3581"/>
      <c r="F123" s="3581"/>
      <c r="G123" s="3581"/>
      <c r="H123" s="3581"/>
      <c r="I123" s="3580"/>
      <c r="AA123" s="725"/>
    </row>
    <row r="124" spans="1:27" ht="18.75" customHeight="1">
      <c r="A124" s="3585" t="str">
        <f>IF(项目基本情况!B9="房地产市场价值","",MID(E109,3,LEN(E109)-2))</f>
        <v/>
      </c>
      <c r="B124" s="3585"/>
      <c r="C124" s="3585"/>
      <c r="D124" s="3574" t="str">
        <f>H109</f>
        <v>——</v>
      </c>
      <c r="E124" s="3575"/>
      <c r="F124" s="3575"/>
      <c r="G124" s="3575"/>
      <c r="H124" s="3575"/>
      <c r="I124" s="3576"/>
      <c r="AA124" s="725"/>
    </row>
    <row r="125" spans="1:27" ht="18.75" customHeight="1">
      <c r="A125" s="3573" t="s">
        <v>1452</v>
      </c>
      <c r="B125" s="3573"/>
      <c r="C125" s="3573"/>
      <c r="D125" s="3579" t="e">
        <f>NUMBERSTRING(INT(D124*10000),2)&amp;"元整"</f>
        <v>#VALUE!</v>
      </c>
      <c r="E125" s="3581"/>
      <c r="F125" s="3581"/>
      <c r="G125" s="3581"/>
      <c r="H125" s="3581"/>
      <c r="I125" s="3580"/>
      <c r="AA125" s="725"/>
    </row>
    <row r="126" spans="1:27" ht="18.75" customHeight="1">
      <c r="A126" s="3585" t="str">
        <f>IF(项目基本情况!B9="房地产市场价值","",MID(E111,3,LEN(E111)-2))</f>
        <v/>
      </c>
      <c r="B126" s="3585"/>
      <c r="C126" s="3585"/>
      <c r="D126" s="3574" t="str">
        <f>H111</f>
        <v>——</v>
      </c>
      <c r="E126" s="3575"/>
      <c r="F126" s="3575"/>
      <c r="G126" s="3575"/>
      <c r="H126" s="3575"/>
      <c r="I126" s="3576"/>
      <c r="AA126" s="725"/>
    </row>
    <row r="127" spans="1:27" ht="18.75" customHeight="1">
      <c r="A127" s="3573" t="s">
        <v>1452</v>
      </c>
      <c r="B127" s="3573"/>
      <c r="C127" s="3573"/>
      <c r="D127" s="3579" t="e">
        <f>NUMBERSTRING(INT(D126*10000),2)&amp;"元整"</f>
        <v>#VALUE!</v>
      </c>
      <c r="E127" s="3581"/>
      <c r="F127" s="3581"/>
      <c r="G127" s="3581"/>
      <c r="H127" s="3581"/>
      <c r="I127" s="3580"/>
      <c r="AA127" s="725"/>
    </row>
    <row r="128" spans="1:27" ht="21.75" customHeight="1">
      <c r="A128" s="3582" t="s">
        <v>1453</v>
      </c>
      <c r="B128" s="3582"/>
      <c r="C128" s="3582"/>
      <c r="D128" s="3582"/>
      <c r="E128" s="3582"/>
      <c r="F128" s="3582"/>
      <c r="G128" s="3582"/>
      <c r="H128" s="3582"/>
      <c r="I128" s="358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20215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2244116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14413</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14413</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90.08</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90.08</v>
      </c>
      <c r="E19" s="211">
        <f>'数据-取费表'!B31</f>
        <v>200</v>
      </c>
      <c r="F19" s="231"/>
      <c r="G19" s="1856"/>
    </row>
    <row r="20" spans="1:7" s="214" customFormat="1" ht="13.5" customHeight="1">
      <c r="A20" s="255" t="s">
        <v>1493</v>
      </c>
      <c r="B20" s="210" t="s">
        <v>1494</v>
      </c>
      <c r="C20" s="232">
        <f ca="1">ROUND((C5+C19)*F20,0)</f>
        <v>144</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1409</v>
      </c>
      <c r="D22" s="235">
        <f ca="1">C26</f>
        <v>5.0000000000000001E-4</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1402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7</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2912</v>
      </c>
      <c r="D27" s="235">
        <f ca="1">C29</f>
        <v>2E-3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2912</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20190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27</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0.03</v>
      </c>
      <c r="G36" s="260" t="s">
        <v>1530</v>
      </c>
    </row>
    <row r="37" spans="1:7" s="258" customFormat="1" ht="13.5" customHeight="1">
      <c r="A37" s="780" t="s">
        <v>353</v>
      </c>
      <c r="B37" s="215" t="s">
        <v>1531</v>
      </c>
      <c r="C37" s="249">
        <f ca="1">ROUND(E37*D37*F34/10000,0)</f>
        <v>2</v>
      </c>
      <c r="D37" s="217">
        <f ca="1">D19</f>
        <v>90.08</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v>
      </c>
      <c r="D41" s="235">
        <f ca="1">C44</f>
        <v>5.0000000000000001E-4</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52" t="s">
        <v>1544</v>
      </c>
    </row>
    <row r="43" spans="1:7" ht="13.5" customHeight="1">
      <c r="A43" s="780" t="s">
        <v>347</v>
      </c>
      <c r="B43" s="215" t="s">
        <v>1545</v>
      </c>
      <c r="C43" s="238">
        <f ca="1">ROUND(IF('数据-取费表'!B22&lt;=1,C39*F22*'数据-取费表'!B21/2,C39*(POWER((1+F22),'数据-取费表'!B21/2)-1)),0)</f>
        <v>0</v>
      </c>
      <c r="D43" s="238"/>
      <c r="E43" s="238"/>
      <c r="F43" s="239"/>
      <c r="G43" s="3653"/>
    </row>
    <row r="44" spans="1:7" ht="13.5" customHeight="1">
      <c r="A44" s="780" t="s">
        <v>348</v>
      </c>
      <c r="B44" s="215" t="s">
        <v>1546</v>
      </c>
      <c r="C44" s="238">
        <f ca="1">ROUND(IF('数据-取费表'!B22&lt;=1,C40*F22*'数据-取费表'!B21/2,C40*(POWER((1+F22),'数据-取费表'!B21/2)-1)),4)</f>
        <v>5.0000000000000001E-4</v>
      </c>
      <c r="D44" s="238"/>
      <c r="E44" s="238"/>
      <c r="F44" s="239"/>
      <c r="G44" s="3654"/>
    </row>
    <row r="45" spans="1:7" s="214" customFormat="1" ht="13.5" customHeight="1">
      <c r="A45" s="255" t="s">
        <v>1547</v>
      </c>
      <c r="B45" s="244" t="s">
        <v>1513</v>
      </c>
      <c r="C45" s="245">
        <f ca="1">C46</f>
        <v>6</v>
      </c>
      <c r="D45" s="235">
        <f ca="1">C47</f>
        <v>2E-3</v>
      </c>
      <c r="E45" s="236" t="s">
        <v>1539</v>
      </c>
      <c r="F45" s="246">
        <f ca="1">F27</f>
        <v>0.2</v>
      </c>
      <c r="G45" s="247" t="s">
        <v>1548</v>
      </c>
    </row>
    <row r="46" spans="1:7" s="214" customFormat="1" ht="13.5" customHeight="1">
      <c r="A46" s="780" t="s">
        <v>346</v>
      </c>
      <c r="B46" s="248" t="s">
        <v>1549</v>
      </c>
      <c r="C46" s="249">
        <f ca="1">ROUND((C33+C39)*F27,0)</f>
        <v>6</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41</v>
      </c>
      <c r="D49" s="232"/>
      <c r="E49" s="232"/>
      <c r="F49" s="264"/>
      <c r="G49" s="234" t="s">
        <v>1554</v>
      </c>
    </row>
    <row r="50" spans="1:7" s="258" customFormat="1" ht="24">
      <c r="A50" s="255" t="s">
        <v>1555</v>
      </c>
      <c r="B50" s="210" t="s">
        <v>1556</v>
      </c>
      <c r="C50" s="232"/>
      <c r="D50" s="232"/>
      <c r="E50" s="232"/>
      <c r="F50" s="264">
        <f>IF('数据-取费表'!B24=0,'数据-取费表'!N16,1)</f>
        <v>0.61499999999999999</v>
      </c>
      <c r="G50" s="247" t="s">
        <v>1557</v>
      </c>
    </row>
    <row r="51" spans="1:7" ht="16.5" customHeight="1">
      <c r="A51" s="255" t="s">
        <v>1558</v>
      </c>
      <c r="B51" s="210" t="s">
        <v>1559</v>
      </c>
      <c r="C51" s="232">
        <f ca="1">ROUND(C49*F50,0)</f>
        <v>25</v>
      </c>
      <c r="D51" s="232"/>
      <c r="E51" s="232"/>
      <c r="F51" s="264"/>
      <c r="G51" s="234" t="s">
        <v>1560</v>
      </c>
    </row>
    <row r="52" spans="1:7" s="208" customFormat="1" ht="16.5" thickBot="1">
      <c r="A52" s="265" t="s">
        <v>1561</v>
      </c>
      <c r="B52" s="266"/>
      <c r="C52" s="267">
        <f ca="1">C31+C51</f>
        <v>20215</v>
      </c>
      <c r="D52" s="266"/>
      <c r="E52" s="266"/>
      <c r="F52" s="266"/>
      <c r="G52" s="268"/>
    </row>
    <row r="55" spans="1:7" ht="15">
      <c r="B55" s="270" t="s">
        <v>1562</v>
      </c>
      <c r="C55" s="271"/>
    </row>
    <row r="56" spans="1:7">
      <c r="B56" s="273" t="s">
        <v>802</v>
      </c>
      <c r="C56" s="275">
        <f ca="1">1-C57</f>
        <v>0.999</v>
      </c>
    </row>
    <row r="57" spans="1:7">
      <c r="B57" s="273" t="s">
        <v>803</v>
      </c>
      <c r="C57" s="274">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9" t="str">
        <f>项目基本情况!B1</f>
        <v>预评估</v>
      </c>
      <c r="C37" s="3469"/>
      <c r="D37" s="3469"/>
      <c r="E37" s="3469"/>
      <c r="F37" s="3469"/>
      <c r="G37" s="3469"/>
      <c r="H37" s="3469"/>
      <c r="I37" s="346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2"/>
      <c r="F1" s="2802"/>
      <c r="G1" s="2667"/>
      <c r="H1" s="2802"/>
      <c r="I1" s="2802"/>
      <c r="J1" s="2802"/>
      <c r="K1" s="2803">
        <f>MATCH(C1,'数据-取费表'!A6:A16,0)+5</f>
        <v>7</v>
      </c>
    </row>
    <row r="2" spans="1:33" ht="18" customHeight="1">
      <c r="A2" s="201" t="s">
        <v>1462</v>
      </c>
      <c r="B2" s="204">
        <f ca="1">C32</f>
        <v>16975</v>
      </c>
      <c r="C2" s="276" t="s">
        <v>1595</v>
      </c>
      <c r="D2" s="276"/>
      <c r="E2" s="2802"/>
      <c r="F2" s="2802"/>
      <c r="G2" s="2802"/>
      <c r="H2" s="2802"/>
      <c r="I2" s="2802"/>
      <c r="J2" s="2802"/>
      <c r="K2" s="2802"/>
    </row>
    <row r="3" spans="1:33" ht="18" customHeight="1" thickBot="1">
      <c r="A3" s="203" t="s">
        <v>1464</v>
      </c>
      <c r="B3" s="204">
        <f ca="1">ROUND(B2*10000/IF(C1="",'数据-汇总表'!E3,INDIRECT("'数据-取费表'!K"&amp;$K$1)),0)</f>
        <v>1884436</v>
      </c>
      <c r="C3" s="276" t="s">
        <v>1596</v>
      </c>
      <c r="D3" s="276"/>
      <c r="E3" s="2802"/>
      <c r="F3" s="2802"/>
      <c r="G3" s="2802"/>
      <c r="H3" s="2802"/>
      <c r="I3" s="2802"/>
      <c r="J3" s="2802"/>
      <c r="K3" s="2802"/>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0.03</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90.08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90.08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-14412</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90.08</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-14412</v>
      </c>
      <c r="D21" s="815"/>
      <c r="E21" s="281"/>
      <c r="F21" s="281"/>
      <c r="G21" s="131" t="s">
        <v>1629</v>
      </c>
      <c r="H21" s="807"/>
      <c r="I21" s="807"/>
      <c r="J21" s="807"/>
      <c r="K21" s="808"/>
    </row>
    <row r="22" spans="1:33" s="803" customFormat="1" ht="13.5" customHeight="1">
      <c r="A22" s="790" t="s">
        <v>1601</v>
      </c>
      <c r="B22" s="813" t="s">
        <v>1630</v>
      </c>
      <c r="C22" s="814">
        <f ca="1">ROUND(C21*F22,0)</f>
        <v>-144</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-2911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-2911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16975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2"/>
      <c r="H2" s="2691"/>
      <c r="I2" s="2691"/>
      <c r="J2" s="2691"/>
      <c r="K2" s="2692"/>
      <c r="L2" s="2691"/>
      <c r="M2" s="2691"/>
    </row>
    <row r="3" spans="1:37" ht="18" customHeight="1" thickBot="1">
      <c r="A3" s="1390" t="s">
        <v>806</v>
      </c>
      <c r="B3" s="1391">
        <f ca="1">IF(ISERROR(B2*10000/F43),0,ROUND(B2*10000/F43,0))</f>
        <v>0</v>
      </c>
      <c r="C3" s="1387" t="s">
        <v>807</v>
      </c>
      <c r="D3" s="1387"/>
      <c r="E3" s="1388"/>
      <c r="F3" s="1389"/>
      <c r="G3" s="270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7" t="s">
        <v>694</v>
      </c>
      <c r="C6" s="1074">
        <f ca="1">ROUND(F6*F8*F7*(1-F9)/10000,0)</f>
        <v>0</v>
      </c>
      <c r="D6" s="155" t="s">
        <v>2109</v>
      </c>
      <c r="E6" s="302" t="s">
        <v>696</v>
      </c>
      <c r="F6" s="303">
        <f ca="1">INDIRECT("'数据-取费表'!u"&amp;$G$1)</f>
        <v>0</v>
      </c>
      <c r="G6" s="1384"/>
      <c r="H6" s="1069" t="s">
        <v>398</v>
      </c>
      <c r="I6" s="3657" t="s">
        <v>694</v>
      </c>
      <c r="J6" s="301">
        <f ca="1">ROUND(M6*M8*M7*(1-M9)/10000,0)</f>
        <v>0</v>
      </c>
      <c r="K6" s="155" t="s">
        <v>2108</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0</v>
      </c>
      <c r="G7" s="1384"/>
      <c r="H7" s="304"/>
      <c r="I7" s="3658"/>
      <c r="J7" s="306"/>
      <c r="K7" s="307"/>
      <c r="L7" s="302" t="s">
        <v>697</v>
      </c>
      <c r="M7" s="303">
        <f ca="1">F7</f>
        <v>0</v>
      </c>
    </row>
    <row r="8" spans="1:37" ht="18" customHeight="1">
      <c r="A8" s="304"/>
      <c r="B8" s="3658"/>
      <c r="C8" s="306"/>
      <c r="D8" s="307"/>
      <c r="E8" s="302" t="s">
        <v>698</v>
      </c>
      <c r="F8" s="303">
        <f ca="1">INDIRECT("'数据-取费表'!ai"&amp;$G$1)</f>
        <v>0</v>
      </c>
      <c r="G8" s="1384"/>
      <c r="H8" s="304"/>
      <c r="I8" s="3658"/>
      <c r="J8" s="306"/>
      <c r="K8" s="307"/>
      <c r="L8" s="302" t="s">
        <v>698</v>
      </c>
      <c r="M8" s="303">
        <f ca="1">INDIRECT("'数据-取费表'!ai"&amp;$G$1)</f>
        <v>0</v>
      </c>
    </row>
    <row r="9" spans="1:37" ht="18" customHeight="1">
      <c r="A9" s="304"/>
      <c r="B9" s="3659"/>
      <c r="C9" s="306"/>
      <c r="D9" s="307"/>
      <c r="E9" s="302" t="s">
        <v>699</v>
      </c>
      <c r="F9" s="312">
        <f ca="1">INDIRECT("'数据-取费表'!w"&amp;$G$1)</f>
        <v>0</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3">
        <f ca="1">ROUND(IF(AND(项目基本情况!B11="自然人",项目基本情况!B10="北京市"),J6*M17/(1+'数据-取费表'!C42),J18+J19+J20),2)</f>
        <v>0</v>
      </c>
      <c r="K17" s="1345" t="s">
        <v>720</v>
      </c>
      <c r="L17" s="1344" t="s">
        <v>721</v>
      </c>
      <c r="M17" s="2312">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3"/>
      <c r="I30" s="1398"/>
      <c r="J30" s="1399"/>
      <c r="K30" s="2471"/>
      <c r="L30" s="2694"/>
      <c r="M30" s="2695"/>
    </row>
    <row r="31" spans="1:37" ht="18" customHeight="1">
      <c r="A31" s="982" t="s">
        <v>398</v>
      </c>
      <c r="B31" s="302" t="s">
        <v>719</v>
      </c>
      <c r="C31" s="2313">
        <f ca="1">ROUND(IF(AND(项目基本情况!B11="自然人",项目基本情况!B10="北京市"),C6*F31/(1+'数据-取费表'!C42),C32+C33+C34),2)</f>
        <v>0</v>
      </c>
      <c r="D31" s="1345" t="s">
        <v>720</v>
      </c>
      <c r="E31" s="1344" t="s">
        <v>770</v>
      </c>
      <c r="F31" s="2312">
        <f ca="1">IF(项目基本情况!B11="企业","——",IF(M47="住宅",IF(F6*F7*F8/12/(1+'数据-取费表'!F30)&gt;100000,4%,2.5%),IF(F6*F7*F8/12/(1+'数据-取费表'!F30)&gt;100000,12%,7%)))</f>
        <v>7.0000000000000007E-2</v>
      </c>
      <c r="G31" s="1384"/>
      <c r="H31" s="2804" t="s">
        <v>2308</v>
      </c>
      <c r="I31" s="1398"/>
      <c r="J31" s="1399"/>
      <c r="K31" s="2471"/>
      <c r="L31" s="2694"/>
      <c r="M31" s="2695"/>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3"/>
      <c r="I32" s="1398"/>
      <c r="J32" s="1399"/>
      <c r="K32" s="2471"/>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3338</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IF(项目基本情况!B11="自然人","——",ROUND(F34*F35/10000,2))</f>
        <v>0</v>
      </c>
      <c r="D34" s="324" t="s">
        <v>731</v>
      </c>
      <c r="E34" s="302" t="s">
        <v>732</v>
      </c>
      <c r="F34" s="325">
        <f>'数据-取费表'!B52</f>
        <v>0</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ROUND(C29*F36,2)</f>
        <v>0</v>
      </c>
      <c r="D36" s="1344" t="s">
        <v>771</v>
      </c>
      <c r="E36" s="302" t="s">
        <v>712</v>
      </c>
      <c r="F36" s="328">
        <f ca="1">INDIRECT("'数据-取费表'!Ak"&amp;$G$1)</f>
        <v>0</v>
      </c>
      <c r="G36" s="1384"/>
      <c r="H36" s="2696"/>
      <c r="I36" s="1398"/>
      <c r="J36" s="1399"/>
      <c r="K36" s="2540"/>
      <c r="L36" s="2696"/>
      <c r="M36" s="2696"/>
    </row>
    <row r="37" spans="1:18" ht="18" customHeight="1">
      <c r="A37" s="982" t="s">
        <v>437</v>
      </c>
      <c r="B37" s="302" t="s">
        <v>742</v>
      </c>
      <c r="C37" s="21">
        <f ca="1">ROUND(C13*F37,2)</f>
        <v>0</v>
      </c>
      <c r="D37" s="1344" t="s">
        <v>743</v>
      </c>
      <c r="E37" s="302" t="s">
        <v>744</v>
      </c>
      <c r="F37" s="330">
        <f ca="1">INDIRECT("'数据-取费表'!Al"&amp;$G$1)</f>
        <v>0</v>
      </c>
      <c r="G37" s="1384"/>
      <c r="H37" s="2696"/>
      <c r="I37" s="1398"/>
      <c r="J37" s="1399"/>
      <c r="K37" s="2540"/>
      <c r="L37" s="2696"/>
      <c r="M37" s="2696"/>
    </row>
    <row r="38" spans="1:18" ht="18" customHeight="1" thickBot="1">
      <c r="A38" s="1089" t="s">
        <v>684</v>
      </c>
      <c r="B38" s="1090" t="s">
        <v>728</v>
      </c>
      <c r="C38" s="1091">
        <f ca="1">ROUND(C5*F38,2)</f>
        <v>0</v>
      </c>
      <c r="D38" s="1092" t="s">
        <v>748</v>
      </c>
      <c r="E38" s="1090" t="s">
        <v>744</v>
      </c>
      <c r="F38" s="1086">
        <f ca="1">INDIRECT("'数据-取费表'!Am"&amp;$G$1)</f>
        <v>0</v>
      </c>
      <c r="G38" s="1384"/>
      <c r="H38" s="2696"/>
      <c r="I38" s="1398"/>
      <c r="J38" s="1399"/>
      <c r="K38" s="2700"/>
      <c r="L38" s="2696"/>
      <c r="M38" s="2696"/>
    </row>
    <row r="39" spans="1:18" ht="24.6" customHeight="1" thickTop="1">
      <c r="A39" s="1079" t="s">
        <v>394</v>
      </c>
      <c r="B39" s="1094" t="s">
        <v>772</v>
      </c>
      <c r="C39" s="310">
        <f ca="1">C5-C30</f>
        <v>0</v>
      </c>
      <c r="D39" s="1095" t="s">
        <v>773</v>
      </c>
      <c r="E39" s="1096"/>
      <c r="F39" s="1097"/>
      <c r="G39" s="1384"/>
      <c r="H39" s="2696"/>
      <c r="I39" s="1398"/>
      <c r="J39" s="1399"/>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0"/>
      <c r="L41" s="1191"/>
      <c r="M41" s="1191"/>
    </row>
    <row r="42" spans="1:18" ht="18" customHeight="1">
      <c r="A42" s="308"/>
      <c r="B42" s="309"/>
      <c r="C42" s="310"/>
      <c r="D42" s="327"/>
      <c r="E42" s="302" t="s">
        <v>766</v>
      </c>
      <c r="F42" s="312">
        <f ca="1">INDIRECT("'数据-取费表'!v"&amp;$G$1)</f>
        <v>0</v>
      </c>
      <c r="G42" s="1384"/>
      <c r="H42" s="1191"/>
      <c r="I42" s="1398"/>
      <c r="J42" s="1399"/>
      <c r="K42" s="2540"/>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5">
        <f ca="1">IF(M47="住宅",IF(D1="——",MAX(J51,L48),MAX(J51,L48-'数据-取费表'!B24)),IF(D1="——",MIN(J51,L48),MIN(J51,L48-'数据-取费表'!B24)))</f>
        <v>0</v>
      </c>
      <c r="K53" s="3655" t="s">
        <v>837</v>
      </c>
      <c r="L53" s="365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3">
        <f ca="1">ROUND(IF(AND(项目基本情况!B11="自然人",项目基本情况!B10="北京市"),C49*F59/(1+'数据-取费表'!C42),C60+C61+C62),0)</f>
        <v>0</v>
      </c>
      <c r="D59" s="963" t="s">
        <v>720</v>
      </c>
      <c r="E59" s="964" t="s">
        <v>721</v>
      </c>
      <c r="F59" s="2312">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0" zoomScaleNormal="70" zoomScaleSheetLayoutView="80" workbookViewId="0">
      <selection activeCell="F10" sqref="F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3382</v>
      </c>
      <c r="D1" s="1362" t="s">
        <v>43</v>
      </c>
      <c r="E1" s="1363" t="s">
        <v>678</v>
      </c>
      <c r="F1" s="1062">
        <f ca="1">J53</f>
        <v>44</v>
      </c>
      <c r="G1" s="1378">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1">
        <f ca="1">ROUND(D2/10000,4)</f>
        <v>45.346600000000002</v>
      </c>
      <c r="C2" s="1387" t="s">
        <v>879</v>
      </c>
      <c r="D2" s="1471">
        <f ca="1">C40+J29+L46</f>
        <v>453466</v>
      </c>
      <c r="E2" s="1388" t="s">
        <v>880</v>
      </c>
      <c r="F2" s="1389"/>
      <c r="G2" s="2702"/>
      <c r="H2" s="2691"/>
      <c r="I2" s="2691"/>
      <c r="J2" s="2691"/>
      <c r="K2" s="2692"/>
      <c r="L2" s="2691"/>
      <c r="M2" s="2691"/>
    </row>
    <row r="3" spans="1:37" ht="18" customHeight="1" thickBot="1">
      <c r="A3" s="1390" t="s">
        <v>881</v>
      </c>
      <c r="B3" s="1391">
        <f ca="1">IF(ISERROR(D2/F43),0,ROUND(D2/F43,0))</f>
        <v>5034</v>
      </c>
      <c r="C3" s="1387" t="s">
        <v>882</v>
      </c>
      <c r="D3" s="1387"/>
      <c r="E3" s="1388"/>
      <c r="F3" s="1389"/>
      <c r="G3" s="270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30278</v>
      </c>
      <c r="D5" s="1364" t="s">
        <v>889</v>
      </c>
      <c r="E5" s="1071"/>
      <c r="F5" s="1072"/>
      <c r="G5" s="1384"/>
      <c r="H5" s="299">
        <v>1</v>
      </c>
      <c r="I5" s="300" t="s">
        <v>888</v>
      </c>
      <c r="J5" s="1070">
        <f ca="1">J6+J10+J12</f>
        <v>0</v>
      </c>
      <c r="K5" s="1364" t="s">
        <v>889</v>
      </c>
      <c r="L5" s="1071"/>
      <c r="M5" s="1072"/>
    </row>
    <row r="6" spans="1:37" ht="18" customHeight="1">
      <c r="A6" s="1069" t="s">
        <v>398</v>
      </c>
      <c r="B6" s="3657" t="s">
        <v>694</v>
      </c>
      <c r="C6" s="1074">
        <f ca="1">ROUND(F6*F8*F7*(1-F9),0)</f>
        <v>30240</v>
      </c>
      <c r="D6" s="155" t="s">
        <v>2106</v>
      </c>
      <c r="E6" s="302" t="s">
        <v>696</v>
      </c>
      <c r="F6" s="303">
        <f ca="1">INDIRECT("'数据-取费表'!u"&amp;$G$1)</f>
        <v>2800</v>
      </c>
      <c r="G6" s="1384"/>
      <c r="H6" s="1069" t="s">
        <v>398</v>
      </c>
      <c r="I6" s="3657" t="s">
        <v>694</v>
      </c>
      <c r="J6" s="301">
        <f ca="1">ROUND(M6*M8*M7*(1-M9),0)</f>
        <v>0</v>
      </c>
      <c r="K6" s="1376" t="s">
        <v>2107</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1</v>
      </c>
      <c r="G7" s="1384"/>
      <c r="H7" s="304"/>
      <c r="I7" s="3658"/>
      <c r="J7" s="306"/>
      <c r="K7" s="307"/>
      <c r="L7" s="302" t="s">
        <v>697</v>
      </c>
      <c r="M7" s="303">
        <f ca="1">F7</f>
        <v>1</v>
      </c>
    </row>
    <row r="8" spans="1:37" ht="18" customHeight="1">
      <c r="A8" s="304"/>
      <c r="B8" s="3658"/>
      <c r="C8" s="306"/>
      <c r="D8" s="307"/>
      <c r="E8" s="302" t="s">
        <v>698</v>
      </c>
      <c r="F8" s="303">
        <f ca="1">INDIRECT("'数据-取费表'!ai"&amp;$G$1)</f>
        <v>12</v>
      </c>
      <c r="G8" s="1384"/>
      <c r="H8" s="304"/>
      <c r="I8" s="3658"/>
      <c r="J8" s="306"/>
      <c r="K8" s="307"/>
      <c r="L8" s="302" t="s">
        <v>698</v>
      </c>
      <c r="M8" s="303">
        <f ca="1">INDIRECT("'数据-取费表'!ai"&amp;$G$1)</f>
        <v>12</v>
      </c>
    </row>
    <row r="9" spans="1:37" ht="18" customHeight="1">
      <c r="A9" s="304"/>
      <c r="B9" s="3659"/>
      <c r="C9" s="306"/>
      <c r="D9" s="307"/>
      <c r="E9" s="302" t="s">
        <v>699</v>
      </c>
      <c r="F9" s="312">
        <f ca="1">INDIRECT("'数据-取费表'!w"&amp;$G$1)</f>
        <v>0.1</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38</v>
      </c>
      <c r="D10" s="1366" t="s">
        <v>2116</v>
      </c>
      <c r="E10" s="313" t="s">
        <v>701</v>
      </c>
      <c r="F10" s="1116" t="s">
        <v>3419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255663</v>
      </c>
      <c r="D13" s="1081" t="s">
        <v>705</v>
      </c>
      <c r="E13" s="1081" t="s">
        <v>706</v>
      </c>
      <c r="F13" s="1082">
        <f ca="1">INDIRECT("'数据-取费表'!y"&amp;$G$1)</f>
        <v>0.61499999999999999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270240</v>
      </c>
      <c r="D14" s="1345" t="s">
        <v>708</v>
      </c>
      <c r="E14" s="1342"/>
      <c r="F14" s="319"/>
      <c r="G14" s="1384"/>
      <c r="H14" s="982" t="s">
        <v>398</v>
      </c>
      <c r="I14" s="302" t="s">
        <v>709</v>
      </c>
      <c r="J14" s="21">
        <f ca="1">C29</f>
        <v>415713</v>
      </c>
      <c r="K14" s="12"/>
      <c r="L14" s="807"/>
      <c r="M14" s="808"/>
    </row>
    <row r="15" spans="1:37" s="1397" customFormat="1" ht="18" customHeight="1" thickBot="1">
      <c r="A15" s="982" t="s">
        <v>399</v>
      </c>
      <c r="B15" s="302" t="s">
        <v>710</v>
      </c>
      <c r="C15" s="21">
        <f ca="1">ROUND(C14*F15,0)</f>
        <v>8107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8107</v>
      </c>
      <c r="D16" s="302" t="s">
        <v>711</v>
      </c>
      <c r="E16" s="302" t="s">
        <v>712</v>
      </c>
      <c r="F16" s="322">
        <f ca="1">IF(INDIRECT("'数据-取费表'!c"&amp;$G$1)="住宅",'数据-取费表'!B34,0)</f>
        <v>0.03</v>
      </c>
      <c r="G16" s="1384"/>
      <c r="H16" s="1079" t="s">
        <v>393</v>
      </c>
      <c r="I16" s="1080" t="s">
        <v>714</v>
      </c>
      <c r="J16" s="310">
        <f ca="1">ROUND(J17+J22+J23+J24,0)</f>
        <v>4157</v>
      </c>
      <c r="K16" s="1087" t="s">
        <v>715</v>
      </c>
      <c r="L16" s="1088"/>
      <c r="M16" s="1072"/>
    </row>
    <row r="17" spans="1:37" s="1397" customFormat="1" ht="18" customHeight="1">
      <c r="A17" s="982" t="s">
        <v>681</v>
      </c>
      <c r="B17" s="302" t="s">
        <v>716</v>
      </c>
      <c r="C17" s="21">
        <f ca="1">ROUND(F17*(F43+INDIRECT("'数据-取费表'!S"&amp;$G$1)),0)</f>
        <v>18016</v>
      </c>
      <c r="D17" s="302" t="s">
        <v>717</v>
      </c>
      <c r="E17" s="302" t="s">
        <v>718</v>
      </c>
      <c r="F17" s="23">
        <f>'数据-取费表'!B35</f>
        <v>200</v>
      </c>
      <c r="G17" s="1396"/>
      <c r="H17" s="982" t="s">
        <v>398</v>
      </c>
      <c r="I17" s="302" t="s">
        <v>719</v>
      </c>
      <c r="J17" s="2313">
        <f ca="1">ROUND(IF(AND(项目基本情况!B11="自然人",项目基本情况!B10="北京市"),J6*M17/(1+'数据-取费表'!C42),J18+J19+J20),0)</f>
        <v>0</v>
      </c>
      <c r="K17" s="1345" t="s">
        <v>720</v>
      </c>
      <c r="L17" s="1344" t="s">
        <v>721</v>
      </c>
      <c r="M17" s="2312">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4054</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308524</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3085</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4157</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14802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-4157</v>
      </c>
      <c r="K25" s="1095" t="s">
        <v>753</v>
      </c>
      <c r="L25" s="1096"/>
      <c r="M25" s="1097"/>
    </row>
    <row r="26" spans="1:37" ht="18" customHeight="1">
      <c r="A26" s="982" t="s">
        <v>397</v>
      </c>
      <c r="B26" s="302" t="s">
        <v>754</v>
      </c>
      <c r="C26" s="21">
        <f ca="1">ROUND((C19+C20)*F26,0)</f>
        <v>62322</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415713</v>
      </c>
      <c r="D29" s="1092"/>
      <c r="E29" s="1090"/>
      <c r="F29" s="1093"/>
      <c r="G29" s="1396"/>
      <c r="H29" s="334" t="s">
        <v>396</v>
      </c>
      <c r="I29" s="335" t="s">
        <v>768</v>
      </c>
      <c r="J29" s="336">
        <f ca="1">ROUND(J26/(1+F40)^F41,0)</f>
        <v>0</v>
      </c>
      <c r="K29" s="337" t="s">
        <v>769</v>
      </c>
      <c r="L29" s="338"/>
      <c r="M29" s="339">
        <f ca="1">INDIRECT("'数据-取费表'!k"&amp;$G$1)</f>
        <v>90.08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9756</v>
      </c>
      <c r="D30" s="1087" t="s">
        <v>715</v>
      </c>
      <c r="E30" s="1088"/>
      <c r="F30" s="1072"/>
      <c r="G30" s="1384"/>
      <c r="H30" s="2693"/>
      <c r="I30" s="1398"/>
      <c r="J30" s="1399"/>
      <c r="K30" s="2471"/>
      <c r="L30" s="2694"/>
      <c r="M30" s="2695"/>
    </row>
    <row r="31" spans="1:37" ht="18" customHeight="1">
      <c r="A31" s="982" t="s">
        <v>398</v>
      </c>
      <c r="B31" s="302" t="s">
        <v>719</v>
      </c>
      <c r="C31" s="2313">
        <f ca="1">ROUND(IF(AND(项目基本情况!B11="自然人",项目基本情况!B10="北京市"),C6*F31/(1+'数据-取费表'!C42),C32+C33+C34),0)</f>
        <v>5040</v>
      </c>
      <c r="D31" s="1345" t="s">
        <v>720</v>
      </c>
      <c r="E31" s="1344" t="s">
        <v>770</v>
      </c>
      <c r="F31" s="2312">
        <f ca="1">IF(项目基本情况!B11="企业","——",IF(M47="住宅",IF(F6*F7*F8/12/(1+'数据-取费表'!F30)&gt;100000,4%,2.5%),IF(F6*F7*F8/12/(1+'数据-取费表'!F30)&gt;100000,12%,7%)))</f>
        <v>2.5000000000000001E-2</v>
      </c>
      <c r="G31" s="1384"/>
      <c r="H31" s="2804" t="s">
        <v>2308</v>
      </c>
      <c r="I31" s="1398"/>
      <c r="J31" s="1399"/>
      <c r="K31" s="2471"/>
      <c r="L31" s="2694"/>
      <c r="M31" s="2695"/>
    </row>
    <row r="32" spans="1:37" ht="18" customHeight="1">
      <c r="A32" s="982" t="s">
        <v>397</v>
      </c>
      <c r="B32" s="302" t="s">
        <v>723</v>
      </c>
      <c r="C32" s="21">
        <f ca="1">IF(项目基本情况!B11="自然人","——",ROUND(C6*F32/(1+'数据-取费表'!C42),0))</f>
        <v>1584</v>
      </c>
      <c r="D32" s="1344" t="s">
        <v>724</v>
      </c>
      <c r="E32" s="302" t="s">
        <v>712</v>
      </c>
      <c r="F32" s="331">
        <f>'数据-取费表'!B41</f>
        <v>5.5000000000000007E-2</v>
      </c>
      <c r="G32" s="1384"/>
      <c r="H32" s="2693"/>
      <c r="I32" s="1398"/>
      <c r="J32" s="1399"/>
      <c r="K32" s="2471"/>
      <c r="L32" s="2694"/>
      <c r="M32" s="2695"/>
    </row>
    <row r="33" spans="1:18" ht="18" customHeight="1">
      <c r="A33" s="982" t="s">
        <v>399</v>
      </c>
      <c r="B33" s="302" t="s">
        <v>727</v>
      </c>
      <c r="C33" s="21">
        <f ca="1">IF(项目基本情况!B11="自然人","——",IF(D33="按租金收入计税",ROUND(C6*F33/(1+'数据-取费表'!C42),0),IF(D33="按房产原值计税",ROUND(C29*F33*0.7,0),INDIRECT("'数据-取费表'!Aj"&amp;$G$1))))</f>
        <v>3456</v>
      </c>
      <c r="D33" s="1370" t="s">
        <v>3338</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IF(项目基本情况!B11="自然人","——",ROUND(F34*F35,0))</f>
        <v>0</v>
      </c>
      <c r="D34" s="324" t="s">
        <v>731</v>
      </c>
      <c r="E34" s="302" t="s">
        <v>732</v>
      </c>
      <c r="F34" s="325">
        <f>'数据-取费表'!B52</f>
        <v>0</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ROUND(C29*F36,0)</f>
        <v>4157</v>
      </c>
      <c r="D36" s="1344" t="s">
        <v>771</v>
      </c>
      <c r="E36" s="302" t="s">
        <v>712</v>
      </c>
      <c r="F36" s="328">
        <f ca="1">INDIRECT("'数据-取费表'!Ak"&amp;$G$1)</f>
        <v>0.01</v>
      </c>
      <c r="G36" s="1384"/>
      <c r="H36" s="2696"/>
      <c r="I36" s="1398"/>
      <c r="J36" s="1399"/>
      <c r="K36" s="2540"/>
      <c r="L36" s="2696"/>
      <c r="M36" s="2696"/>
    </row>
    <row r="37" spans="1:18" ht="18" customHeight="1">
      <c r="A37" s="982" t="s">
        <v>437</v>
      </c>
      <c r="B37" s="302" t="s">
        <v>742</v>
      </c>
      <c r="C37" s="21">
        <f ca="1">ROUND(C13*F37,0)</f>
        <v>256</v>
      </c>
      <c r="D37" s="1344" t="s">
        <v>743</v>
      </c>
      <c r="E37" s="302" t="s">
        <v>744</v>
      </c>
      <c r="F37" s="330">
        <f ca="1">INDIRECT("'数据-取费表'!Al"&amp;$G$1)</f>
        <v>1E-3</v>
      </c>
      <c r="G37" s="1384"/>
      <c r="H37" s="2696"/>
      <c r="I37" s="1398"/>
      <c r="J37" s="1399"/>
      <c r="K37" s="2540"/>
      <c r="L37" s="2696"/>
      <c r="M37" s="2696"/>
    </row>
    <row r="38" spans="1:18" ht="18" customHeight="1" thickBot="1">
      <c r="A38" s="1089" t="s">
        <v>684</v>
      </c>
      <c r="B38" s="1090" t="s">
        <v>728</v>
      </c>
      <c r="C38" s="1091">
        <f ca="1">ROUND(C5*F38,0)</f>
        <v>303</v>
      </c>
      <c r="D38" s="1092" t="s">
        <v>748</v>
      </c>
      <c r="E38" s="1090" t="s">
        <v>744</v>
      </c>
      <c r="F38" s="1086">
        <f ca="1">INDIRECT("'数据-取费表'!Am"&amp;$G$1)</f>
        <v>0.01</v>
      </c>
      <c r="G38" s="1384"/>
      <c r="H38" s="2696"/>
      <c r="I38" s="1398"/>
      <c r="J38" s="1399"/>
      <c r="K38" s="2700"/>
      <c r="L38" s="2696"/>
      <c r="M38" s="2696"/>
    </row>
    <row r="39" spans="1:18" ht="24.6" customHeight="1" thickTop="1">
      <c r="A39" s="1079" t="s">
        <v>394</v>
      </c>
      <c r="B39" s="1094" t="s">
        <v>772</v>
      </c>
      <c r="C39" s="310">
        <f ca="1">C5-C30</f>
        <v>20522</v>
      </c>
      <c r="D39" s="1095" t="s">
        <v>773</v>
      </c>
      <c r="E39" s="1096"/>
      <c r="F39" s="1097"/>
      <c r="G39" s="1384"/>
      <c r="H39" s="2696"/>
      <c r="I39" s="1398"/>
      <c r="J39" s="1399"/>
      <c r="K39" s="2700"/>
      <c r="L39" s="2696"/>
      <c r="M39" s="2696"/>
    </row>
    <row r="40" spans="1:18" ht="18" customHeight="1">
      <c r="A40" s="299" t="s">
        <v>395</v>
      </c>
      <c r="B40" s="300" t="s">
        <v>774</v>
      </c>
      <c r="C40" s="301">
        <f ca="1">ROUND(C39*(1-((1+F42)/(1+F40))^F41)/(F40-F42),0)</f>
        <v>453466</v>
      </c>
      <c r="D40" s="324" t="s">
        <v>758</v>
      </c>
      <c r="E40" s="302" t="s">
        <v>759</v>
      </c>
      <c r="F40" s="312">
        <f ca="1">INDIRECT("'数据-取费表'!I"&amp;$G$1)</f>
        <v>5.5E-2</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44</v>
      </c>
      <c r="G41" s="1384"/>
      <c r="H41" s="1191"/>
      <c r="I41" s="1398"/>
      <c r="J41" s="1399"/>
      <c r="K41" s="2540"/>
      <c r="L41" s="1191"/>
      <c r="M41" s="1191"/>
    </row>
    <row r="42" spans="1:18" ht="18" customHeight="1">
      <c r="A42" s="308"/>
      <c r="B42" s="309"/>
      <c r="C42" s="310"/>
      <c r="D42" s="327"/>
      <c r="E42" s="302" t="s">
        <v>766</v>
      </c>
      <c r="F42" s="312">
        <f ca="1">INDIRECT("'数据-取费表'!v"&amp;$G$1)</f>
        <v>0.02</v>
      </c>
      <c r="G42" s="1384"/>
      <c r="H42" s="1191"/>
      <c r="I42" s="1398"/>
      <c r="J42" s="1399"/>
      <c r="K42" s="2540"/>
      <c r="L42" s="1191"/>
      <c r="M42" s="1191"/>
    </row>
    <row r="43" spans="1:18" ht="18" customHeight="1" thickBot="1">
      <c r="A43" s="334" t="s">
        <v>396</v>
      </c>
      <c r="B43" s="335" t="s">
        <v>776</v>
      </c>
      <c r="C43" s="336">
        <f ca="1">ROUND(C40/F43,0)</f>
        <v>5034</v>
      </c>
      <c r="D43" s="337" t="s">
        <v>777</v>
      </c>
      <c r="E43" s="338" t="s">
        <v>778</v>
      </c>
      <c r="F43" s="339">
        <f ca="1">INDIRECT("'数据-取费表'!k"&amp;$G$1)</f>
        <v>90.08</v>
      </c>
      <c r="G43" s="1384"/>
      <c r="H43" s="1191"/>
      <c r="I43" s="1191"/>
      <c r="J43" s="1191">
        <f>2023-1999</f>
        <v>24</v>
      </c>
      <c r="K43" s="2540"/>
      <c r="L43" s="1191"/>
      <c r="M43" s="1191"/>
    </row>
    <row r="44" spans="1:18" s="1384" customFormat="1" ht="18" customHeight="1">
      <c r="A44" s="1400"/>
      <c r="B44" s="1400"/>
      <c r="C44" s="1401"/>
      <c r="D44" s="1400"/>
      <c r="E44" s="1400"/>
      <c r="F44" s="1400"/>
      <c r="J44" s="1384">
        <f>50-J43</f>
        <v>26</v>
      </c>
      <c r="K44" s="1402">
        <f>70-J44</f>
        <v>44</v>
      </c>
    </row>
    <row r="45" spans="1:18" s="1384" customFormat="1" ht="18" customHeight="1" thickBot="1">
      <c r="A45" s="3427" t="s">
        <v>3354</v>
      </c>
      <c r="B45" s="1400"/>
      <c r="C45" s="1472">
        <f ca="1">ROUND((C68-C40)/10000,4)</f>
        <v>-52.609400000000001</v>
      </c>
      <c r="D45" s="3428" t="s">
        <v>3355</v>
      </c>
      <c r="E45" s="1400"/>
      <c r="F45" s="1400"/>
      <c r="O45" s="1403" t="s">
        <v>808</v>
      </c>
      <c r="P45" s="1461"/>
      <c r="Q45" s="1461"/>
      <c r="R45" s="1461"/>
    </row>
    <row r="46" spans="1:18" s="1384" customFormat="1" ht="13.5" thickBot="1">
      <c r="A46" s="1404" t="s">
        <v>809</v>
      </c>
      <c r="C46" s="1405">
        <f ca="1">ROUND(C45,0)</f>
        <v>-53</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3388</v>
      </c>
      <c r="K47" s="1416" t="s">
        <v>816</v>
      </c>
      <c r="L47" s="1417">
        <f ca="1">INDIRECT("'数据-取费表'!d"&amp;$G$1)</f>
        <v>70</v>
      </c>
      <c r="M47" s="1380" t="str">
        <f>IF(ISNUMBER(FIND("住宅",C1)),"住宅","非住宅")</f>
        <v>住宅</v>
      </c>
      <c r="O47" s="1418" t="s">
        <v>403</v>
      </c>
      <c r="P47" s="1419" t="s">
        <v>817</v>
      </c>
      <c r="Q47" s="1420">
        <f ca="1">C40+J29</f>
        <v>453466</v>
      </c>
      <c r="R47" s="1420" t="s">
        <v>818</v>
      </c>
    </row>
    <row r="48" spans="1:18" s="1384" customFormat="1" ht="28.5" thickBot="1">
      <c r="A48" s="1110" t="s">
        <v>438</v>
      </c>
      <c r="B48" s="300" t="s">
        <v>692</v>
      </c>
      <c r="C48" s="1359">
        <f ca="1">C49+C53+C55</f>
        <v>0</v>
      </c>
      <c r="D48" s="1112"/>
      <c r="E48" s="1113"/>
      <c r="F48" s="962"/>
      <c r="G48" s="722"/>
      <c r="H48" s="723"/>
      <c r="I48" s="1421" t="s">
        <v>819</v>
      </c>
      <c r="J48" s="1422" t="s">
        <v>3389</v>
      </c>
      <c r="K48" s="1423" t="s">
        <v>820</v>
      </c>
      <c r="L48" s="1424">
        <f ca="1">INDIRECT("'数据-取费表'!f"&amp;$G$1)</f>
        <v>44</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1999</v>
      </c>
      <c r="K49" s="1423" t="s">
        <v>824</v>
      </c>
      <c r="L49" s="1427"/>
      <c r="O49" s="1428" t="s">
        <v>405</v>
      </c>
      <c r="P49" s="1419" t="s">
        <v>825</v>
      </c>
      <c r="Q49" s="1420">
        <f ca="1">C29</f>
        <v>415713</v>
      </c>
      <c r="R49" s="1420" t="s">
        <v>818</v>
      </c>
    </row>
    <row r="50" spans="1:18" s="1384" customFormat="1" ht="13.5" thickBot="1">
      <c r="A50" s="976"/>
      <c r="B50" s="979"/>
      <c r="C50" s="980"/>
      <c r="D50" s="953"/>
      <c r="E50" s="1056" t="s">
        <v>697</v>
      </c>
      <c r="F50" s="1057">
        <f ca="1">F7</f>
        <v>1</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26</v>
      </c>
      <c r="K51" s="1434" t="s">
        <v>830</v>
      </c>
      <c r="L51" s="1435">
        <f ca="1">ROUND(-PV(INDIRECT("'数据-取费表'!h"&amp;$G$1),J51,(C39-C13*C76),0),0)</f>
        <v>74495</v>
      </c>
      <c r="M51" s="1436"/>
      <c r="O51" s="1428" t="s">
        <v>407</v>
      </c>
      <c r="P51" s="1419" t="s">
        <v>831</v>
      </c>
      <c r="Q51" s="1431">
        <f>J52</f>
        <v>6.5000000000000002E-2</v>
      </c>
      <c r="R51" s="1420"/>
    </row>
    <row r="52" spans="1:18" s="1384" customFormat="1" ht="13.5" thickBot="1">
      <c r="A52" s="977"/>
      <c r="B52" s="979"/>
      <c r="C52" s="980"/>
      <c r="D52" s="953"/>
      <c r="E52" s="981" t="s">
        <v>699</v>
      </c>
      <c r="F52" s="1054"/>
      <c r="I52" s="1437" t="s">
        <v>832</v>
      </c>
      <c r="J52" s="1438">
        <f>'数据-取费表'!J6+0.5%</f>
        <v>6.5000000000000002E-2</v>
      </c>
      <c r="K52" s="1437" t="s">
        <v>833</v>
      </c>
      <c r="L52" s="1438"/>
      <c r="O52" s="1428" t="s">
        <v>408</v>
      </c>
      <c r="P52" s="1419" t="s">
        <v>834</v>
      </c>
      <c r="Q52" s="1420">
        <f ca="1">J53</f>
        <v>44</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5">
        <f ca="1">IF(M47="住宅",IF(D1="——",MAX(J51,L48),MAX(J51,L48-'数据-取费表'!B24)),IF(D1="——",MIN(J51,L48),MIN(J51,L48-'数据-取费表'!B24)))</f>
        <v>44</v>
      </c>
      <c r="K53" s="3655" t="s">
        <v>837</v>
      </c>
      <c r="L53" s="3656"/>
      <c r="O53" s="1418" t="s">
        <v>409</v>
      </c>
      <c r="P53" s="1419" t="s">
        <v>838</v>
      </c>
      <c r="Q53" s="1420">
        <f ca="1">Q47+Q48</f>
        <v>453466</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255663</v>
      </c>
      <c r="D56" s="1447"/>
      <c r="E56" s="1448"/>
      <c r="F56" s="1440"/>
      <c r="I56" s="1449" t="s">
        <v>842</v>
      </c>
      <c r="J56" s="1450" t="s">
        <v>3390</v>
      </c>
      <c r="K56" s="1421" t="s">
        <v>843</v>
      </c>
      <c r="L56" s="1424">
        <f ca="1">IF(L48&lt;J51,"——",L48-J51)</f>
        <v>18</v>
      </c>
      <c r="O56" s="1418" t="s">
        <v>403</v>
      </c>
      <c r="P56" s="1419" t="s">
        <v>817</v>
      </c>
      <c r="Q56" s="1420">
        <f ca="1">C40+J29</f>
        <v>453466</v>
      </c>
      <c r="R56" s="1420" t="s">
        <v>818</v>
      </c>
    </row>
    <row r="57" spans="1:18" s="1384" customFormat="1" ht="24.75" thickBot="1">
      <c r="A57" s="1451"/>
      <c r="B57" s="950" t="s">
        <v>767</v>
      </c>
      <c r="C57" s="238">
        <f ca="1">C29</f>
        <v>415713</v>
      </c>
      <c r="D57" s="1452"/>
      <c r="E57" s="1453"/>
      <c r="F57" s="1454"/>
      <c r="I57" s="1455" t="s">
        <v>844</v>
      </c>
      <c r="J57" s="1456" t="str">
        <f ca="1">IF(OR(M47="住宅",J51&lt;L48,J56="是"),"——",J51-L48)</f>
        <v>——</v>
      </c>
      <c r="K57" s="1421" t="s">
        <v>892</v>
      </c>
      <c r="L57" s="1424">
        <f ca="1">IF(L48&lt;J51,"——",IF(L55="比较法",L49,IF(L55="基准地价",L50,L51)))</f>
        <v>74495</v>
      </c>
      <c r="O57" s="1418" t="s">
        <v>404</v>
      </c>
      <c r="P57" s="1419" t="s">
        <v>893</v>
      </c>
      <c r="Q57" s="1420">
        <f ca="1">L60</f>
        <v>0</v>
      </c>
      <c r="R57" s="1420" t="s">
        <v>894</v>
      </c>
    </row>
    <row r="58" spans="1:18" s="1384" customFormat="1" ht="24.75" thickBot="1">
      <c r="A58" s="315" t="s">
        <v>393</v>
      </c>
      <c r="B58" s="958" t="s">
        <v>714</v>
      </c>
      <c r="C58" s="316">
        <f ca="1">ROUND(C59+C64+C65+C66,0)</f>
        <v>4413</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3">
        <f ca="1">ROUND(IF(AND(项目基本情况!B11="自然人",项目基本情况!B10="北京市"),C49*F59/(1+'数据-取费表'!C42),C60+C61+C62),0)</f>
        <v>0</v>
      </c>
      <c r="D59" s="963" t="s">
        <v>720</v>
      </c>
      <c r="E59" s="964" t="s">
        <v>721</v>
      </c>
      <c r="F59" s="2312">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453466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4157</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256</v>
      </c>
      <c r="D65" s="964" t="s">
        <v>743</v>
      </c>
      <c r="E65" s="950" t="s">
        <v>744</v>
      </c>
      <c r="F65" s="330">
        <f t="shared" ca="1" si="0"/>
        <v>1E-3</v>
      </c>
      <c r="I65" s="1462" t="s">
        <v>867</v>
      </c>
      <c r="J65" s="1463">
        <v>40</v>
      </c>
      <c r="K65" s="1463">
        <v>30</v>
      </c>
      <c r="L65" s="1463">
        <v>50</v>
      </c>
      <c r="M65" s="1465">
        <v>0.02</v>
      </c>
      <c r="O65" s="1418" t="s">
        <v>403</v>
      </c>
      <c r="P65" s="1419" t="s">
        <v>868</v>
      </c>
      <c r="Q65" s="1420">
        <f ca="1">C40+J29</f>
        <v>453466</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-4413</v>
      </c>
      <c r="D67" s="963" t="s">
        <v>753</v>
      </c>
      <c r="E67" s="968"/>
      <c r="F67" s="969"/>
      <c r="O67" s="1428" t="s">
        <v>405</v>
      </c>
      <c r="P67" s="1419" t="s">
        <v>850</v>
      </c>
      <c r="Q67" s="1466">
        <f ca="1">L51</f>
        <v>74495</v>
      </c>
      <c r="R67" s="1420" t="s">
        <v>870</v>
      </c>
    </row>
    <row r="68" spans="1:18" s="1384" customFormat="1" ht="16.5" thickBot="1">
      <c r="A68" s="947" t="s">
        <v>395</v>
      </c>
      <c r="B68" s="948" t="s">
        <v>774</v>
      </c>
      <c r="C68" s="301">
        <f ca="1">ROUND(C67*(1-((1+F70)/(1+F68))^F69)/(F68-F70),0)</f>
        <v>-72628</v>
      </c>
      <c r="D68" s="965" t="s">
        <v>758</v>
      </c>
      <c r="E68" s="950" t="s">
        <v>759</v>
      </c>
      <c r="F68" s="312">
        <f ca="1">F40</f>
        <v>5.5E-2</v>
      </c>
      <c r="O68" s="1428" t="s">
        <v>406</v>
      </c>
      <c r="P68" s="1467" t="s">
        <v>871</v>
      </c>
      <c r="Q68" s="1420">
        <f ca="1">ROUND(Q69-Q70*Q71,0)</f>
        <v>5182</v>
      </c>
      <c r="R68" s="1420" t="s">
        <v>414</v>
      </c>
    </row>
    <row r="69" spans="1:18" s="1384" customFormat="1" ht="13.5" thickBot="1">
      <c r="A69" s="951"/>
      <c r="B69" s="952"/>
      <c r="C69" s="306"/>
      <c r="D69" s="970" t="s">
        <v>762</v>
      </c>
      <c r="E69" s="950" t="s">
        <v>763</v>
      </c>
      <c r="F69" s="333">
        <f ca="1">F41</f>
        <v>44</v>
      </c>
      <c r="O69" s="1428" t="s">
        <v>411</v>
      </c>
      <c r="P69" s="1467" t="s">
        <v>872</v>
      </c>
      <c r="Q69" s="1420">
        <f ca="1">C39</f>
        <v>20522</v>
      </c>
      <c r="R69" s="1420" t="s">
        <v>818</v>
      </c>
    </row>
    <row r="70" spans="1:18" s="1384" customFormat="1" ht="13.5" thickBot="1">
      <c r="A70" s="954"/>
      <c r="B70" s="955"/>
      <c r="C70" s="310"/>
      <c r="D70" s="966"/>
      <c r="E70" s="950" t="s">
        <v>766</v>
      </c>
      <c r="F70" s="1054"/>
      <c r="O70" s="1428" t="s">
        <v>412</v>
      </c>
      <c r="P70" s="1467" t="s">
        <v>873</v>
      </c>
      <c r="Q70" s="1420">
        <f ca="1">C13</f>
        <v>255663</v>
      </c>
      <c r="R70" s="1420" t="s">
        <v>818</v>
      </c>
    </row>
    <row r="71" spans="1:18" s="1384" customFormat="1" ht="13.5" thickBot="1">
      <c r="A71" s="971" t="s">
        <v>396</v>
      </c>
      <c r="B71" s="972" t="s">
        <v>776</v>
      </c>
      <c r="C71" s="336">
        <f ca="1">ROUND(C68/F71,0)</f>
        <v>-806</v>
      </c>
      <c r="D71" s="973" t="s">
        <v>777</v>
      </c>
      <c r="E71" s="974" t="s">
        <v>778</v>
      </c>
      <c r="F71" s="339">
        <f ca="1">F43</f>
        <v>90.08</v>
      </c>
      <c r="O71" s="1428" t="s">
        <v>413</v>
      </c>
      <c r="P71" s="1467" t="s">
        <v>874</v>
      </c>
      <c r="Q71" s="1431">
        <f ca="1">C76</f>
        <v>0.06</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15340</v>
      </c>
      <c r="D75" s="1384"/>
      <c r="E75" s="1384"/>
      <c r="F75" s="1384"/>
      <c r="K75" s="1402"/>
      <c r="L75" s="1384"/>
      <c r="O75" s="1418" t="s">
        <v>409</v>
      </c>
      <c r="P75" s="1419" t="s">
        <v>838</v>
      </c>
      <c r="Q75" s="1420">
        <f ca="1">Q65+Q66</f>
        <v>453466</v>
      </c>
      <c r="R75" s="1420" t="s">
        <v>410</v>
      </c>
    </row>
    <row r="76" spans="1:18">
      <c r="B76" s="342" t="s">
        <v>796</v>
      </c>
      <c r="C76" s="343">
        <f ca="1">INDIRECT("'数据-取费表'!j"&amp;$G$1)</f>
        <v>0.06</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0.253</v>
      </c>
    </row>
    <row r="80" spans="1:18">
      <c r="B80" s="340" t="s">
        <v>800</v>
      </c>
      <c r="C80" s="274">
        <f ca="1">ROUND(C75/C39,3)</f>
        <v>0.747</v>
      </c>
    </row>
    <row r="81" spans="2:3">
      <c r="B81" s="270" t="s">
        <v>801</v>
      </c>
      <c r="C81" s="238"/>
    </row>
    <row r="82" spans="2:3">
      <c r="B82" s="273" t="s">
        <v>802</v>
      </c>
      <c r="C82" s="275">
        <f ca="1">1-C83</f>
        <v>0.43600000000000005</v>
      </c>
    </row>
    <row r="83" spans="2:3">
      <c r="B83" s="273" t="s">
        <v>803</v>
      </c>
      <c r="C83" s="274">
        <f ca="1">ROUND(C13/C40,3)</f>
        <v>0.56399999999999995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2436</v>
      </c>
      <c r="B1" s="2828"/>
      <c r="C1" s="2840"/>
      <c r="D1" s="2840"/>
      <c r="E1" s="2829"/>
      <c r="F1" s="2830"/>
      <c r="G1" s="2831"/>
      <c r="J1" s="2834" t="s">
        <v>2315</v>
      </c>
      <c r="K1" s="2835"/>
      <c r="L1" s="2835"/>
      <c r="M1" s="2835"/>
      <c r="N1" s="2835"/>
      <c r="O1" s="2835"/>
      <c r="P1" s="2835"/>
      <c r="Q1" s="2835"/>
      <c r="R1" s="2836"/>
      <c r="S1" s="2837"/>
      <c r="T1" s="2837"/>
      <c r="U1" s="2837"/>
    </row>
    <row r="2" spans="1:22" s="2849" customFormat="1" ht="13.15" customHeight="1">
      <c r="A2" s="1385" t="s">
        <v>2316</v>
      </c>
      <c r="B2" s="2839" t="e">
        <f>IF(D2="——",C40,C40+E2)</f>
        <v>#DIV/0!</v>
      </c>
      <c r="C2" s="2840" t="s">
        <v>2317</v>
      </c>
      <c r="D2" s="3439" t="s">
        <v>3361</v>
      </c>
      <c r="E2" s="3440"/>
      <c r="F2" s="2842"/>
      <c r="G2" s="2843"/>
      <c r="H2" s="2844"/>
      <c r="I2" s="2845"/>
      <c r="J2" s="3660" t="s">
        <v>2318</v>
      </c>
      <c r="K2" s="3661"/>
      <c r="L2" s="2846" t="s">
        <v>2319</v>
      </c>
      <c r="M2" s="2846" t="s">
        <v>2320</v>
      </c>
      <c r="N2" s="2846" t="s">
        <v>2321</v>
      </c>
      <c r="O2" s="2846" t="s">
        <v>2322</v>
      </c>
      <c r="P2" s="2846" t="s">
        <v>2323</v>
      </c>
      <c r="Q2" s="2847" t="s">
        <v>2324</v>
      </c>
      <c r="R2" s="2848" t="s">
        <v>2325</v>
      </c>
      <c r="S2" s="2837"/>
      <c r="T2" s="2837"/>
      <c r="U2" s="2837"/>
      <c r="V2" s="2845"/>
    </row>
    <row r="3" spans="1:22" s="2849" customFormat="1" ht="13.15" customHeight="1">
      <c r="A3" s="2850" t="s">
        <v>2326</v>
      </c>
      <c r="B3" s="2851" t="e">
        <f>ROUND(B2*10000/B4,0)</f>
        <v>#DIV/0!</v>
      </c>
      <c r="C3" s="2840" t="s">
        <v>2327</v>
      </c>
      <c r="D3" s="2840"/>
      <c r="E3" s="2841"/>
      <c r="F3" s="2842"/>
      <c r="G3" s="2843"/>
      <c r="H3" s="2844"/>
      <c r="I3" s="2845"/>
      <c r="J3" s="3662" t="s">
        <v>2328</v>
      </c>
      <c r="K3" s="3663"/>
      <c r="L3" s="2852"/>
      <c r="M3" s="2852"/>
      <c r="N3" s="2852"/>
      <c r="O3" s="2852"/>
      <c r="P3" s="2852"/>
      <c r="Q3" s="2853"/>
      <c r="R3" s="2854">
        <f>SUM(L3:Q3)</f>
        <v>0</v>
      </c>
      <c r="S3" s="2837"/>
      <c r="T3" s="2837"/>
      <c r="U3" s="2837"/>
      <c r="V3" s="2845"/>
    </row>
    <row r="4" spans="1:22" s="2849" customFormat="1" ht="13.15" customHeight="1">
      <c r="A4" s="2855" t="s">
        <v>2329</v>
      </c>
      <c r="B4" s="2856"/>
      <c r="C4" s="2840"/>
      <c r="D4" s="2840"/>
      <c r="E4" s="2841"/>
      <c r="F4" s="2842"/>
      <c r="G4" s="2843"/>
      <c r="H4" s="2844"/>
      <c r="I4" s="2845"/>
      <c r="J4" s="3662" t="s">
        <v>2330</v>
      </c>
      <c r="K4" s="3663"/>
      <c r="L4" s="2857"/>
      <c r="M4" s="2857"/>
      <c r="N4" s="2857"/>
      <c r="O4" s="2857"/>
      <c r="P4" s="2857"/>
      <c r="Q4" s="2858"/>
      <c r="R4" s="2859">
        <f>SUM(L4:Q4)</f>
        <v>0</v>
      </c>
      <c r="S4" s="2837"/>
      <c r="T4" s="2837"/>
      <c r="U4" s="2837"/>
      <c r="V4" s="2845"/>
    </row>
    <row r="5" spans="1:22" s="2849" customFormat="1" ht="13.15" customHeight="1" thickBot="1">
      <c r="A5" s="2860" t="s">
        <v>2331</v>
      </c>
      <c r="B5" s="2861"/>
      <c r="C5" s="2840"/>
      <c r="D5" s="2862"/>
      <c r="E5" s="2842"/>
      <c r="F5" s="2842"/>
      <c r="G5" s="2843"/>
      <c r="H5" s="2844"/>
      <c r="I5" s="2845"/>
      <c r="J5" s="2863" t="s">
        <v>2332</v>
      </c>
      <c r="K5" s="2864"/>
      <c r="L5" s="2864"/>
      <c r="M5" s="2865"/>
      <c r="N5" s="2865"/>
      <c r="O5" s="2865"/>
      <c r="P5" s="2865"/>
      <c r="Q5" s="2865"/>
      <c r="R5" s="2848">
        <f>SUM(R14,R19,R24,R25,R27,R28)</f>
        <v>0</v>
      </c>
      <c r="S5" s="2837"/>
      <c r="T5" s="2837" t="s">
        <v>2333</v>
      </c>
      <c r="U5" s="2837" t="e">
        <f>ROUND(R5*10000/365/R3,1)</f>
        <v>#DIV/0!</v>
      </c>
      <c r="V5" s="2845"/>
    </row>
    <row r="6" spans="1:22" s="2849" customFormat="1" ht="13.15" customHeight="1" thickBot="1">
      <c r="A6" s="3664" t="s">
        <v>2334</v>
      </c>
      <c r="B6" s="3665"/>
      <c r="C6" s="3666"/>
      <c r="D6" s="2866"/>
      <c r="E6" s="2867"/>
      <c r="F6" s="2868"/>
      <c r="G6" s="2869"/>
      <c r="H6" s="2844"/>
      <c r="I6" s="2845"/>
      <c r="J6" s="3667">
        <v>1</v>
      </c>
      <c r="K6" s="3668" t="s">
        <v>2335</v>
      </c>
      <c r="L6" s="2870" t="s">
        <v>2336</v>
      </c>
      <c r="M6" s="2871" t="s">
        <v>2337</v>
      </c>
      <c r="N6" s="2871" t="s">
        <v>2338</v>
      </c>
      <c r="O6" s="2871" t="s">
        <v>2339</v>
      </c>
      <c r="P6" s="2871" t="s">
        <v>2340</v>
      </c>
      <c r="Q6" s="2871" t="s">
        <v>2341</v>
      </c>
      <c r="R6" s="2854" t="s">
        <v>2342</v>
      </c>
      <c r="S6" s="2837"/>
      <c r="T6" s="2837" t="s">
        <v>2343</v>
      </c>
      <c r="U6" s="2837"/>
      <c r="V6" s="2845"/>
    </row>
    <row r="7" spans="1:22" s="2849" customFormat="1" ht="13.15" customHeight="1">
      <c r="A7" s="2872" t="s">
        <v>2344</v>
      </c>
      <c r="B7" s="2873"/>
      <c r="C7" s="2874"/>
      <c r="D7" s="2875">
        <f>SUM(D9,D10,D11,D17,0)</f>
        <v>0</v>
      </c>
      <c r="E7" s="2876" t="e">
        <f>E9+E10+E11+E17</f>
        <v>#DIV/0!</v>
      </c>
      <c r="F7" s="2877"/>
      <c r="G7" s="2878"/>
      <c r="H7" s="2844"/>
      <c r="I7" s="2845"/>
      <c r="J7" s="3667"/>
      <c r="K7" s="3669"/>
      <c r="L7" s="2879" t="s">
        <v>2345</v>
      </c>
      <c r="M7" s="2880"/>
      <c r="N7" s="2856"/>
      <c r="O7" s="2881"/>
      <c r="P7" s="2881"/>
      <c r="Q7" s="2882">
        <v>365</v>
      </c>
      <c r="R7" s="2883">
        <f>ROUND(M7*N7*O7*P7*Q7/10000,0)</f>
        <v>0</v>
      </c>
      <c r="S7" s="2837"/>
      <c r="T7" s="2837" t="s">
        <v>2346</v>
      </c>
      <c r="U7" s="2837"/>
      <c r="V7" s="2845"/>
    </row>
    <row r="8" spans="1:22" s="2849" customFormat="1" ht="13.15" customHeight="1">
      <c r="A8" s="2884" t="s">
        <v>2347</v>
      </c>
      <c r="B8" s="3671" t="s">
        <v>2348</v>
      </c>
      <c r="C8" s="3672"/>
      <c r="D8" s="2885" t="s">
        <v>2349</v>
      </c>
      <c r="E8" s="2886" t="s">
        <v>2350</v>
      </c>
      <c r="F8" s="2887" t="s">
        <v>2351</v>
      </c>
      <c r="G8" s="2888"/>
      <c r="H8" s="2844"/>
      <c r="I8" s="2845"/>
      <c r="J8" s="3667"/>
      <c r="K8" s="3669"/>
      <c r="L8" s="2879" t="s">
        <v>2352</v>
      </c>
      <c r="M8" s="2880"/>
      <c r="N8" s="2856"/>
      <c r="O8" s="2881"/>
      <c r="P8" s="2881"/>
      <c r="Q8" s="2882">
        <v>365</v>
      </c>
      <c r="R8" s="2883">
        <f t="shared" ref="R8:R13" si="0">ROUND(M8*N8*O8*P8*Q8/10000,0)</f>
        <v>0</v>
      </c>
      <c r="S8" s="2837"/>
      <c r="T8" s="2837" t="s">
        <v>2353</v>
      </c>
      <c r="U8" s="2837"/>
      <c r="V8" s="2845"/>
    </row>
    <row r="9" spans="1:22" s="2849" customFormat="1" ht="13.15" customHeight="1">
      <c r="A9" s="2884">
        <v>1</v>
      </c>
      <c r="B9" s="3671" t="s">
        <v>2354</v>
      </c>
      <c r="C9" s="3672"/>
      <c r="D9" s="2885">
        <f>ROUND(D6*E9,0)</f>
        <v>0</v>
      </c>
      <c r="E9" s="2889"/>
      <c r="F9" s="2890" t="s">
        <v>2355</v>
      </c>
      <c r="G9" s="2869"/>
      <c r="H9" s="2844"/>
      <c r="I9" s="2845"/>
      <c r="J9" s="3667"/>
      <c r="K9" s="3669"/>
      <c r="L9" s="2879" t="s">
        <v>2356</v>
      </c>
      <c r="M9" s="2880"/>
      <c r="N9" s="2856"/>
      <c r="O9" s="2881"/>
      <c r="P9" s="2881"/>
      <c r="Q9" s="2882">
        <v>365</v>
      </c>
      <c r="R9" s="2883">
        <f t="shared" si="0"/>
        <v>0</v>
      </c>
      <c r="S9" s="2837"/>
      <c r="T9" s="2837"/>
      <c r="U9" s="2837"/>
      <c r="V9" s="2845"/>
    </row>
    <row r="10" spans="1:22" s="2849" customFormat="1" ht="13.15" customHeight="1">
      <c r="A10" s="2884">
        <v>2</v>
      </c>
      <c r="B10" s="3671" t="s">
        <v>2357</v>
      </c>
      <c r="C10" s="3672"/>
      <c r="D10" s="2885">
        <f>ROUND(D6*E10,0)</f>
        <v>0</v>
      </c>
      <c r="E10" s="2889"/>
      <c r="F10" s="2890" t="s">
        <v>2358</v>
      </c>
      <c r="G10" s="2869"/>
      <c r="H10" s="2844"/>
      <c r="I10" s="2845"/>
      <c r="J10" s="3667"/>
      <c r="K10" s="3669"/>
      <c r="L10" s="2879" t="s">
        <v>2359</v>
      </c>
      <c r="M10" s="2880"/>
      <c r="N10" s="2856"/>
      <c r="O10" s="2881"/>
      <c r="P10" s="2881"/>
      <c r="Q10" s="2882">
        <v>365</v>
      </c>
      <c r="R10" s="2883">
        <f t="shared" si="0"/>
        <v>0</v>
      </c>
      <c r="S10" s="2837"/>
      <c r="T10" s="2837"/>
      <c r="U10" s="2837"/>
      <c r="V10" s="2845"/>
    </row>
    <row r="11" spans="1:22" s="2849" customFormat="1" ht="13.15" customHeight="1">
      <c r="A11" s="2884">
        <v>3</v>
      </c>
      <c r="B11" s="3671" t="s">
        <v>2360</v>
      </c>
      <c r="C11" s="3672"/>
      <c r="D11" s="2885">
        <f>D12+D14+D15+D16</f>
        <v>0</v>
      </c>
      <c r="E11" s="2891" t="e">
        <f>D11/D6</f>
        <v>#DIV/0!</v>
      </c>
      <c r="F11" s="2887"/>
      <c r="G11" s="2888"/>
      <c r="H11" s="2844"/>
      <c r="I11" s="2845"/>
      <c r="J11" s="3667"/>
      <c r="K11" s="3669"/>
      <c r="L11" s="2879" t="s">
        <v>2361</v>
      </c>
      <c r="M11" s="2880"/>
      <c r="N11" s="2856"/>
      <c r="O11" s="2881"/>
      <c r="P11" s="2881"/>
      <c r="Q11" s="2882">
        <v>365</v>
      </c>
      <c r="R11" s="2883">
        <f t="shared" si="0"/>
        <v>0</v>
      </c>
      <c r="S11" s="2837"/>
      <c r="T11" s="2837"/>
      <c r="U11" s="2837"/>
      <c r="V11" s="2845"/>
    </row>
    <row r="12" spans="1:22" s="2849" customFormat="1" ht="13.15" customHeight="1">
      <c r="A12" s="2892" t="s">
        <v>2362</v>
      </c>
      <c r="B12" s="3673" t="s">
        <v>2363</v>
      </c>
      <c r="C12" s="3674"/>
      <c r="D12" s="2893">
        <f>ROUND(D13*1.2%*(1-30%),0)</f>
        <v>0</v>
      </c>
      <c r="E12" s="2894">
        <v>1.2E-2</v>
      </c>
      <c r="F12" s="2887" t="s">
        <v>2364</v>
      </c>
      <c r="G12" s="2888"/>
      <c r="H12" s="2844"/>
      <c r="I12" s="2845"/>
      <c r="J12" s="3667"/>
      <c r="K12" s="3669"/>
      <c r="L12" s="2879" t="s">
        <v>2365</v>
      </c>
      <c r="M12" s="2880"/>
      <c r="N12" s="2856"/>
      <c r="O12" s="2881"/>
      <c r="P12" s="2881"/>
      <c r="Q12" s="2882">
        <v>365</v>
      </c>
      <c r="R12" s="2883">
        <f t="shared" si="0"/>
        <v>0</v>
      </c>
      <c r="S12" s="2837"/>
      <c r="T12" s="2837"/>
      <c r="U12" s="2837"/>
      <c r="V12" s="2845"/>
    </row>
    <row r="13" spans="1:22" s="2849" customFormat="1" ht="13.15" customHeight="1">
      <c r="A13" s="2892"/>
      <c r="B13" s="2895"/>
      <c r="C13" s="2896" t="s">
        <v>2366</v>
      </c>
      <c r="D13" s="2897"/>
      <c r="E13" s="2898"/>
      <c r="F13" s="2887"/>
      <c r="G13" s="2888"/>
      <c r="H13" s="2844"/>
      <c r="I13" s="2845"/>
      <c r="J13" s="3667"/>
      <c r="K13" s="3669"/>
      <c r="L13" s="2879" t="s">
        <v>2367</v>
      </c>
      <c r="M13" s="2880"/>
      <c r="N13" s="2856"/>
      <c r="O13" s="2881"/>
      <c r="P13" s="2881"/>
      <c r="Q13" s="2882">
        <v>365</v>
      </c>
      <c r="R13" s="2883">
        <f t="shared" si="0"/>
        <v>0</v>
      </c>
      <c r="S13" s="2837"/>
      <c r="T13" s="2837"/>
      <c r="U13" s="2837"/>
      <c r="V13" s="2845"/>
    </row>
    <row r="14" spans="1:22" s="2849" customFormat="1" ht="13.15" customHeight="1">
      <c r="A14" s="2892" t="s">
        <v>2368</v>
      </c>
      <c r="B14" s="3673" t="s">
        <v>2369</v>
      </c>
      <c r="C14" s="3674"/>
      <c r="D14" s="2893">
        <f>ROUND(E14*B5/10000,0)</f>
        <v>0</v>
      </c>
      <c r="E14" s="2882"/>
      <c r="F14" s="2887" t="s">
        <v>2370</v>
      </c>
      <c r="G14" s="2888"/>
      <c r="H14" s="2844"/>
      <c r="I14" s="2845"/>
      <c r="J14" s="3667"/>
      <c r="K14" s="3670"/>
      <c r="L14" s="2899" t="s">
        <v>2371</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2372</v>
      </c>
      <c r="B15" s="3673" t="s">
        <v>2373</v>
      </c>
      <c r="C15" s="3674"/>
      <c r="D15" s="2893">
        <f>ROUND(D6*E15,0)</f>
        <v>0</v>
      </c>
      <c r="E15" s="2894">
        <v>5.5E-2</v>
      </c>
      <c r="F15" s="2887" t="s">
        <v>2374</v>
      </c>
      <c r="G15" s="2869"/>
      <c r="H15" s="2844"/>
      <c r="I15" s="2845"/>
      <c r="J15" s="3667">
        <v>2</v>
      </c>
      <c r="K15" s="3668" t="s">
        <v>2375</v>
      </c>
      <c r="L15" s="2879" t="s">
        <v>2376</v>
      </c>
      <c r="M15" s="2880" t="s">
        <v>2377</v>
      </c>
      <c r="N15" s="2880" t="s">
        <v>2378</v>
      </c>
      <c r="O15" s="2881" t="s">
        <v>2379</v>
      </c>
      <c r="P15" s="2881" t="s">
        <v>2341</v>
      </c>
      <c r="Q15" s="2856" t="s">
        <v>2380</v>
      </c>
      <c r="R15" s="2903" t="s">
        <v>2342</v>
      </c>
      <c r="S15" s="2837"/>
      <c r="T15" s="2837"/>
      <c r="U15" s="2837"/>
      <c r="V15" s="2845"/>
    </row>
    <row r="16" spans="1:22" s="2849" customFormat="1" ht="13.15" customHeight="1">
      <c r="A16" s="2892" t="s">
        <v>2381</v>
      </c>
      <c r="B16" s="3673" t="s">
        <v>2382</v>
      </c>
      <c r="C16" s="3674"/>
      <c r="D16" s="2904">
        <f>D6*E16</f>
        <v>0</v>
      </c>
      <c r="E16" s="2905"/>
      <c r="F16" s="2890" t="s">
        <v>2383</v>
      </c>
      <c r="G16" s="2869"/>
      <c r="H16" s="2844"/>
      <c r="I16" s="2845"/>
      <c r="J16" s="3667"/>
      <c r="K16" s="3669"/>
      <c r="L16" s="2879" t="s">
        <v>2384</v>
      </c>
      <c r="M16" s="2880"/>
      <c r="N16" s="2880"/>
      <c r="O16" s="2881"/>
      <c r="P16" s="2882">
        <v>365</v>
      </c>
      <c r="Q16" s="2856"/>
      <c r="R16" s="2903">
        <f>ROUND(M16*N16*O16*P16/10000,0)</f>
        <v>0</v>
      </c>
      <c r="S16" s="2837"/>
      <c r="T16" s="2837"/>
      <c r="U16" s="2837"/>
      <c r="V16" s="2845"/>
    </row>
    <row r="17" spans="1:22" s="2849" customFormat="1" ht="13.15" customHeight="1" thickBot="1">
      <c r="A17" s="2906">
        <v>4</v>
      </c>
      <c r="B17" s="3675" t="s">
        <v>2385</v>
      </c>
      <c r="C17" s="3676"/>
      <c r="D17" s="2907">
        <f>ROUND(D6*E17,0)</f>
        <v>0</v>
      </c>
      <c r="E17" s="2908"/>
      <c r="F17" s="2909" t="s">
        <v>2386</v>
      </c>
      <c r="G17" s="2869"/>
      <c r="H17" s="2844"/>
      <c r="I17" s="2845"/>
      <c r="J17" s="3667"/>
      <c r="K17" s="3669"/>
      <c r="L17" s="2879" t="s">
        <v>2387</v>
      </c>
      <c r="M17" s="2880"/>
      <c r="N17" s="2880"/>
      <c r="O17" s="2881"/>
      <c r="P17" s="2882">
        <v>365</v>
      </c>
      <c r="Q17" s="2856"/>
      <c r="R17" s="2903">
        <f>ROUND(M17*N17*O17*P17/10000,0)</f>
        <v>0</v>
      </c>
      <c r="S17" s="2837"/>
      <c r="T17" s="2837"/>
      <c r="U17" s="2837"/>
      <c r="V17" s="2845"/>
    </row>
    <row r="18" spans="1:22" s="2849" customFormat="1" ht="13.15" customHeight="1" thickBot="1">
      <c r="A18" s="2872" t="s">
        <v>2388</v>
      </c>
      <c r="B18" s="2873"/>
      <c r="C18" s="2873"/>
      <c r="D18" s="2910">
        <f>ROUND(D6*E18,0)</f>
        <v>0</v>
      </c>
      <c r="E18" s="2911"/>
      <c r="F18" s="2912" t="s">
        <v>2389</v>
      </c>
      <c r="G18" s="2869"/>
      <c r="H18" s="2844"/>
      <c r="I18" s="2845"/>
      <c r="J18" s="3667"/>
      <c r="K18" s="3669"/>
      <c r="L18" s="2879" t="s">
        <v>2390</v>
      </c>
      <c r="M18" s="2880"/>
      <c r="N18" s="2880"/>
      <c r="O18" s="2881"/>
      <c r="P18" s="2882">
        <v>365</v>
      </c>
      <c r="Q18" s="2856"/>
      <c r="R18" s="2903">
        <f>ROUND(M18*N18*O18*P18/10000,0)</f>
        <v>0</v>
      </c>
      <c r="S18" s="2837"/>
      <c r="T18" s="2837"/>
      <c r="U18" s="2837"/>
      <c r="V18" s="2845"/>
    </row>
    <row r="19" spans="1:22" s="2849" customFormat="1" ht="13.15" customHeight="1" thickBot="1">
      <c r="A19" s="2913" t="s">
        <v>2391</v>
      </c>
      <c r="B19" s="2867"/>
      <c r="C19" s="2867"/>
      <c r="D19" s="2867"/>
      <c r="E19" s="2867"/>
      <c r="F19" s="2868"/>
      <c r="G19" s="2888"/>
      <c r="H19" s="2844"/>
      <c r="I19" s="2845"/>
      <c r="J19" s="3667"/>
      <c r="K19" s="3670"/>
      <c r="L19" s="2899" t="s">
        <v>2371</v>
      </c>
      <c r="M19" s="2900"/>
      <c r="N19" s="2900">
        <f>SUM(N16:N18)</f>
        <v>0</v>
      </c>
      <c r="O19" s="2901"/>
      <c r="P19" s="2914" t="s">
        <v>2435</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67">
        <v>3</v>
      </c>
      <c r="K20" s="3668" t="s">
        <v>2392</v>
      </c>
      <c r="L20" s="2879" t="s">
        <v>2393</v>
      </c>
      <c r="M20" s="2880" t="s">
        <v>2394</v>
      </c>
      <c r="N20" s="2917" t="s">
        <v>2395</v>
      </c>
      <c r="O20" s="2881" t="s">
        <v>2396</v>
      </c>
      <c r="P20" s="2882" t="s">
        <v>2397</v>
      </c>
      <c r="Q20" s="2856" t="s">
        <v>2398</v>
      </c>
      <c r="R20" s="2903" t="s">
        <v>2399</v>
      </c>
      <c r="S20" s="2918"/>
      <c r="T20" s="2918"/>
      <c r="U20" s="2918"/>
      <c r="V20" s="2845"/>
    </row>
    <row r="21" spans="1:22" s="2849" customFormat="1" ht="13.15" customHeight="1">
      <c r="A21" s="2872"/>
      <c r="B21" s="2873"/>
      <c r="C21" s="2919" t="s">
        <v>2400</v>
      </c>
      <c r="D21" s="2920" t="s">
        <v>2401</v>
      </c>
      <c r="E21" s="2921" t="s">
        <v>2402</v>
      </c>
      <c r="F21" s="2916"/>
      <c r="G21" s="2888"/>
      <c r="H21" s="2844"/>
      <c r="I21" s="2845"/>
      <c r="J21" s="3667"/>
      <c r="K21" s="3669"/>
      <c r="L21" s="2879" t="s">
        <v>2403</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2404</v>
      </c>
      <c r="D22" s="2924" t="s">
        <v>2405</v>
      </c>
      <c r="E22" s="2925" t="s">
        <v>2406</v>
      </c>
      <c r="F22" s="2916"/>
      <c r="G22" s="2926"/>
      <c r="H22" s="2844"/>
      <c r="I22" s="2845"/>
      <c r="J22" s="3667"/>
      <c r="K22" s="3669"/>
      <c r="L22" s="2879" t="s">
        <v>2407</v>
      </c>
      <c r="M22" s="2880"/>
      <c r="N22" s="2880"/>
      <c r="O22" s="2881"/>
      <c r="P22" s="2882">
        <v>365</v>
      </c>
      <c r="Q22" s="2856"/>
      <c r="R22" s="2922">
        <f>ROUND(M22*N22*O22*P22/10000,0)</f>
        <v>0</v>
      </c>
      <c r="S22" s="2918"/>
      <c r="T22" s="2918"/>
      <c r="U22" s="2918"/>
      <c r="V22" s="2845"/>
    </row>
    <row r="23" spans="1:22" s="2849" customFormat="1" ht="13.15" customHeight="1">
      <c r="A23" s="2927">
        <v>1</v>
      </c>
      <c r="B23" s="2928" t="s">
        <v>2408</v>
      </c>
      <c r="C23" s="2929">
        <f>D6</f>
        <v>0</v>
      </c>
      <c r="D23" s="2930">
        <f>C23*(1+D24)</f>
        <v>0</v>
      </c>
      <c r="E23" s="2931">
        <f>D23*(1+E24)</f>
        <v>0</v>
      </c>
      <c r="F23" s="2932"/>
      <c r="G23" s="2933"/>
      <c r="H23" s="2844"/>
      <c r="I23" s="2845"/>
      <c r="J23" s="3667"/>
      <c r="K23" s="3669"/>
      <c r="L23" s="2879" t="s">
        <v>2409</v>
      </c>
      <c r="M23" s="2880"/>
      <c r="N23" s="2880"/>
      <c r="O23" s="2881"/>
      <c r="P23" s="2882">
        <v>365</v>
      </c>
      <c r="Q23" s="2856"/>
      <c r="R23" s="2922">
        <f>ROUND(M23*N23*O23*P23/10000,0)</f>
        <v>0</v>
      </c>
      <c r="S23" s="2837"/>
      <c r="T23" s="2837"/>
      <c r="U23" s="2837"/>
      <c r="V23" s="2845"/>
    </row>
    <row r="24" spans="1:22" s="2849" customFormat="1" ht="13.15" customHeight="1">
      <c r="A24" s="2934"/>
      <c r="B24" s="2935" t="s">
        <v>2410</v>
      </c>
      <c r="C24" s="2936"/>
      <c r="D24" s="2937"/>
      <c r="E24" s="2938"/>
      <c r="F24" s="2939"/>
      <c r="G24" s="2933"/>
      <c r="H24" s="2844"/>
      <c r="I24" s="2845"/>
      <c r="J24" s="3667"/>
      <c r="K24" s="3670"/>
      <c r="L24" s="2899" t="s">
        <v>2371</v>
      </c>
      <c r="M24" s="2900">
        <f>SUM(M21:M23)</f>
        <v>0</v>
      </c>
      <c r="N24" s="2900"/>
      <c r="O24" s="2901"/>
      <c r="P24" s="2914" t="s">
        <v>2435</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2411</v>
      </c>
      <c r="L25" s="2942"/>
      <c r="M25" s="2942"/>
      <c r="N25" s="2942"/>
      <c r="O25" s="2942"/>
      <c r="P25" s="2943"/>
      <c r="Q25" s="2944">
        <v>0</v>
      </c>
      <c r="R25" s="2915">
        <f>ROUND(R14*Q25,0)</f>
        <v>0</v>
      </c>
      <c r="S25" s="2837"/>
      <c r="T25" s="2837"/>
      <c r="U25" s="2837"/>
      <c r="V25" s="2945"/>
    </row>
    <row r="26" spans="1:22" s="2946" customFormat="1" ht="13.15" customHeight="1">
      <c r="A26" s="2927">
        <v>2</v>
      </c>
      <c r="B26" s="2928" t="s">
        <v>2412</v>
      </c>
      <c r="C26" s="2929">
        <f>D7</f>
        <v>0</v>
      </c>
      <c r="D26" s="2930">
        <f>D23*D27</f>
        <v>0</v>
      </c>
      <c r="E26" s="2931">
        <f>E23*E27</f>
        <v>0</v>
      </c>
      <c r="F26" s="2932"/>
      <c r="G26" s="2933"/>
      <c r="H26" s="2844"/>
      <c r="I26" s="2845"/>
      <c r="J26" s="3677">
        <v>5</v>
      </c>
      <c r="K26" s="2947" t="s">
        <v>2413</v>
      </c>
      <c r="L26" s="2948"/>
      <c r="M26" s="2949"/>
      <c r="N26" s="2950" t="s">
        <v>2414</v>
      </c>
      <c r="O26" s="2950" t="s">
        <v>2415</v>
      </c>
      <c r="P26" s="2951" t="s">
        <v>2416</v>
      </c>
      <c r="Q26" s="2951" t="s">
        <v>2417</v>
      </c>
      <c r="R26" s="2854" t="s">
        <v>2342</v>
      </c>
      <c r="S26" s="2952"/>
      <c r="T26" s="2952"/>
      <c r="U26" s="2952"/>
      <c r="V26" s="2945"/>
    </row>
    <row r="27" spans="1:22" s="2849" customFormat="1" ht="13.15" customHeight="1">
      <c r="A27" s="2934"/>
      <c r="B27" s="2935" t="s">
        <v>2418</v>
      </c>
      <c r="C27" s="2953" t="e">
        <f>E7</f>
        <v>#DIV/0!</v>
      </c>
      <c r="D27" s="2937"/>
      <c r="E27" s="2938"/>
      <c r="F27" s="2939"/>
      <c r="G27" s="2933"/>
      <c r="H27" s="2954"/>
      <c r="I27" s="2945"/>
      <c r="J27" s="3678"/>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2419</v>
      </c>
      <c r="F28" s="2939"/>
      <c r="G28" s="2926"/>
      <c r="H28" s="2954"/>
      <c r="I28" s="2945"/>
      <c r="J28" s="2960">
        <v>6</v>
      </c>
      <c r="K28" s="2961" t="s">
        <v>2420</v>
      </c>
      <c r="L28" s="2962" t="s">
        <v>2421</v>
      </c>
      <c r="M28" s="2963"/>
      <c r="N28" s="2962" t="s">
        <v>2422</v>
      </c>
      <c r="O28" s="2964"/>
      <c r="P28" s="2962" t="s">
        <v>2423</v>
      </c>
      <c r="Q28" s="2965">
        <v>1.4999999999999999E-2</v>
      </c>
      <c r="R28" s="2966"/>
      <c r="S28" s="2918"/>
      <c r="T28" s="2918"/>
      <c r="U28" s="2918"/>
      <c r="V28" s="2945"/>
    </row>
    <row r="29" spans="1:22" s="2946" customFormat="1" ht="13.15" customHeight="1">
      <c r="A29" s="2927">
        <v>3</v>
      </c>
      <c r="B29" s="2928" t="s">
        <v>2424</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2418</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2425</v>
      </c>
      <c r="K31" s="2835"/>
      <c r="L31" s="2835"/>
      <c r="M31" s="2835"/>
      <c r="N31" s="2835"/>
      <c r="O31" s="2835"/>
      <c r="P31" s="2835"/>
      <c r="Q31" s="2835"/>
      <c r="R31" s="2836"/>
      <c r="S31" s="2918"/>
      <c r="T31" s="2837"/>
      <c r="U31" s="2837"/>
      <c r="V31" s="2945"/>
    </row>
    <row r="32" spans="1:22" s="2946" customFormat="1" ht="13.15" customHeight="1">
      <c r="A32" s="2927">
        <v>4</v>
      </c>
      <c r="B32" s="2928" t="s">
        <v>2426</v>
      </c>
      <c r="C32" s="2929">
        <f>C23-C26-C29</f>
        <v>0</v>
      </c>
      <c r="D32" s="2930">
        <f>D23-D26-D29</f>
        <v>0</v>
      </c>
      <c r="E32" s="2931">
        <f>E23-E26-E29</f>
        <v>0</v>
      </c>
      <c r="F32" s="2932"/>
      <c r="G32" s="2926"/>
      <c r="H32" s="2844"/>
      <c r="I32" s="2845"/>
      <c r="J32" s="3660" t="s">
        <v>2318</v>
      </c>
      <c r="K32" s="3661"/>
      <c r="L32" s="2846" t="s">
        <v>2319</v>
      </c>
      <c r="M32" s="2846" t="s">
        <v>2320</v>
      </c>
      <c r="N32" s="2846" t="s">
        <v>2321</v>
      </c>
      <c r="O32" s="2846" t="s">
        <v>2322</v>
      </c>
      <c r="P32" s="2846" t="s">
        <v>2323</v>
      </c>
      <c r="Q32" s="2847" t="s">
        <v>2324</v>
      </c>
      <c r="R32" s="2969" t="s">
        <v>2325</v>
      </c>
      <c r="S32" s="2918"/>
      <c r="T32" s="2837"/>
      <c r="U32" s="2837"/>
      <c r="V32" s="2945"/>
    </row>
    <row r="33" spans="1:23" s="2849" customFormat="1" ht="13.15" customHeight="1">
      <c r="A33" s="2927"/>
      <c r="B33" s="2928"/>
      <c r="C33" s="2929"/>
      <c r="D33" s="2970"/>
      <c r="E33" s="2971"/>
      <c r="F33" s="2932"/>
      <c r="G33" s="2926"/>
      <c r="H33" s="2954"/>
      <c r="I33" s="2945"/>
      <c r="J33" s="3662" t="s">
        <v>2328</v>
      </c>
      <c r="K33" s="3663"/>
      <c r="L33" s="2852"/>
      <c r="M33" s="2852"/>
      <c r="N33" s="2852"/>
      <c r="O33" s="2852"/>
      <c r="P33" s="2852"/>
      <c r="Q33" s="2853"/>
      <c r="R33" s="2972">
        <f>SUM(L33:Q33)</f>
        <v>0</v>
      </c>
      <c r="S33" s="2918"/>
      <c r="T33" s="2837"/>
      <c r="U33" s="2837"/>
      <c r="V33" s="2845"/>
    </row>
    <row r="34" spans="1:23" s="2849" customFormat="1" ht="13.15" customHeight="1">
      <c r="A34" s="2927">
        <v>5</v>
      </c>
      <c r="B34" s="2928" t="s">
        <v>2427</v>
      </c>
      <c r="C34" s="2973"/>
      <c r="D34" s="2974"/>
      <c r="E34" s="2975"/>
      <c r="F34" s="2932"/>
      <c r="G34" s="2926"/>
      <c r="H34" s="2954"/>
      <c r="I34" s="2945"/>
      <c r="J34" s="3662" t="s">
        <v>2330</v>
      </c>
      <c r="K34" s="3663"/>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2428</v>
      </c>
      <c r="C35" s="2977"/>
      <c r="D35" s="2978"/>
      <c r="E35" s="2979"/>
      <c r="F35" s="2932"/>
      <c r="G35" s="2980"/>
      <c r="H35" s="2844"/>
      <c r="I35" s="2945"/>
      <c r="J35" s="2863" t="s">
        <v>2332</v>
      </c>
      <c r="K35" s="2864"/>
      <c r="L35" s="2864"/>
      <c r="M35" s="2865"/>
      <c r="N35" s="2865"/>
      <c r="O35" s="2865"/>
      <c r="P35" s="2865"/>
      <c r="Q35" s="2865"/>
      <c r="R35" s="2981">
        <f>R40+R41+R43</f>
        <v>0</v>
      </c>
      <c r="S35" s="2918"/>
      <c r="T35" s="2837" t="s">
        <v>2333</v>
      </c>
      <c r="U35" s="2837"/>
      <c r="V35" s="2845"/>
    </row>
    <row r="36" spans="1:23" s="2849" customFormat="1" ht="13.15" customHeight="1" thickBot="1">
      <c r="A36" s="2927">
        <v>7</v>
      </c>
      <c r="B36" s="2982" t="s">
        <v>2429</v>
      </c>
      <c r="C36" s="2983"/>
      <c r="D36" s="2984"/>
      <c r="E36" s="2985"/>
      <c r="F36" s="2986">
        <f>C36+D36+E36</f>
        <v>0</v>
      </c>
      <c r="G36" s="2926"/>
      <c r="H36" s="2844"/>
      <c r="I36" s="2845"/>
      <c r="J36" s="3667">
        <v>1</v>
      </c>
      <c r="K36" s="3668" t="s">
        <v>2430</v>
      </c>
      <c r="L36" s="2870"/>
      <c r="M36" s="2871"/>
      <c r="N36" s="2871"/>
      <c r="O36" s="2871"/>
      <c r="P36" s="2871"/>
      <c r="Q36" s="2871"/>
      <c r="R36" s="2854" t="s">
        <v>2342</v>
      </c>
      <c r="S36" s="2918"/>
      <c r="T36" s="2837" t="s">
        <v>2343</v>
      </c>
      <c r="U36" s="2837"/>
      <c r="V36" s="2845"/>
    </row>
    <row r="37" spans="1:23" s="2849" customFormat="1" ht="13.15" customHeight="1">
      <c r="A37" s="2927"/>
      <c r="B37" s="2928"/>
      <c r="C37" s="2928"/>
      <c r="D37" s="2928"/>
      <c r="E37" s="2928"/>
      <c r="F37" s="2932"/>
      <c r="G37" s="2926"/>
      <c r="H37" s="2844"/>
      <c r="I37" s="2845"/>
      <c r="J37" s="3667"/>
      <c r="K37" s="3669"/>
      <c r="L37" s="2879"/>
      <c r="M37" s="2880"/>
      <c r="N37" s="2856"/>
      <c r="O37" s="2881"/>
      <c r="P37" s="2881"/>
      <c r="Q37" s="2882"/>
      <c r="R37" s="2883"/>
      <c r="S37" s="2918"/>
      <c r="T37" s="2837" t="s">
        <v>2346</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67"/>
      <c r="K38" s="3669"/>
      <c r="L38" s="2879"/>
      <c r="M38" s="2880"/>
      <c r="N38" s="2856"/>
      <c r="O38" s="2881"/>
      <c r="P38" s="2881"/>
      <c r="Q38" s="2882"/>
      <c r="R38" s="2883"/>
      <c r="S38" s="2918"/>
      <c r="T38" s="2837" t="s">
        <v>2353</v>
      </c>
      <c r="U38" s="2837"/>
      <c r="V38" s="2845"/>
    </row>
    <row r="39" spans="1:23" s="2849" customFormat="1" ht="13.15" customHeight="1">
      <c r="A39" s="2927">
        <v>9</v>
      </c>
      <c r="B39" s="2928" t="s">
        <v>2431</v>
      </c>
      <c r="C39" s="2893" t="e">
        <f>C38</f>
        <v>#DIV/0!</v>
      </c>
      <c r="D39" s="2928">
        <f>D38/(1+D34)^C36</f>
        <v>0</v>
      </c>
      <c r="E39" s="2928">
        <f>E38/(1+E34)^(C36+D36)</f>
        <v>0</v>
      </c>
      <c r="F39" s="2932"/>
      <c r="G39" s="2987"/>
      <c r="H39" s="2844"/>
      <c r="I39" s="2845"/>
      <c r="J39" s="3667"/>
      <c r="K39" s="3669"/>
      <c r="L39" s="2879"/>
      <c r="M39" s="2880"/>
      <c r="N39" s="2856"/>
      <c r="O39" s="2881"/>
      <c r="P39" s="2881"/>
      <c r="Q39" s="2882"/>
      <c r="R39" s="2883"/>
      <c r="S39" s="2918"/>
      <c r="T39" s="2837"/>
      <c r="U39" s="2837"/>
      <c r="V39" s="2845"/>
    </row>
    <row r="40" spans="1:23" s="2849" customFormat="1" ht="13.15" customHeight="1">
      <c r="A40" s="2988">
        <v>10</v>
      </c>
      <c r="B40" s="2928" t="s">
        <v>2432</v>
      </c>
      <c r="C40" s="2989" t="e">
        <f>C39+D39+E39</f>
        <v>#DIV/0!</v>
      </c>
      <c r="D40" s="2990"/>
      <c r="E40" s="2990"/>
      <c r="F40" s="2991"/>
      <c r="G40" s="2926"/>
      <c r="H40" s="2844"/>
      <c r="I40" s="2845"/>
      <c r="J40" s="3667"/>
      <c r="K40" s="3670"/>
      <c r="L40" s="2899" t="s">
        <v>2371</v>
      </c>
      <c r="M40" s="2900"/>
      <c r="N40" s="2900"/>
      <c r="O40" s="2901"/>
      <c r="P40" s="2901"/>
      <c r="Q40" s="2902"/>
      <c r="R40" s="2848">
        <f>SUM(R37:R39)</f>
        <v>0</v>
      </c>
      <c r="S40" s="2918"/>
      <c r="T40" s="2837"/>
      <c r="U40" s="2837"/>
      <c r="V40" s="2845"/>
    </row>
    <row r="41" spans="1:23" s="2849" customFormat="1" ht="13.15" customHeight="1" thickBot="1">
      <c r="A41" s="2992">
        <v>11</v>
      </c>
      <c r="B41" s="2993" t="s">
        <v>2433</v>
      </c>
      <c r="C41" s="2993" t="e">
        <f>ROUND(C40*10000/B4,0)</f>
        <v>#DIV/0!</v>
      </c>
      <c r="D41" s="2994"/>
      <c r="E41" s="2994"/>
      <c r="F41" s="2995"/>
      <c r="G41" s="2996"/>
      <c r="H41" s="2844"/>
      <c r="I41" s="2845"/>
      <c r="J41" s="2940">
        <v>2</v>
      </c>
      <c r="K41" s="2941" t="s">
        <v>2411</v>
      </c>
      <c r="L41" s="2942"/>
      <c r="M41" s="2942"/>
      <c r="N41" s="2942"/>
      <c r="O41" s="2942"/>
      <c r="P41" s="2943"/>
      <c r="Q41" s="2944"/>
      <c r="R41" s="2915">
        <f>ROUND(R40*Q41,0)</f>
        <v>0</v>
      </c>
      <c r="S41" s="2918"/>
      <c r="T41" s="2837"/>
      <c r="U41" s="2952"/>
      <c r="V41" s="2845"/>
    </row>
    <row r="42" spans="1:23" s="2849" customFormat="1" ht="13.15" customHeight="1">
      <c r="G42" s="2996"/>
      <c r="H42" s="2844"/>
      <c r="I42" s="2845"/>
      <c r="J42" s="3677">
        <v>3</v>
      </c>
      <c r="K42" s="2947" t="s">
        <v>2413</v>
      </c>
      <c r="L42" s="2948"/>
      <c r="M42" s="2949"/>
      <c r="N42" s="2950" t="s">
        <v>2414</v>
      </c>
      <c r="O42" s="2950" t="s">
        <v>2415</v>
      </c>
      <c r="P42" s="2951" t="s">
        <v>2416</v>
      </c>
      <c r="Q42" s="2951" t="s">
        <v>2417</v>
      </c>
      <c r="R42" s="2854" t="s">
        <v>2342</v>
      </c>
      <c r="S42" s="2952"/>
      <c r="T42" s="2952"/>
      <c r="U42" s="2837"/>
      <c r="V42" s="2845"/>
    </row>
    <row r="43" spans="1:23" ht="13.15" customHeight="1">
      <c r="A43" s="2849"/>
      <c r="B43" s="2849"/>
      <c r="C43" s="2849"/>
      <c r="D43" s="2849"/>
      <c r="E43" s="2849"/>
      <c r="F43" s="2849"/>
      <c r="I43" s="2832"/>
      <c r="J43" s="3678"/>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2420</v>
      </c>
      <c r="L44" s="3000" t="s">
        <v>2421</v>
      </c>
      <c r="M44" s="2963"/>
      <c r="N44" s="3000" t="s">
        <v>2422</v>
      </c>
      <c r="O44" s="2963"/>
      <c r="P44" s="3000" t="s">
        <v>2423</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3"/>
      <c r="G1" s="1489"/>
      <c r="H1" s="1489"/>
      <c r="I1" s="1489"/>
      <c r="J1" s="1489"/>
      <c r="K1" s="1489"/>
      <c r="L1" s="1489"/>
      <c r="M1" s="1489"/>
      <c r="N1" s="1489"/>
      <c r="O1" s="1489"/>
      <c r="P1" s="1489"/>
      <c r="Q1" s="1489"/>
      <c r="R1" s="1489"/>
      <c r="S1" s="1489"/>
    </row>
    <row r="2" spans="1:22" ht="15.75">
      <c r="A2" s="1870" t="s">
        <v>1462</v>
      </c>
      <c r="B2" s="1871">
        <f ca="1">SUMIF(B6:B13,"&lt;&gt;#ref!",B6:B13)</f>
        <v>45.346600000000002</v>
      </c>
      <c r="C2" s="1872" t="s">
        <v>1651</v>
      </c>
      <c r="D2" s="1873" t="s">
        <v>1652</v>
      </c>
      <c r="E2" s="2603">
        <f>SUM(E6:E13)</f>
        <v>90.08</v>
      </c>
      <c r="F2" s="2703"/>
      <c r="G2" s="1489"/>
      <c r="H2" s="1489"/>
      <c r="I2" s="1489"/>
      <c r="J2" s="1489"/>
      <c r="K2" s="1489"/>
      <c r="L2" s="1489"/>
      <c r="M2" s="1489"/>
      <c r="N2" s="1489"/>
      <c r="O2" s="1489"/>
      <c r="P2" s="1489"/>
      <c r="Q2" s="1489"/>
      <c r="R2" s="1489"/>
      <c r="S2" s="1489"/>
    </row>
    <row r="3" spans="1:22" ht="15.75">
      <c r="A3" s="1870" t="s">
        <v>686</v>
      </c>
      <c r="B3" s="2597">
        <f ca="1">ROUND(B2*10000/E2,0)</f>
        <v>5034</v>
      </c>
      <c r="C3" s="1872" t="s">
        <v>1659</v>
      </c>
      <c r="D3" s="2705"/>
      <c r="E3" s="2707"/>
      <c r="F3" s="2703"/>
      <c r="G3" s="1489"/>
      <c r="H3" s="1489"/>
      <c r="I3" s="1489"/>
      <c r="J3" s="1489"/>
      <c r="K3" s="1489"/>
      <c r="L3" s="1489"/>
      <c r="M3" s="1489"/>
      <c r="N3" s="1489"/>
      <c r="O3" s="1489"/>
      <c r="P3" s="1489"/>
      <c r="Q3" s="1489"/>
      <c r="R3" s="1489"/>
      <c r="S3" s="1489"/>
    </row>
    <row r="4" spans="1:22" ht="15.75">
      <c r="A4" s="2708"/>
      <c r="B4" s="2705"/>
      <c r="C4" s="2705"/>
      <c r="D4" s="2705"/>
      <c r="E4" s="2707"/>
      <c r="F4" s="2703"/>
      <c r="G4" s="1489"/>
      <c r="H4" s="1489"/>
      <c r="I4" s="1489"/>
      <c r="J4" s="1489"/>
      <c r="K4" s="1489"/>
      <c r="L4" s="1489"/>
      <c r="M4" s="1489"/>
      <c r="N4" s="1489"/>
      <c r="O4" s="1489"/>
      <c r="P4" s="1489"/>
      <c r="Q4" s="1489"/>
      <c r="R4" s="1489"/>
      <c r="S4" s="1489"/>
    </row>
    <row r="5" spans="1:22" ht="15">
      <c r="A5" s="2599" t="s">
        <v>1653</v>
      </c>
      <c r="B5" s="3679" t="s">
        <v>1654</v>
      </c>
      <c r="C5" s="3680"/>
      <c r="D5" s="2704"/>
      <c r="E5" s="1874" t="s">
        <v>1655</v>
      </c>
      <c r="F5" s="1875" t="s">
        <v>1656</v>
      </c>
      <c r="G5" s="1489"/>
      <c r="H5" s="1489"/>
      <c r="I5" s="1489"/>
      <c r="J5" s="1489"/>
      <c r="K5" s="1489"/>
      <c r="L5" s="1489"/>
      <c r="M5" s="1489"/>
      <c r="N5" s="1489"/>
      <c r="O5" s="1489"/>
      <c r="P5" s="1489"/>
      <c r="Q5" s="1489"/>
      <c r="R5" s="1489"/>
      <c r="S5" s="1489"/>
    </row>
    <row r="6" spans="1:22">
      <c r="A6" s="2600" t="str">
        <f>'数据-取费表'!AN6</f>
        <v>收益法 (元)</v>
      </c>
      <c r="B6" s="2598">
        <f ca="1">IF(F6="是",'数据-取费表'!AO6,0)</f>
        <v>45.346600000000002</v>
      </c>
      <c r="C6" s="1872" t="s">
        <v>1651</v>
      </c>
      <c r="D6" s="2705"/>
      <c r="E6" s="2602">
        <f>IF(OR(A6=0,F6="否"),0,'数据-取费表'!K6+'数据-取费表'!S6)</f>
        <v>90.08</v>
      </c>
      <c r="F6" s="1876" t="s">
        <v>1657</v>
      </c>
      <c r="G6" s="1489"/>
      <c r="H6" s="1489"/>
      <c r="I6" s="1489"/>
      <c r="J6" s="1489"/>
      <c r="K6" s="1489"/>
      <c r="L6" s="1489"/>
      <c r="M6" s="1489"/>
      <c r="N6" s="1489"/>
      <c r="O6" s="1489"/>
      <c r="P6" s="1489"/>
      <c r="Q6" s="1489"/>
      <c r="R6" s="1489"/>
      <c r="S6" s="1489"/>
    </row>
    <row r="7" spans="1:22">
      <c r="A7" s="2600">
        <f>'数据-取费表'!AN7</f>
        <v>0</v>
      </c>
      <c r="B7" s="2598" t="e">
        <f ca="1">IF(F7="是",'数据-取费表'!AO7,0)</f>
        <v>#REF!</v>
      </c>
      <c r="C7" s="1872" t="s">
        <v>1651</v>
      </c>
      <c r="D7" s="2705"/>
      <c r="E7" s="2602">
        <f>IF(OR(A7=0,F7="否"),0,'数据-取费表'!K7+'数据-取费表'!S7)</f>
        <v>0</v>
      </c>
      <c r="F7" s="1876" t="s">
        <v>1657</v>
      </c>
      <c r="G7" s="1489"/>
      <c r="H7" s="1489"/>
      <c r="I7" s="1489"/>
      <c r="J7" s="1489"/>
      <c r="K7" s="1489"/>
      <c r="L7" s="1489"/>
      <c r="M7" s="1489"/>
      <c r="N7" s="1489"/>
      <c r="O7" s="1489"/>
      <c r="P7" s="1489"/>
      <c r="Q7" s="1489"/>
      <c r="R7" s="1489"/>
      <c r="S7" s="1489"/>
    </row>
    <row r="8" spans="1:22">
      <c r="A8" s="2600">
        <f>'数据-取费表'!AN8</f>
        <v>0</v>
      </c>
      <c r="B8" s="2598" t="e">
        <f ca="1">IF(F8="是",'数据-取费表'!AO8,0)</f>
        <v>#REF!</v>
      </c>
      <c r="C8" s="1872" t="s">
        <v>1651</v>
      </c>
      <c r="D8" s="2705"/>
      <c r="E8" s="2602">
        <f>IF(OR(A8=0,F8="否"),0,'数据-取费表'!K8+'数据-取费表'!S8)</f>
        <v>0</v>
      </c>
      <c r="F8" s="1876" t="s">
        <v>1657</v>
      </c>
      <c r="G8" s="1489"/>
      <c r="H8" s="1489"/>
      <c r="I8" s="1489"/>
      <c r="J8" s="1489"/>
      <c r="K8" s="1489"/>
      <c r="L8" s="1489"/>
      <c r="M8" s="1489"/>
      <c r="N8" s="1489"/>
      <c r="O8" s="1489"/>
      <c r="P8" s="1489"/>
      <c r="Q8" s="1489"/>
      <c r="R8" s="1489"/>
      <c r="S8" s="1489"/>
    </row>
    <row r="9" spans="1:22">
      <c r="A9" s="2600">
        <f>'数据-取费表'!AN9</f>
        <v>0</v>
      </c>
      <c r="B9" s="2598" t="e">
        <f ca="1">IF(F9="是",'数据-取费表'!AO9,0)</f>
        <v>#REF!</v>
      </c>
      <c r="C9" s="1872" t="s">
        <v>1651</v>
      </c>
      <c r="D9" s="2705"/>
      <c r="E9" s="2602">
        <f>IF(OR(A9=0,F9="否"),0,'数据-取费表'!K9+'数据-取费表'!S9)</f>
        <v>0</v>
      </c>
      <c r="F9" s="1876" t="s">
        <v>1657</v>
      </c>
      <c r="G9" s="1489"/>
      <c r="H9" s="1489"/>
      <c r="I9" s="1489"/>
      <c r="J9" s="1489"/>
      <c r="K9" s="1489"/>
      <c r="L9" s="1489"/>
      <c r="M9" s="1489"/>
      <c r="N9" s="1489"/>
      <c r="O9" s="1489"/>
      <c r="P9" s="1489"/>
      <c r="Q9" s="1489"/>
      <c r="R9" s="1489"/>
      <c r="S9" s="1489"/>
    </row>
    <row r="10" spans="1:22">
      <c r="A10" s="2600">
        <f>'数据-取费表'!AN10</f>
        <v>0</v>
      </c>
      <c r="B10" s="2598" t="e">
        <f ca="1">IF(F10="是",'数据-取费表'!AO10,0)</f>
        <v>#REF!</v>
      </c>
      <c r="C10" s="1872" t="s">
        <v>1651</v>
      </c>
      <c r="D10" s="2705"/>
      <c r="E10" s="2602">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0">
        <f>'数据-取费表'!AN11</f>
        <v>0</v>
      </c>
      <c r="B11" s="2598" t="e">
        <f ca="1">IF(F11="是",'数据-取费表'!AO11,0)</f>
        <v>#REF!</v>
      </c>
      <c r="C11" s="1872" t="s">
        <v>1651</v>
      </c>
      <c r="D11" s="2705"/>
      <c r="E11" s="2602">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0">
        <f>'数据-取费表'!AN12</f>
        <v>0</v>
      </c>
      <c r="B12" s="2598" t="e">
        <f ca="1">IF(F12="是",'数据-取费表'!AO12,0)</f>
        <v>#REF!</v>
      </c>
      <c r="C12" s="1872" t="s">
        <v>1651</v>
      </c>
      <c r="D12" s="2705"/>
      <c r="E12" s="2602">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1">
        <f>'数据-取费表'!AN13</f>
        <v>0</v>
      </c>
      <c r="B13" s="2598" t="e">
        <f ca="1">IF(F13="是",'数据-取费表'!AO13,0)</f>
        <v>#REF!</v>
      </c>
      <c r="C13" s="1877" t="s">
        <v>1651</v>
      </c>
      <c r="D13" s="2706"/>
      <c r="E13" s="2602">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B21" zoomScale="80" zoomScaleNormal="60" zoomScaleSheetLayoutView="80" workbookViewId="0">
      <selection activeCell="D59" sqref="D59:Q5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3382</v>
      </c>
      <c r="E1" s="3422" t="s">
        <v>3405</v>
      </c>
      <c r="F1" s="1879" t="s">
        <v>3375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3">
        <f>IF(E1="项目模式",IF(C2="——",ROUND(C49*D3/10000,0),ROUND(C49*D3/10000,0)-D2),IF(E1="单套模式",IF(C2="——",ROUND(C49*D3/10000,4),ROUND(C49*D3/10000,4)-D2)))</f>
        <v>250.08009999999999</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9"/>
      <c r="M2" s="2710"/>
      <c r="N2" s="2710"/>
      <c r="O2" s="271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27762</v>
      </c>
      <c r="C3" s="354" t="s">
        <v>1665</v>
      </c>
      <c r="D3" s="353">
        <f>IF(D1="",'数据-汇总表'!E3,SUMIF('数据-汇总表'!$C19:$C33,D1,'数据-汇总表'!$E19:$E33))</f>
        <v>90.08</v>
      </c>
      <c r="E3" s="907"/>
      <c r="F3" s="1888"/>
      <c r="G3" s="907"/>
      <c r="H3" s="907"/>
      <c r="I3" s="907"/>
      <c r="J3" s="907"/>
      <c r="K3" s="1884"/>
      <c r="L3" s="2709"/>
      <c r="M3" s="2710"/>
      <c r="N3" s="2710"/>
      <c r="O3" s="2710"/>
      <c r="P3" s="1885"/>
      <c r="Q3" s="1886"/>
      <c r="R3" s="1886"/>
      <c r="S3" s="1886"/>
      <c r="T3" s="1886"/>
      <c r="U3" s="1886"/>
      <c r="V3" s="1886"/>
      <c r="W3" s="1886"/>
      <c r="X3" s="1886"/>
      <c r="Y3" s="1886"/>
      <c r="Z3" s="1886"/>
      <c r="AA3" s="1886"/>
      <c r="AB3" s="1886"/>
      <c r="AC3" s="1061"/>
    </row>
    <row r="4" spans="1:29" ht="15">
      <c r="A4" s="355" t="s">
        <v>1666</v>
      </c>
      <c r="B4" s="356"/>
      <c r="C4" s="3700" t="s">
        <v>1667</v>
      </c>
      <c r="D4" s="3701"/>
      <c r="E4" s="3702" t="s">
        <v>1668</v>
      </c>
      <c r="F4" s="3703"/>
      <c r="G4" s="3700" t="s">
        <v>1669</v>
      </c>
      <c r="H4" s="3701"/>
      <c r="I4" s="3700" t="s">
        <v>1670</v>
      </c>
      <c r="J4" s="3701"/>
      <c r="K4" s="1889" t="s">
        <v>1671</v>
      </c>
      <c r="L4" s="2711"/>
      <c r="M4" s="2712"/>
      <c r="N4" s="2712"/>
      <c r="O4" s="2712"/>
      <c r="P4" s="3704" t="s">
        <v>1672</v>
      </c>
      <c r="Q4" s="3705"/>
      <c r="R4" s="3686" t="s">
        <v>1668</v>
      </c>
      <c r="S4" s="3687"/>
      <c r="T4" s="3686" t="s">
        <v>1669</v>
      </c>
      <c r="U4" s="3687"/>
      <c r="V4" s="3712" t="s">
        <v>1670</v>
      </c>
      <c r="W4" s="3712"/>
      <c r="X4" s="1355"/>
      <c r="Y4" s="3686" t="s">
        <v>1672</v>
      </c>
      <c r="Z4" s="3687"/>
      <c r="AA4" s="3681" t="s">
        <v>1668</v>
      </c>
      <c r="AB4" s="3681" t="s">
        <v>1669</v>
      </c>
      <c r="AC4" s="3681" t="s">
        <v>1670</v>
      </c>
    </row>
    <row r="5" spans="1:29" ht="15">
      <c r="A5" s="358"/>
      <c r="B5" s="359"/>
      <c r="C5" s="3692" t="s">
        <v>3406</v>
      </c>
      <c r="D5" s="3693"/>
      <c r="E5" s="3690" t="str">
        <f>C5</f>
        <v>西潞东里</v>
      </c>
      <c r="F5" s="3691"/>
      <c r="G5" s="3696" t="str">
        <f>E5</f>
        <v>西潞东里</v>
      </c>
      <c r="H5" s="3693"/>
      <c r="I5" s="3696" t="str">
        <f>G5</f>
        <v>西潞东里</v>
      </c>
      <c r="J5" s="3693"/>
      <c r="K5" s="1890"/>
      <c r="L5" s="2711"/>
      <c r="M5" s="2712"/>
      <c r="N5" s="2712"/>
      <c r="O5" s="2712"/>
      <c r="P5" s="3706"/>
      <c r="Q5" s="3707"/>
      <c r="R5" s="3688"/>
      <c r="S5" s="3689"/>
      <c r="T5" s="3688"/>
      <c r="U5" s="3689"/>
      <c r="V5" s="3712"/>
      <c r="W5" s="3712"/>
      <c r="X5" s="1355"/>
      <c r="Y5" s="3688"/>
      <c r="Z5" s="3689"/>
      <c r="AA5" s="3682"/>
      <c r="AB5" s="3682"/>
      <c r="AC5" s="3682"/>
    </row>
    <row r="6" spans="1:29" ht="15.75" thickBot="1">
      <c r="A6" s="360"/>
      <c r="B6" s="361"/>
      <c r="C6" s="3694" t="s">
        <v>1677</v>
      </c>
      <c r="D6" s="3695"/>
      <c r="E6" s="3697" t="s">
        <v>1677</v>
      </c>
      <c r="F6" s="3698"/>
      <c r="G6" s="3694" t="s">
        <v>1677</v>
      </c>
      <c r="H6" s="3695"/>
      <c r="I6" s="3694" t="s">
        <v>1677</v>
      </c>
      <c r="J6" s="3695"/>
      <c r="K6" s="1890" t="s">
        <v>1678</v>
      </c>
      <c r="L6" s="2711"/>
      <c r="M6" s="2712"/>
      <c r="N6" s="2712"/>
      <c r="O6" s="2712"/>
      <c r="P6" s="3708"/>
      <c r="Q6" s="3709"/>
      <c r="R6" s="3688"/>
      <c r="S6" s="3689"/>
      <c r="T6" s="3710"/>
      <c r="U6" s="3711"/>
      <c r="V6" s="3712"/>
      <c r="W6" s="3712"/>
      <c r="X6" s="1355"/>
      <c r="Y6" s="3710"/>
      <c r="Z6" s="3711"/>
      <c r="AA6" s="3683"/>
      <c r="AB6" s="3683"/>
      <c r="AC6" s="3683"/>
    </row>
    <row r="7" spans="1:29" s="108" customFormat="1" ht="15.75" thickBot="1">
      <c r="A7" s="362" t="s">
        <v>1679</v>
      </c>
      <c r="B7" s="363"/>
      <c r="C7" s="364">
        <f>'数据-取费表'!B2</f>
        <v>45189</v>
      </c>
      <c r="D7" s="365">
        <v>100</v>
      </c>
      <c r="E7" s="366">
        <v>44958</v>
      </c>
      <c r="F7" s="367">
        <f>SUMIF(58:58,YEAR(E7)&amp;"-"&amp;MONTH(E7),59:59)</f>
        <v>99.30000000000004</v>
      </c>
      <c r="G7" s="366">
        <v>44826</v>
      </c>
      <c r="H7" s="365">
        <f>SUMIF(58:58,YEAR(G7)&amp;"-"&amp;MONTH(G7),59:59)</f>
        <v>98.800000000000068</v>
      </c>
      <c r="I7" s="366">
        <v>44771</v>
      </c>
      <c r="J7" s="365">
        <f>SUMIF(58:58,YEAR(I7)&amp;"-"&amp;MONTH(I7),59:59)</f>
        <v>98.60000000000008</v>
      </c>
      <c r="K7" s="1891"/>
      <c r="L7" s="2713"/>
      <c r="M7" s="2714"/>
      <c r="N7" s="2714"/>
      <c r="O7" s="2714"/>
      <c r="P7" s="3684" t="s">
        <v>1680</v>
      </c>
      <c r="Q7" s="3713"/>
      <c r="R7" s="701" t="s">
        <v>20</v>
      </c>
      <c r="S7" s="702">
        <f t="shared" ref="S7:S15" si="0">F7</f>
        <v>99.30000000000004</v>
      </c>
      <c r="T7" s="701" t="s">
        <v>20</v>
      </c>
      <c r="U7" s="702">
        <f t="shared" ref="U7:U15" si="1">H7</f>
        <v>98.800000000000068</v>
      </c>
      <c r="V7" s="701" t="s">
        <v>20</v>
      </c>
      <c r="W7" s="702">
        <f t="shared" ref="W7:W15" si="2">J7</f>
        <v>98.60000000000008</v>
      </c>
      <c r="X7" s="703"/>
      <c r="Y7" s="3684" t="s">
        <v>1680</v>
      </c>
      <c r="Z7" s="3685"/>
      <c r="AA7" s="704">
        <f>D7/F7</f>
        <v>1.007049345417925</v>
      </c>
      <c r="AB7" s="704">
        <f>D7/H7</f>
        <v>1.0121457489878536</v>
      </c>
      <c r="AC7" s="704">
        <f>D7/J7</f>
        <v>1.0141987829614596</v>
      </c>
    </row>
    <row r="8" spans="1:29" s="108" customFormat="1" ht="15.75" thickBot="1">
      <c r="A8" s="362" t="s">
        <v>1681</v>
      </c>
      <c r="B8" s="363"/>
      <c r="C8" s="368" t="s">
        <v>3409</v>
      </c>
      <c r="D8" s="365">
        <v>100</v>
      </c>
      <c r="E8" s="368" t="s">
        <v>3409</v>
      </c>
      <c r="F8" s="367">
        <f>SUMIF(61:61,E8,62:62)-SUMIF(61:61,C8,62:62)+100</f>
        <v>100</v>
      </c>
      <c r="G8" s="368" t="s">
        <v>3409</v>
      </c>
      <c r="H8" s="365">
        <f>SUMIF(61:61,G8,62:62)-SUMIF(61:61,C8,62:62)+100</f>
        <v>100</v>
      </c>
      <c r="I8" s="368" t="s">
        <v>3409</v>
      </c>
      <c r="J8" s="365">
        <f>SUMIF(61:61,I8,62:62)-SUMIF(61:61,C8,62:62)+100</f>
        <v>100</v>
      </c>
      <c r="K8" s="1891"/>
      <c r="L8" s="2713"/>
      <c r="M8" s="2714"/>
      <c r="N8" s="2714"/>
      <c r="O8" s="2714"/>
      <c r="P8" s="3684" t="s">
        <v>1683</v>
      </c>
      <c r="Q8" s="3685"/>
      <c r="R8" s="701" t="s">
        <v>20</v>
      </c>
      <c r="S8" s="702">
        <f t="shared" si="0"/>
        <v>100</v>
      </c>
      <c r="T8" s="701" t="s">
        <v>20</v>
      </c>
      <c r="U8" s="702">
        <f t="shared" si="1"/>
        <v>100</v>
      </c>
      <c r="V8" s="701" t="s">
        <v>20</v>
      </c>
      <c r="W8" s="702">
        <f t="shared" si="2"/>
        <v>100</v>
      </c>
      <c r="X8" s="703"/>
      <c r="Y8" s="3684" t="s">
        <v>1683</v>
      </c>
      <c r="Z8" s="368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3"/>
      <c r="M9" s="2714"/>
      <c r="N9" s="2714"/>
      <c r="O9" s="2714"/>
      <c r="P9" s="3699"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1"/>
      <c r="L10" s="2715"/>
      <c r="M10" s="2716"/>
      <c r="N10" s="2716"/>
      <c r="O10" s="2716"/>
      <c r="P10" s="3699"/>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7"/>
      <c r="M11" s="2712"/>
      <c r="N11" s="2712"/>
      <c r="O11" s="2712"/>
      <c r="P11" s="3699"/>
      <c r="Q11" s="1343" t="str">
        <f t="shared" si="6"/>
        <v>容积率</v>
      </c>
      <c r="R11" s="701" t="s">
        <v>18</v>
      </c>
      <c r="S11" s="702">
        <f t="shared" si="0"/>
        <v>100</v>
      </c>
      <c r="T11" s="701" t="s">
        <v>18</v>
      </c>
      <c r="U11" s="702">
        <f t="shared" si="1"/>
        <v>100</v>
      </c>
      <c r="V11" s="701" t="s">
        <v>18</v>
      </c>
      <c r="W11" s="702">
        <f t="shared" si="2"/>
        <v>100</v>
      </c>
      <c r="X11" s="703"/>
      <c r="Y11" s="3628"/>
      <c r="Z11" s="52" t="str">
        <f t="shared" si="7"/>
        <v>容积率</v>
      </c>
      <c r="AA11" s="704">
        <f t="shared" si="3"/>
        <v>1</v>
      </c>
      <c r="AB11" s="704">
        <f t="shared" si="4"/>
        <v>1</v>
      </c>
      <c r="AC11" s="704">
        <f t="shared" si="5"/>
        <v>1</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3"/>
      <c r="M12" s="2714"/>
      <c r="N12" s="2714"/>
      <c r="O12" s="2714"/>
      <c r="P12" s="3699"/>
      <c r="Q12" s="1343">
        <f t="shared" si="6"/>
        <v>111</v>
      </c>
      <c r="R12" s="701" t="s">
        <v>18</v>
      </c>
      <c r="S12" s="702">
        <f t="shared" si="0"/>
        <v>100</v>
      </c>
      <c r="T12" s="701" t="s">
        <v>18</v>
      </c>
      <c r="U12" s="702">
        <f t="shared" si="1"/>
        <v>100</v>
      </c>
      <c r="V12" s="701" t="s">
        <v>18</v>
      </c>
      <c r="W12" s="702">
        <f t="shared" si="2"/>
        <v>100</v>
      </c>
      <c r="X12" s="703"/>
      <c r="Y12" s="362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8"/>
      <c r="M13" s="2712"/>
      <c r="N13" s="2712"/>
      <c r="O13" s="2712"/>
      <c r="P13" s="3699"/>
      <c r="Q13" s="1343">
        <f t="shared" si="6"/>
        <v>111</v>
      </c>
      <c r="R13" s="701" t="s">
        <v>18</v>
      </c>
      <c r="S13" s="702">
        <f t="shared" si="0"/>
        <v>100</v>
      </c>
      <c r="T13" s="701" t="s">
        <v>18</v>
      </c>
      <c r="U13" s="702">
        <f t="shared" si="1"/>
        <v>100</v>
      </c>
      <c r="V13" s="701" t="s">
        <v>18</v>
      </c>
      <c r="W13" s="702">
        <f t="shared" si="2"/>
        <v>100</v>
      </c>
      <c r="X13" s="703"/>
      <c r="Y13" s="3628"/>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8"/>
      <c r="M14" s="2712"/>
      <c r="N14" s="2712"/>
      <c r="O14" s="2712"/>
      <c r="P14" s="3699"/>
      <c r="Q14" s="1343">
        <f t="shared" si="6"/>
        <v>111</v>
      </c>
      <c r="R14" s="701" t="s">
        <v>18</v>
      </c>
      <c r="S14" s="702">
        <f t="shared" si="0"/>
        <v>100</v>
      </c>
      <c r="T14" s="701" t="s">
        <v>18</v>
      </c>
      <c r="U14" s="702">
        <f t="shared" si="1"/>
        <v>100</v>
      </c>
      <c r="V14" s="701" t="s">
        <v>18</v>
      </c>
      <c r="W14" s="702">
        <f t="shared" si="2"/>
        <v>100</v>
      </c>
      <c r="X14" s="703"/>
      <c r="Y14" s="3628"/>
      <c r="Z14" s="52">
        <f t="shared" si="7"/>
        <v>111</v>
      </c>
      <c r="AA14" s="704">
        <f t="shared" si="3"/>
        <v>1</v>
      </c>
      <c r="AB14" s="704">
        <f t="shared" si="4"/>
        <v>1</v>
      </c>
      <c r="AC14" s="704">
        <f t="shared" si="5"/>
        <v>1</v>
      </c>
    </row>
    <row r="15" spans="1:29" ht="71.25">
      <c r="A15" s="391" t="s">
        <v>1690</v>
      </c>
      <c r="B15" s="61" t="s">
        <v>1257</v>
      </c>
      <c r="C15" s="1895" t="str">
        <f>估价对象房地状况!C3</f>
        <v>周边有西潞园小区、北潞园小区、拱辰星园等住宅项目，住宅社区成熟度一般。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26" t="s">
        <v>1691</v>
      </c>
      <c r="Q15" s="1352" t="str">
        <f t="shared" si="6"/>
        <v>居住社区成熟度</v>
      </c>
      <c r="R15" s="705" t="s">
        <v>18</v>
      </c>
      <c r="S15" s="706">
        <f t="shared" si="0"/>
        <v>100</v>
      </c>
      <c r="T15" s="705" t="s">
        <v>18</v>
      </c>
      <c r="U15" s="706">
        <f t="shared" si="1"/>
        <v>100</v>
      </c>
      <c r="V15" s="705" t="s">
        <v>18</v>
      </c>
      <c r="W15" s="706">
        <f t="shared" si="2"/>
        <v>100</v>
      </c>
      <c r="X15" s="1355"/>
      <c r="Y15" s="3719" t="s">
        <v>1691</v>
      </c>
      <c r="Z15" s="1356" t="str">
        <f t="shared" si="7"/>
        <v>居住社区成熟度</v>
      </c>
      <c r="AA15" s="1353">
        <f t="shared" si="3"/>
        <v>1</v>
      </c>
      <c r="AB15" s="1353">
        <f t="shared" si="4"/>
        <v>1</v>
      </c>
      <c r="AC15" s="1353">
        <f t="shared" si="5"/>
        <v>1</v>
      </c>
    </row>
    <row r="16" spans="1:29" ht="15">
      <c r="A16" s="379"/>
      <c r="B16" s="397"/>
      <c r="C16" s="398"/>
      <c r="D16" s="399"/>
      <c r="E16" s="1896"/>
      <c r="F16" s="399"/>
      <c r="G16" s="1897"/>
      <c r="H16" s="401"/>
      <c r="I16" s="1897"/>
      <c r="J16" s="399"/>
      <c r="K16" s="1898"/>
      <c r="L16" s="2718"/>
      <c r="M16" s="2712"/>
      <c r="N16" s="2712"/>
      <c r="O16" s="2712"/>
      <c r="P16" s="3727"/>
      <c r="Q16" s="1352"/>
      <c r="R16" s="705"/>
      <c r="S16" s="706"/>
      <c r="T16" s="705"/>
      <c r="U16" s="706"/>
      <c r="V16" s="705"/>
      <c r="W16" s="706"/>
      <c r="X16" s="1355"/>
      <c r="Y16" s="3720"/>
      <c r="Z16" s="1356"/>
      <c r="AA16" s="1353">
        <v>1</v>
      </c>
      <c r="AB16" s="1353">
        <v>1</v>
      </c>
      <c r="AC16" s="1353">
        <v>1</v>
      </c>
    </row>
    <row r="17" spans="1:29" ht="99.75">
      <c r="A17" s="379"/>
      <c r="B17" s="402" t="s">
        <v>1259</v>
      </c>
      <c r="C17" s="1899" t="str">
        <f>估价对象房地状况!C6</f>
        <v>周边有F2、F13、F36、F41、616、833路等多条公交线路经过并设站，距离地铁房山线良乡南关约2公里，交通较便捷。</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27"/>
      <c r="Q17" s="1352" t="str">
        <f>B17</f>
        <v>交通便捷度</v>
      </c>
      <c r="R17" s="705" t="s">
        <v>18</v>
      </c>
      <c r="S17" s="706">
        <f>F17</f>
        <v>100</v>
      </c>
      <c r="T17" s="705" t="s">
        <v>18</v>
      </c>
      <c r="U17" s="706">
        <f>H17</f>
        <v>100</v>
      </c>
      <c r="V17" s="705" t="s">
        <v>18</v>
      </c>
      <c r="W17" s="706">
        <f>J17</f>
        <v>100</v>
      </c>
      <c r="X17" s="1355"/>
      <c r="Y17" s="3720"/>
      <c r="Z17" s="1356" t="str">
        <f>Q17</f>
        <v>交通便捷度</v>
      </c>
      <c r="AA17" s="1353">
        <f t="shared" si="3"/>
        <v>1</v>
      </c>
      <c r="AB17" s="1353">
        <f t="shared" si="4"/>
        <v>1</v>
      </c>
      <c r="AC17" s="1353">
        <f t="shared" si="5"/>
        <v>1</v>
      </c>
    </row>
    <row r="18" spans="1:29" ht="15">
      <c r="A18" s="379"/>
      <c r="B18" s="407"/>
      <c r="C18" s="1900"/>
      <c r="D18" s="401"/>
      <c r="E18" s="1901"/>
      <c r="F18" s="401"/>
      <c r="G18" s="1902"/>
      <c r="H18" s="399"/>
      <c r="I18" s="1902"/>
      <c r="J18" s="399"/>
      <c r="K18" s="1898"/>
      <c r="L18" s="2718"/>
      <c r="M18" s="2712"/>
      <c r="N18" s="2712"/>
      <c r="O18" s="2712"/>
      <c r="P18" s="3727"/>
      <c r="Q18" s="1352"/>
      <c r="R18" s="705"/>
      <c r="S18" s="706"/>
      <c r="T18" s="705"/>
      <c r="U18" s="706"/>
      <c r="V18" s="705"/>
      <c r="W18" s="706"/>
      <c r="X18" s="1355"/>
      <c r="Y18" s="3720"/>
      <c r="Z18" s="1356"/>
      <c r="AA18" s="1353">
        <v>1</v>
      </c>
      <c r="AB18" s="1353">
        <v>1</v>
      </c>
      <c r="AC18" s="1353">
        <v>1</v>
      </c>
    </row>
    <row r="19" spans="1:29" ht="228">
      <c r="A19" s="379"/>
      <c r="B19" s="402" t="s">
        <v>1258</v>
      </c>
      <c r="C19" s="1899" t="str">
        <f>估价对象房地状况!C7</f>
        <v>周边有华冠购物中心、龙湖房山天街、永辉超市等商业项目；有中国建设银行、中国工商银行、北京农商银行等金融机构；有房山区妇幼保健院、北京仁德医院、良乡医院等医疗机构，有良乡第二中学、良乡第三小学、北师大良乡附中、良乡幼儿园等教育机构；公共配套设施齐备度较好</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27"/>
      <c r="Q19" s="1352" t="str">
        <f>B19</f>
        <v>公共配套设施</v>
      </c>
      <c r="R19" s="705" t="s">
        <v>18</v>
      </c>
      <c r="S19" s="706">
        <f>F19</f>
        <v>100</v>
      </c>
      <c r="T19" s="705" t="s">
        <v>18</v>
      </c>
      <c r="U19" s="706">
        <f>H19</f>
        <v>100</v>
      </c>
      <c r="V19" s="705" t="s">
        <v>18</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6"/>
      <c r="F20" s="399"/>
      <c r="G20" s="1897"/>
      <c r="H20" s="399"/>
      <c r="I20" s="1897"/>
      <c r="J20" s="399"/>
      <c r="K20" s="1898"/>
      <c r="L20" s="2718"/>
      <c r="M20" s="2712"/>
      <c r="N20" s="2712"/>
      <c r="O20" s="2712"/>
      <c r="P20" s="3727"/>
      <c r="Q20" s="1352"/>
      <c r="R20" s="705"/>
      <c r="S20" s="706"/>
      <c r="T20" s="705"/>
      <c r="U20" s="706"/>
      <c r="V20" s="705"/>
      <c r="W20" s="706"/>
      <c r="X20" s="1355"/>
      <c r="Y20" s="3720"/>
      <c r="Z20" s="1356"/>
      <c r="AA20" s="1353">
        <v>1</v>
      </c>
      <c r="AB20" s="1353">
        <v>1</v>
      </c>
      <c r="AC20" s="1353">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27"/>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399"/>
      <c r="G22" s="1903"/>
      <c r="H22" s="399"/>
      <c r="I22" s="398"/>
      <c r="J22" s="399"/>
      <c r="K22" s="1904"/>
      <c r="L22" s="2718"/>
      <c r="M22" s="2712"/>
      <c r="N22" s="2712"/>
      <c r="O22" s="2712"/>
      <c r="P22" s="3727"/>
      <c r="Q22" s="1352"/>
      <c r="R22" s="705"/>
      <c r="S22" s="706"/>
      <c r="T22" s="705"/>
      <c r="U22" s="706"/>
      <c r="V22" s="705"/>
      <c r="W22" s="706"/>
      <c r="X22" s="1355"/>
      <c r="Y22" s="3720"/>
      <c r="Z22" s="1356"/>
      <c r="AA22" s="1353">
        <v>1</v>
      </c>
      <c r="AB22" s="1353">
        <v>1</v>
      </c>
      <c r="AC22" s="1353">
        <v>1</v>
      </c>
    </row>
    <row r="23" spans="1:29" ht="85.5">
      <c r="A23" s="379"/>
      <c r="B23" s="402" t="s">
        <v>1261</v>
      </c>
      <c r="C23" s="1899" t="str">
        <f>估价对象房地状况!C9</f>
        <v>估价对象周边有刺猬河、北潞园健身公园、房山区良乡体育中心等自然人文景观，总体自然人文环境较好。</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27"/>
      <c r="Q23" s="1352" t="str">
        <f>B23</f>
        <v>自然及人文环境</v>
      </c>
      <c r="R23" s="705" t="s">
        <v>18</v>
      </c>
      <c r="S23" s="706">
        <f>F23</f>
        <v>100</v>
      </c>
      <c r="T23" s="705" t="s">
        <v>18</v>
      </c>
      <c r="U23" s="706">
        <f>H23</f>
        <v>100</v>
      </c>
      <c r="V23" s="705" t="s">
        <v>18</v>
      </c>
      <c r="W23" s="706">
        <f>J23</f>
        <v>100</v>
      </c>
      <c r="X23" s="1355"/>
      <c r="Y23" s="3720"/>
      <c r="Z23" s="1356" t="str">
        <f>Q23</f>
        <v>自然及人文环境</v>
      </c>
      <c r="AA23" s="1353">
        <f>D23/F23</f>
        <v>1</v>
      </c>
      <c r="AB23" s="1353">
        <f>D23/H23</f>
        <v>1</v>
      </c>
      <c r="AC23" s="1353">
        <f>D23/J23</f>
        <v>1</v>
      </c>
    </row>
    <row r="24" spans="1:29" ht="15">
      <c r="A24" s="379"/>
      <c r="B24" s="407"/>
      <c r="C24" s="398"/>
      <c r="D24" s="399"/>
      <c r="E24" s="1896"/>
      <c r="F24" s="399"/>
      <c r="G24" s="1897"/>
      <c r="H24" s="399"/>
      <c r="I24" s="1897"/>
      <c r="J24" s="399"/>
      <c r="K24" s="1898"/>
      <c r="L24" s="2718"/>
      <c r="M24" s="2712"/>
      <c r="N24" s="2712"/>
      <c r="O24" s="2712"/>
      <c r="P24" s="3727"/>
      <c r="Q24" s="1352"/>
      <c r="R24" s="705"/>
      <c r="S24" s="706"/>
      <c r="T24" s="705"/>
      <c r="U24" s="706"/>
      <c r="V24" s="705"/>
      <c r="W24" s="706"/>
      <c r="X24" s="1355"/>
      <c r="Y24" s="3720"/>
      <c r="Z24" s="1356"/>
      <c r="AA24" s="1353">
        <v>1</v>
      </c>
      <c r="AB24" s="1353">
        <v>1</v>
      </c>
      <c r="AC24" s="1353">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8"/>
      <c r="M25" s="2712"/>
      <c r="N25" s="2712"/>
      <c r="O25" s="2712"/>
      <c r="P25" s="372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0"/>
      <c r="Z25" s="1356" t="str">
        <f>Q25</f>
        <v>楼层-1</v>
      </c>
      <c r="AA25" s="1353">
        <f t="shared" ref="AA25:AA46" si="15">D25/F25</f>
        <v>1</v>
      </c>
      <c r="AB25" s="1353">
        <f t="shared" ref="AB25:AB46" si="16">D25/H25</f>
        <v>1</v>
      </c>
      <c r="AC25" s="1353">
        <f t="shared" ref="AC25:AC46" si="17">D25/J25</f>
        <v>1</v>
      </c>
    </row>
    <row r="26" spans="1:29" ht="15">
      <c r="A26" s="379"/>
      <c r="B26" s="375" t="s">
        <v>1693</v>
      </c>
      <c r="C26" s="411" t="s">
        <v>3417</v>
      </c>
      <c r="D26" s="386">
        <v>100</v>
      </c>
      <c r="E26" s="411" t="s">
        <v>3417</v>
      </c>
      <c r="F26" s="386">
        <f>SUMIF(88:88,E26,89:89)-SUMIF(88:88,C26,89:89)+100</f>
        <v>100</v>
      </c>
      <c r="G26" s="411" t="s">
        <v>3417</v>
      </c>
      <c r="H26" s="386">
        <f>SUMIF(88:88,G26,89:89)-SUMIF(88:88,C26,89:89)+100</f>
        <v>100</v>
      </c>
      <c r="I26" s="411" t="s">
        <v>3417</v>
      </c>
      <c r="J26" s="386">
        <f>SUMIF(88:88,I26,89:89)-SUMIF(88:88,C26,89:89)+100</f>
        <v>100</v>
      </c>
      <c r="K26" s="377"/>
      <c r="L26" s="2718"/>
      <c r="M26" s="2712"/>
      <c r="N26" s="2712"/>
      <c r="O26" s="2712"/>
      <c r="P26" s="3727"/>
      <c r="Q26" s="1352" t="str">
        <f t="shared" si="11"/>
        <v>朝向</v>
      </c>
      <c r="R26" s="705" t="s">
        <v>18</v>
      </c>
      <c r="S26" s="706">
        <f t="shared" si="12"/>
        <v>100</v>
      </c>
      <c r="T26" s="705" t="s">
        <v>18</v>
      </c>
      <c r="U26" s="706">
        <f t="shared" si="13"/>
        <v>100</v>
      </c>
      <c r="V26" s="705" t="s">
        <v>18</v>
      </c>
      <c r="W26" s="706">
        <f t="shared" si="14"/>
        <v>100</v>
      </c>
      <c r="X26" s="1355"/>
      <c r="Y26" s="3720"/>
      <c r="Z26" s="1356" t="str">
        <f>Q26</f>
        <v>朝向</v>
      </c>
      <c r="AA26" s="1353">
        <f t="shared" si="15"/>
        <v>1</v>
      </c>
      <c r="AB26" s="1353">
        <f t="shared" si="16"/>
        <v>1</v>
      </c>
      <c r="AC26" s="1353">
        <f t="shared" si="17"/>
        <v>1</v>
      </c>
    </row>
    <row r="27" spans="1:29" s="108" customFormat="1" ht="15">
      <c r="A27" s="382"/>
      <c r="B27" s="3452" t="s">
        <v>3416</v>
      </c>
      <c r="C27" s="416" t="s">
        <v>3376</v>
      </c>
      <c r="D27" s="413">
        <v>100</v>
      </c>
      <c r="E27" s="416" t="s">
        <v>3377</v>
      </c>
      <c r="F27" s="413">
        <f>SUMIF(90:90,E27,91:91)-SUMIF(90:90,C27,91:91)+100</f>
        <v>98</v>
      </c>
      <c r="G27" s="416" t="s">
        <v>3378</v>
      </c>
      <c r="H27" s="413">
        <f>SUMIF(90:90,G27,91:91)-SUMIF(90:90,C27,91:91)+100</f>
        <v>98</v>
      </c>
      <c r="I27" s="416" t="s">
        <v>3379</v>
      </c>
      <c r="J27" s="413">
        <f>SUMIF(90:90,I27,91:91)-SUMIF(90:90,C27,91:91)+100</f>
        <v>100</v>
      </c>
      <c r="K27" s="1893"/>
      <c r="L27" s="2713"/>
      <c r="M27" s="2714"/>
      <c r="N27" s="2714"/>
      <c r="O27" s="2714"/>
      <c r="P27" s="3727"/>
      <c r="Q27" s="1343" t="str">
        <f t="shared" si="11"/>
        <v>楼层</v>
      </c>
      <c r="R27" s="701" t="s">
        <v>18</v>
      </c>
      <c r="S27" s="702">
        <f t="shared" si="12"/>
        <v>98</v>
      </c>
      <c r="T27" s="701" t="s">
        <v>18</v>
      </c>
      <c r="U27" s="702">
        <f t="shared" si="13"/>
        <v>98</v>
      </c>
      <c r="V27" s="701" t="s">
        <v>18</v>
      </c>
      <c r="W27" s="702">
        <f t="shared" si="14"/>
        <v>100</v>
      </c>
      <c r="X27" s="703"/>
      <c r="Y27" s="3720"/>
      <c r="Z27" s="52" t="str">
        <f>Q27</f>
        <v>楼层</v>
      </c>
      <c r="AA27" s="1353">
        <f t="shared" si="15"/>
        <v>1.0204081632653061</v>
      </c>
      <c r="AB27" s="1353">
        <f t="shared" si="16"/>
        <v>1.0204081632653061</v>
      </c>
      <c r="AC27" s="1353">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18"/>
      <c r="M28" s="2712"/>
      <c r="N28" s="2712"/>
      <c r="O28" s="2712"/>
      <c r="P28" s="3727"/>
      <c r="Q28" s="1352">
        <f t="shared" si="11"/>
        <v>111</v>
      </c>
      <c r="R28" s="705" t="s">
        <v>18</v>
      </c>
      <c r="S28" s="706">
        <f t="shared" si="12"/>
        <v>100</v>
      </c>
      <c r="T28" s="705" t="s">
        <v>18</v>
      </c>
      <c r="U28" s="706">
        <f t="shared" si="13"/>
        <v>100</v>
      </c>
      <c r="V28" s="705" t="s">
        <v>18</v>
      </c>
      <c r="W28" s="706">
        <f t="shared" si="14"/>
        <v>100</v>
      </c>
      <c r="X28" s="1355"/>
      <c r="Y28" s="372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8"/>
      <c r="M29" s="2712"/>
      <c r="N29" s="2712"/>
      <c r="O29" s="2712"/>
      <c r="P29" s="3727"/>
      <c r="Q29" s="1352">
        <f t="shared" si="11"/>
        <v>111</v>
      </c>
      <c r="R29" s="705" t="s">
        <v>18</v>
      </c>
      <c r="S29" s="706">
        <f t="shared" si="12"/>
        <v>100</v>
      </c>
      <c r="T29" s="705" t="s">
        <v>18</v>
      </c>
      <c r="U29" s="706">
        <f t="shared" si="13"/>
        <v>100</v>
      </c>
      <c r="V29" s="705" t="s">
        <v>18</v>
      </c>
      <c r="W29" s="706">
        <f t="shared" si="14"/>
        <v>100</v>
      </c>
      <c r="X29" s="1355"/>
      <c r="Y29" s="372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8"/>
      <c r="M30" s="2712"/>
      <c r="N30" s="2712"/>
      <c r="O30" s="2712"/>
      <c r="P30" s="3727"/>
      <c r="Q30" s="1352">
        <f t="shared" si="11"/>
        <v>111</v>
      </c>
      <c r="R30" s="705" t="s">
        <v>18</v>
      </c>
      <c r="S30" s="706">
        <f t="shared" si="12"/>
        <v>100</v>
      </c>
      <c r="T30" s="705" t="s">
        <v>18</v>
      </c>
      <c r="U30" s="706">
        <f t="shared" si="13"/>
        <v>100</v>
      </c>
      <c r="V30" s="705" t="s">
        <v>18</v>
      </c>
      <c r="W30" s="706">
        <f t="shared" si="14"/>
        <v>100</v>
      </c>
      <c r="X30" s="1355"/>
      <c r="Y30" s="372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8"/>
      <c r="M31" s="2712"/>
      <c r="N31" s="2712"/>
      <c r="O31" s="2712"/>
      <c r="P31" s="3727"/>
      <c r="Q31" s="1352">
        <f t="shared" si="11"/>
        <v>111</v>
      </c>
      <c r="R31" s="705" t="s">
        <v>18</v>
      </c>
      <c r="S31" s="706">
        <f t="shared" si="12"/>
        <v>100</v>
      </c>
      <c r="T31" s="705" t="s">
        <v>18</v>
      </c>
      <c r="U31" s="706">
        <f t="shared" si="13"/>
        <v>100</v>
      </c>
      <c r="V31" s="705" t="s">
        <v>18</v>
      </c>
      <c r="W31" s="706">
        <f t="shared" si="14"/>
        <v>100</v>
      </c>
      <c r="X31" s="1355"/>
      <c r="Y31" s="3720"/>
      <c r="Z31" s="1356">
        <f t="shared" si="18"/>
        <v>111</v>
      </c>
      <c r="AA31" s="1353">
        <f t="shared" si="15"/>
        <v>1</v>
      </c>
      <c r="AB31" s="1353">
        <f t="shared" si="16"/>
        <v>1</v>
      </c>
      <c r="AC31" s="1353">
        <f t="shared" si="17"/>
        <v>1</v>
      </c>
    </row>
    <row r="32" spans="1:29" ht="15">
      <c r="A32" s="391" t="s">
        <v>1694</v>
      </c>
      <c r="B32" s="63" t="s">
        <v>1695</v>
      </c>
      <c r="C32" s="1909" t="s">
        <v>3410</v>
      </c>
      <c r="D32" s="418">
        <v>100</v>
      </c>
      <c r="E32" s="1909" t="s">
        <v>3410</v>
      </c>
      <c r="F32" s="412">
        <f>SUMIF(100:100,E32,101:101)-SUMIF(100:100,C32,101:101)+100</f>
        <v>100</v>
      </c>
      <c r="G32" s="1909" t="s">
        <v>3410</v>
      </c>
      <c r="H32" s="418">
        <f>SUMIF(100:100,G32,101:101)-SUMIF(100:100,C32,101:101)+100</f>
        <v>100</v>
      </c>
      <c r="I32" s="1909" t="s">
        <v>3410</v>
      </c>
      <c r="J32" s="386">
        <f>SUMIF(100:100,I32,101:101)-SUMIF(100:100,C32,101:101)+100</f>
        <v>100</v>
      </c>
      <c r="K32" s="377"/>
      <c r="L32" s="2718"/>
      <c r="M32" s="2712"/>
      <c r="N32" s="2712"/>
      <c r="O32" s="2712"/>
      <c r="P32" s="3721" t="s">
        <v>1696</v>
      </c>
      <c r="Q32" s="1352" t="str">
        <f t="shared" si="11"/>
        <v>建筑类型</v>
      </c>
      <c r="R32" s="705" t="s">
        <v>18</v>
      </c>
      <c r="S32" s="706">
        <f t="shared" si="12"/>
        <v>100</v>
      </c>
      <c r="T32" s="705" t="s">
        <v>18</v>
      </c>
      <c r="U32" s="706">
        <f t="shared" si="13"/>
        <v>100</v>
      </c>
      <c r="V32" s="705" t="s">
        <v>18</v>
      </c>
      <c r="W32" s="706">
        <f t="shared" si="14"/>
        <v>100</v>
      </c>
      <c r="X32" s="1355"/>
      <c r="Y32" s="3724" t="s">
        <v>1696</v>
      </c>
      <c r="Z32" s="1356" t="str">
        <f t="shared" si="18"/>
        <v>建筑类型</v>
      </c>
      <c r="AA32" s="1353">
        <f t="shared" si="15"/>
        <v>1</v>
      </c>
      <c r="AB32" s="1353">
        <f t="shared" si="16"/>
        <v>1</v>
      </c>
      <c r="AC32" s="1353">
        <f t="shared" si="17"/>
        <v>1</v>
      </c>
    </row>
    <row r="33" spans="1:29" s="422" customFormat="1" ht="15">
      <c r="A33" s="419"/>
      <c r="B33" s="375" t="s">
        <v>1697</v>
      </c>
      <c r="C33" s="420">
        <v>90.08</v>
      </c>
      <c r="D33" s="127">
        <v>100</v>
      </c>
      <c r="E33" s="381">
        <v>95.81</v>
      </c>
      <c r="F33" s="376">
        <f>LOOKUP(E33,103:103,104:104)-LOOKUP(C33,103:103,104:104)+100</f>
        <v>100</v>
      </c>
      <c r="G33" s="380">
        <v>89.84</v>
      </c>
      <c r="H33" s="127">
        <f>LOOKUP(G33,103:103,104:104)-LOOKUP(C33,103:103,104:104)+100</f>
        <v>100</v>
      </c>
      <c r="I33" s="381">
        <v>98.61</v>
      </c>
      <c r="J33" s="127">
        <f>LOOKUP(I33,103:103,104:104)-LOOKUP(C33,103:103,104:104)+100</f>
        <v>100</v>
      </c>
      <c r="K33" s="1893"/>
      <c r="L33" s="2717"/>
      <c r="M33" s="2719"/>
      <c r="N33" s="2719"/>
      <c r="O33" s="2719"/>
      <c r="P33" s="3722"/>
      <c r="Q33" s="707" t="str">
        <f t="shared" si="11"/>
        <v>项目建筑规模</v>
      </c>
      <c r="R33" s="708" t="s">
        <v>18</v>
      </c>
      <c r="S33" s="709">
        <f t="shared" si="12"/>
        <v>100</v>
      </c>
      <c r="T33" s="708" t="s">
        <v>18</v>
      </c>
      <c r="U33" s="709">
        <f t="shared" si="13"/>
        <v>100</v>
      </c>
      <c r="V33" s="708" t="s">
        <v>18</v>
      </c>
      <c r="W33" s="709">
        <f t="shared" si="14"/>
        <v>100</v>
      </c>
      <c r="X33" s="710"/>
      <c r="Y33" s="3724"/>
      <c r="Z33" s="711" t="str">
        <f t="shared" si="18"/>
        <v>项目建筑规模</v>
      </c>
      <c r="AA33" s="1353">
        <f t="shared" si="15"/>
        <v>1</v>
      </c>
      <c r="AB33" s="1353">
        <f t="shared" si="16"/>
        <v>1</v>
      </c>
      <c r="AC33" s="1353">
        <f t="shared" si="17"/>
        <v>1</v>
      </c>
    </row>
    <row r="34" spans="1:29" ht="15">
      <c r="A34" s="423"/>
      <c r="B34" s="375" t="s">
        <v>1698</v>
      </c>
      <c r="C34" s="1910" t="s">
        <v>3412</v>
      </c>
      <c r="D34" s="386">
        <v>100</v>
      </c>
      <c r="E34" s="1910" t="s">
        <v>3412</v>
      </c>
      <c r="F34" s="412">
        <f>SUMIF(105:105,E34,106:106)-SUMIF(105:105,C34,106:106)+100</f>
        <v>100</v>
      </c>
      <c r="G34" s="1910" t="s">
        <v>3412</v>
      </c>
      <c r="H34" s="386">
        <f>SUMIF(105:105,G34,106:106)-SUMIF(105:105,C34,106:106)+100</f>
        <v>100</v>
      </c>
      <c r="I34" s="1910" t="s">
        <v>3412</v>
      </c>
      <c r="J34" s="386">
        <f>SUMIF(105:105,I34,106:106)-SUMIF(105:105,C34,106:106)+100</f>
        <v>100</v>
      </c>
      <c r="K34" s="377"/>
      <c r="L34" s="2718"/>
      <c r="M34" s="2712"/>
      <c r="N34" s="2712"/>
      <c r="O34" s="2712"/>
      <c r="P34" s="3722"/>
      <c r="Q34" s="1352" t="str">
        <f t="shared" si="11"/>
        <v>建筑结构</v>
      </c>
      <c r="R34" s="705" t="s">
        <v>18</v>
      </c>
      <c r="S34" s="706">
        <f t="shared" si="12"/>
        <v>100</v>
      </c>
      <c r="T34" s="705" t="s">
        <v>18</v>
      </c>
      <c r="U34" s="706">
        <f t="shared" si="13"/>
        <v>100</v>
      </c>
      <c r="V34" s="705" t="s">
        <v>18</v>
      </c>
      <c r="W34" s="706">
        <f t="shared" si="14"/>
        <v>100</v>
      </c>
      <c r="X34" s="1355"/>
      <c r="Y34" s="3724"/>
      <c r="Z34" s="1356" t="str">
        <f t="shared" si="18"/>
        <v>建筑结构</v>
      </c>
      <c r="AA34" s="1353">
        <f t="shared" si="15"/>
        <v>1</v>
      </c>
      <c r="AB34" s="1353">
        <f t="shared" si="16"/>
        <v>1</v>
      </c>
      <c r="AC34" s="1353">
        <f t="shared" si="17"/>
        <v>1</v>
      </c>
    </row>
    <row r="35" spans="1:29" ht="15">
      <c r="A35" s="423"/>
      <c r="B35" s="375" t="s">
        <v>1699</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377"/>
      <c r="L35" s="2718"/>
      <c r="M35" s="2712"/>
      <c r="N35" s="2712"/>
      <c r="O35" s="2712"/>
      <c r="P35" s="3722"/>
      <c r="Q35" s="1352" t="str">
        <f t="shared" si="11"/>
        <v>建筑品质</v>
      </c>
      <c r="R35" s="705" t="s">
        <v>18</v>
      </c>
      <c r="S35" s="706">
        <f t="shared" si="12"/>
        <v>100</v>
      </c>
      <c r="T35" s="705" t="s">
        <v>18</v>
      </c>
      <c r="U35" s="706">
        <f t="shared" si="13"/>
        <v>100</v>
      </c>
      <c r="V35" s="705" t="s">
        <v>18</v>
      </c>
      <c r="W35" s="706">
        <f t="shared" si="14"/>
        <v>100</v>
      </c>
      <c r="X35" s="1355"/>
      <c r="Y35" s="3724"/>
      <c r="Z35" s="1356" t="str">
        <f t="shared" si="18"/>
        <v>建筑品质</v>
      </c>
      <c r="AA35" s="1353">
        <f t="shared" si="15"/>
        <v>1</v>
      </c>
      <c r="AB35" s="1353">
        <f t="shared" si="16"/>
        <v>1</v>
      </c>
      <c r="AC35" s="1353">
        <f t="shared" si="17"/>
        <v>1</v>
      </c>
    </row>
    <row r="36" spans="1:29" ht="15">
      <c r="A36" s="423"/>
      <c r="B36" s="375" t="s">
        <v>1700</v>
      </c>
      <c r="C36" s="1905" t="s">
        <v>3414</v>
      </c>
      <c r="D36" s="386">
        <v>100</v>
      </c>
      <c r="E36" s="1905" t="s">
        <v>3414</v>
      </c>
      <c r="F36" s="412">
        <f>SUMIF(109:109,E36,110:110)-SUMIF(109:109,C36,110:110)+100</f>
        <v>100</v>
      </c>
      <c r="G36" s="1905" t="s">
        <v>3414</v>
      </c>
      <c r="H36" s="386">
        <f>SUMIF(109:109,G36,110:110)-SUMIF(109:109,C36,110:110)+100</f>
        <v>100</v>
      </c>
      <c r="I36" s="1905" t="s">
        <v>3414</v>
      </c>
      <c r="J36" s="386">
        <f>SUMIF(109:109,I36,110:110)-SUMIF(109:109,C36,110:110)+100</f>
        <v>100</v>
      </c>
      <c r="K36" s="377"/>
      <c r="L36" s="2718"/>
      <c r="M36" s="2712"/>
      <c r="N36" s="2712"/>
      <c r="O36" s="2712"/>
      <c r="P36" s="3722"/>
      <c r="Q36" s="1352" t="str">
        <f t="shared" si="11"/>
        <v>公共部分装修</v>
      </c>
      <c r="R36" s="705" t="s">
        <v>18</v>
      </c>
      <c r="S36" s="706">
        <f t="shared" si="12"/>
        <v>100</v>
      </c>
      <c r="T36" s="705" t="s">
        <v>18</v>
      </c>
      <c r="U36" s="706">
        <f t="shared" si="13"/>
        <v>100</v>
      </c>
      <c r="V36" s="705" t="s">
        <v>18</v>
      </c>
      <c r="W36" s="706">
        <f t="shared" si="14"/>
        <v>100</v>
      </c>
      <c r="X36" s="1355"/>
      <c r="Y36" s="3724"/>
      <c r="Z36" s="1356" t="str">
        <f t="shared" si="18"/>
        <v>公共部分装修</v>
      </c>
      <c r="AA36" s="1353">
        <f t="shared" si="15"/>
        <v>1</v>
      </c>
      <c r="AB36" s="1353">
        <f t="shared" si="16"/>
        <v>1</v>
      </c>
      <c r="AC36" s="1353">
        <f t="shared" si="17"/>
        <v>1</v>
      </c>
    </row>
    <row r="37" spans="1:29" s="108" customFormat="1" ht="15">
      <c r="A37" s="424"/>
      <c r="B37" s="375" t="s">
        <v>1701</v>
      </c>
      <c r="C37" s="425">
        <f>'数据-取费表'!N6</f>
        <v>0.61499999999999999</v>
      </c>
      <c r="D37" s="127">
        <v>100</v>
      </c>
      <c r="E37" s="425">
        <f>C37</f>
        <v>0.61499999999999999</v>
      </c>
      <c r="F37" s="376">
        <f>LOOKUP(E37,112:112,113:113)-LOOKUP(C37,112:112,113:113)+100</f>
        <v>100</v>
      </c>
      <c r="G37" s="427">
        <f>E37</f>
        <v>0.61499999999999999</v>
      </c>
      <c r="H37" s="127">
        <f>LOOKUP(G37,112:112,113:113)-LOOKUP(C37,112:112,113:113)+100</f>
        <v>100</v>
      </c>
      <c r="I37" s="426">
        <f>G37</f>
        <v>0.61499999999999999</v>
      </c>
      <c r="J37" s="127">
        <f>LOOKUP(I37,112:112,113:113)-LOOKUP(C37,112:112,113:113)+100</f>
        <v>100</v>
      </c>
      <c r="K37" s="377"/>
      <c r="L37" s="2713"/>
      <c r="M37" s="2714"/>
      <c r="N37" s="2714"/>
      <c r="O37" s="2714"/>
      <c r="P37" s="3722"/>
      <c r="Q37" s="1343" t="str">
        <f t="shared" si="11"/>
        <v>成新度</v>
      </c>
      <c r="R37" s="701" t="s">
        <v>18</v>
      </c>
      <c r="S37" s="702">
        <f t="shared" si="12"/>
        <v>100</v>
      </c>
      <c r="T37" s="701" t="s">
        <v>18</v>
      </c>
      <c r="U37" s="702">
        <f t="shared" si="13"/>
        <v>100</v>
      </c>
      <c r="V37" s="701" t="s">
        <v>18</v>
      </c>
      <c r="W37" s="702">
        <f t="shared" si="14"/>
        <v>100</v>
      </c>
      <c r="X37" s="703"/>
      <c r="Y37" s="3724"/>
      <c r="Z37" s="52" t="str">
        <f t="shared" si="18"/>
        <v>成新度</v>
      </c>
      <c r="AA37" s="704">
        <f t="shared" si="15"/>
        <v>1</v>
      </c>
      <c r="AB37" s="704">
        <f t="shared" si="16"/>
        <v>1</v>
      </c>
      <c r="AC37" s="704">
        <f t="shared" si="17"/>
        <v>1</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8"/>
      <c r="M38" s="2712"/>
      <c r="N38" s="2712"/>
      <c r="O38" s="2712"/>
      <c r="P38" s="3722" t="s">
        <v>1696</v>
      </c>
      <c r="Q38" s="1352" t="str">
        <f t="shared" si="11"/>
        <v>物业管理</v>
      </c>
      <c r="R38" s="705" t="s">
        <v>18</v>
      </c>
      <c r="S38" s="706">
        <f t="shared" si="12"/>
        <v>100</v>
      </c>
      <c r="T38" s="705" t="s">
        <v>18</v>
      </c>
      <c r="U38" s="706">
        <f t="shared" si="13"/>
        <v>100</v>
      </c>
      <c r="V38" s="705" t="s">
        <v>18</v>
      </c>
      <c r="W38" s="706">
        <f t="shared" si="14"/>
        <v>100</v>
      </c>
      <c r="X38" s="1355"/>
      <c r="Y38" s="3724" t="s">
        <v>1696</v>
      </c>
      <c r="Z38" s="1356" t="str">
        <f t="shared" si="18"/>
        <v>物业管理</v>
      </c>
      <c r="AA38" s="1353">
        <f t="shared" si="15"/>
        <v>1</v>
      </c>
      <c r="AB38" s="1353">
        <f t="shared" si="16"/>
        <v>1</v>
      </c>
      <c r="AC38" s="1353">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8"/>
      <c r="M39" s="2712"/>
      <c r="N39" s="2712"/>
      <c r="O39" s="2712"/>
      <c r="P39" s="3722"/>
      <c r="Q39" s="1352" t="str">
        <f t="shared" si="11"/>
        <v>市政基础设施</v>
      </c>
      <c r="R39" s="705" t="s">
        <v>18</v>
      </c>
      <c r="S39" s="706">
        <f t="shared" si="12"/>
        <v>100</v>
      </c>
      <c r="T39" s="705" t="s">
        <v>18</v>
      </c>
      <c r="U39" s="706">
        <f t="shared" si="13"/>
        <v>100</v>
      </c>
      <c r="V39" s="705" t="s">
        <v>18</v>
      </c>
      <c r="W39" s="706">
        <f t="shared" si="14"/>
        <v>100</v>
      </c>
      <c r="X39" s="1355"/>
      <c r="Y39" s="3724"/>
      <c r="Z39" s="1356" t="str">
        <f t="shared" si="18"/>
        <v>市政基础设施</v>
      </c>
      <c r="AA39" s="1353">
        <f t="shared" si="15"/>
        <v>1</v>
      </c>
      <c r="AB39" s="1353">
        <f t="shared" si="16"/>
        <v>1</v>
      </c>
      <c r="AC39" s="1353">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8"/>
      <c r="M40" s="2712"/>
      <c r="N40" s="2712"/>
      <c r="O40" s="2712"/>
      <c r="P40" s="3722"/>
      <c r="Q40" s="1352" t="str">
        <f t="shared" si="11"/>
        <v>房型</v>
      </c>
      <c r="R40" s="705" t="s">
        <v>18</v>
      </c>
      <c r="S40" s="706">
        <f t="shared" si="12"/>
        <v>100</v>
      </c>
      <c r="T40" s="705" t="s">
        <v>18</v>
      </c>
      <c r="U40" s="706">
        <f t="shared" si="13"/>
        <v>100</v>
      </c>
      <c r="V40" s="705" t="s">
        <v>18</v>
      </c>
      <c r="W40" s="706">
        <f t="shared" si="14"/>
        <v>100</v>
      </c>
      <c r="X40" s="1355"/>
      <c r="Y40" s="372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7"/>
      <c r="M41" s="2719"/>
      <c r="N41" s="2719"/>
      <c r="O41" s="2719"/>
      <c r="P41" s="3722"/>
      <c r="Q41" s="707" t="str">
        <f t="shared" si="11"/>
        <v>单套/主力户型建筑面积</v>
      </c>
      <c r="R41" s="708" t="s">
        <v>18</v>
      </c>
      <c r="S41" s="709">
        <f t="shared" si="12"/>
        <v>100</v>
      </c>
      <c r="T41" s="708" t="s">
        <v>18</v>
      </c>
      <c r="U41" s="709">
        <f t="shared" si="13"/>
        <v>100</v>
      </c>
      <c r="V41" s="708" t="s">
        <v>18</v>
      </c>
      <c r="W41" s="709">
        <f t="shared" si="14"/>
        <v>100</v>
      </c>
      <c r="X41" s="710"/>
      <c r="Y41" s="3724"/>
      <c r="Z41" s="711" t="str">
        <f t="shared" si="18"/>
        <v>单套/主力户型建筑面积</v>
      </c>
      <c r="AA41" s="1353">
        <f t="shared" si="15"/>
        <v>1</v>
      </c>
      <c r="AB41" s="1353">
        <f t="shared" si="16"/>
        <v>1</v>
      </c>
      <c r="AC41" s="1353">
        <f t="shared" si="17"/>
        <v>1</v>
      </c>
    </row>
    <row r="42" spans="1:29" ht="15">
      <c r="A42" s="423"/>
      <c r="B42" s="375" t="s">
        <v>1706</v>
      </c>
      <c r="C42" s="1905" t="s">
        <v>3414</v>
      </c>
      <c r="D42" s="386">
        <v>100</v>
      </c>
      <c r="E42" s="1905" t="s">
        <v>3414</v>
      </c>
      <c r="F42" s="412">
        <f>SUMIF(122:122,E42,123:123)-SUMIF(122:122,C42,123:123)+100</f>
        <v>100</v>
      </c>
      <c r="G42" s="1905" t="s">
        <v>3414</v>
      </c>
      <c r="H42" s="386">
        <f>SUMIF(122:122,G42,123:123)-SUMIF(122:122,C42,123:123)+100</f>
        <v>100</v>
      </c>
      <c r="I42" s="1905" t="s">
        <v>3414</v>
      </c>
      <c r="J42" s="386">
        <f>SUMIF(122:122,I42,123:123)-SUMIF(122:122,C42,123:123)+100</f>
        <v>100</v>
      </c>
      <c r="K42" s="377"/>
      <c r="L42" s="2718"/>
      <c r="M42" s="2712"/>
      <c r="N42" s="2712"/>
      <c r="O42" s="2712"/>
      <c r="P42" s="3722"/>
      <c r="Q42" s="1352" t="str">
        <f t="shared" si="11"/>
        <v>内部装修</v>
      </c>
      <c r="R42" s="705" t="s">
        <v>18</v>
      </c>
      <c r="S42" s="706">
        <f t="shared" si="12"/>
        <v>100</v>
      </c>
      <c r="T42" s="705" t="s">
        <v>18</v>
      </c>
      <c r="U42" s="706">
        <f t="shared" si="13"/>
        <v>100</v>
      </c>
      <c r="V42" s="705" t="s">
        <v>18</v>
      </c>
      <c r="W42" s="706">
        <f t="shared" si="14"/>
        <v>100</v>
      </c>
      <c r="X42" s="1355"/>
      <c r="Y42" s="3724"/>
      <c r="Z42" s="1356" t="str">
        <f t="shared" si="18"/>
        <v>内部装修</v>
      </c>
      <c r="AA42" s="1353">
        <f t="shared" si="15"/>
        <v>1</v>
      </c>
      <c r="AB42" s="1353">
        <f t="shared" si="16"/>
        <v>1</v>
      </c>
      <c r="AC42" s="1353">
        <f t="shared" si="17"/>
        <v>1</v>
      </c>
    </row>
    <row r="43" spans="1:29" ht="15">
      <c r="A43" s="423"/>
      <c r="B43" s="375" t="s">
        <v>1707</v>
      </c>
      <c r="C43" s="1905" t="s">
        <v>3400</v>
      </c>
      <c r="D43" s="386">
        <v>100</v>
      </c>
      <c r="E43" s="1905" t="s">
        <v>3400</v>
      </c>
      <c r="F43" s="412">
        <f>SUMIF(124:124,E43,125:125)-SUMIF(124:124,C43,125:125)+100</f>
        <v>100</v>
      </c>
      <c r="G43" s="1905" t="s">
        <v>3400</v>
      </c>
      <c r="H43" s="386">
        <f>SUMIF(124:124,G43,125:125)-SUMIF(124:124,C43,125:125)+100</f>
        <v>100</v>
      </c>
      <c r="I43" s="1905" t="s">
        <v>3400</v>
      </c>
      <c r="J43" s="386">
        <f>SUMIF(124:124,I43,125:125)-SUMIF(124:124,C43,125:125)+100</f>
        <v>100</v>
      </c>
      <c r="K43" s="377"/>
      <c r="L43" s="2718"/>
      <c r="M43" s="2712"/>
      <c r="N43" s="2712"/>
      <c r="O43" s="2712"/>
      <c r="P43" s="3722"/>
      <c r="Q43" s="1352" t="str">
        <f t="shared" si="11"/>
        <v>内部装修维护情况</v>
      </c>
      <c r="R43" s="705" t="s">
        <v>18</v>
      </c>
      <c r="S43" s="706">
        <f t="shared" si="12"/>
        <v>100</v>
      </c>
      <c r="T43" s="705" t="s">
        <v>18</v>
      </c>
      <c r="U43" s="706">
        <f t="shared" si="13"/>
        <v>100</v>
      </c>
      <c r="V43" s="705" t="s">
        <v>18</v>
      </c>
      <c r="W43" s="706">
        <f t="shared" si="14"/>
        <v>100</v>
      </c>
      <c r="X43" s="1355"/>
      <c r="Y43" s="372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3"/>
      <c r="M44" s="2714"/>
      <c r="N44" s="2714"/>
      <c r="O44" s="2714"/>
      <c r="P44" s="3722"/>
      <c r="Q44" s="1343">
        <f t="shared" si="11"/>
        <v>111</v>
      </c>
      <c r="R44" s="701" t="s">
        <v>18</v>
      </c>
      <c r="S44" s="702">
        <f t="shared" si="12"/>
        <v>100</v>
      </c>
      <c r="T44" s="701" t="s">
        <v>18</v>
      </c>
      <c r="U44" s="702">
        <f t="shared" si="13"/>
        <v>100</v>
      </c>
      <c r="V44" s="701" t="s">
        <v>18</v>
      </c>
      <c r="W44" s="702">
        <f t="shared" si="14"/>
        <v>100</v>
      </c>
      <c r="X44" s="703"/>
      <c r="Y44" s="372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8"/>
      <c r="M45" s="2712"/>
      <c r="N45" s="2712"/>
      <c r="O45" s="2712"/>
      <c r="P45" s="3722"/>
      <c r="Q45" s="1352">
        <f t="shared" si="11"/>
        <v>111</v>
      </c>
      <c r="R45" s="705" t="s">
        <v>18</v>
      </c>
      <c r="S45" s="706">
        <f t="shared" si="12"/>
        <v>100</v>
      </c>
      <c r="T45" s="705" t="s">
        <v>18</v>
      </c>
      <c r="U45" s="706">
        <f t="shared" si="13"/>
        <v>100</v>
      </c>
      <c r="V45" s="705" t="s">
        <v>18</v>
      </c>
      <c r="W45" s="706">
        <f t="shared" si="14"/>
        <v>100</v>
      </c>
      <c r="X45" s="1355"/>
      <c r="Y45" s="3724"/>
      <c r="Z45" s="1356">
        <f t="shared" si="18"/>
        <v>111</v>
      </c>
      <c r="AA45" s="1353">
        <f t="shared" si="15"/>
        <v>1</v>
      </c>
      <c r="AB45" s="1353">
        <f t="shared" si="16"/>
        <v>1</v>
      </c>
      <c r="AC45" s="1353">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8"/>
      <c r="M46" s="2712"/>
      <c r="N46" s="2712"/>
      <c r="O46" s="2712"/>
      <c r="P46" s="3723"/>
      <c r="Q46" s="1352">
        <f t="shared" si="11"/>
        <v>111</v>
      </c>
      <c r="R46" s="705" t="s">
        <v>17</v>
      </c>
      <c r="S46" s="706">
        <f t="shared" si="12"/>
        <v>100</v>
      </c>
      <c r="T46" s="705" t="s">
        <v>17</v>
      </c>
      <c r="U46" s="706">
        <f t="shared" si="13"/>
        <v>100</v>
      </c>
      <c r="V46" s="705" t="s">
        <v>17</v>
      </c>
      <c r="W46" s="706">
        <f t="shared" si="14"/>
        <v>100</v>
      </c>
      <c r="X46" s="1355"/>
      <c r="Y46" s="3725"/>
      <c r="Z46" s="1356">
        <f t="shared" si="18"/>
        <v>111</v>
      </c>
      <c r="AA46" s="1353">
        <f t="shared" si="15"/>
        <v>1</v>
      </c>
      <c r="AB46" s="1353">
        <f t="shared" si="16"/>
        <v>1</v>
      </c>
      <c r="AC46" s="1353">
        <f t="shared" si="17"/>
        <v>1</v>
      </c>
    </row>
    <row r="47" spans="1:29" ht="15">
      <c r="A47" s="430" t="s">
        <v>1708</v>
      </c>
      <c r="B47" s="431"/>
      <c r="C47" s="1154" t="s">
        <v>16</v>
      </c>
      <c r="D47" s="1155"/>
      <c r="E47" s="1156">
        <v>27972</v>
      </c>
      <c r="F47" s="1157"/>
      <c r="G47" s="1158">
        <v>27716</v>
      </c>
      <c r="H47" s="1159"/>
      <c r="I47" s="1156">
        <v>25555</v>
      </c>
      <c r="J47" s="1159"/>
      <c r="K47" s="1911"/>
      <c r="L47" s="2720"/>
      <c r="M47" s="2721"/>
      <c r="N47" s="2712"/>
      <c r="O47" s="2721"/>
      <c r="P47" s="3717" t="str">
        <f>A47</f>
        <v>成交单价（元/平方米）</v>
      </c>
      <c r="Q47" s="3717"/>
      <c r="R47" s="3718">
        <f>E47</f>
        <v>27972</v>
      </c>
      <c r="S47" s="3718"/>
      <c r="T47" s="3718">
        <f>G47</f>
        <v>27716</v>
      </c>
      <c r="U47" s="3718"/>
      <c r="V47" s="3718">
        <f>I47</f>
        <v>25555</v>
      </c>
      <c r="W47" s="3718"/>
      <c r="X47" s="690"/>
      <c r="Y47" s="712"/>
      <c r="Z47" s="690"/>
      <c r="AA47" s="690"/>
      <c r="AB47" s="690"/>
      <c r="AC47" s="690"/>
    </row>
    <row r="48" spans="1:29" ht="15.75" thickBot="1">
      <c r="A48" s="437" t="s">
        <v>1709</v>
      </c>
      <c r="B48" s="438"/>
      <c r="C48" s="1160">
        <f>R49</f>
        <v>27762</v>
      </c>
      <c r="D48" s="2314" t="s">
        <v>2138</v>
      </c>
      <c r="E48" s="1161">
        <f>R48</f>
        <v>28744</v>
      </c>
      <c r="F48" s="2315"/>
      <c r="G48" s="1160">
        <f>T48</f>
        <v>28625</v>
      </c>
      <c r="H48" s="2315"/>
      <c r="I48" s="1161">
        <f>V48</f>
        <v>25918</v>
      </c>
      <c r="J48" s="2315"/>
      <c r="K48" s="2316">
        <f>F48+H48+J48</f>
        <v>0</v>
      </c>
      <c r="L48" s="2720"/>
      <c r="M48" s="2721"/>
      <c r="N48" s="2721"/>
      <c r="O48" s="2721"/>
      <c r="P48" s="3717" t="str">
        <f>A48</f>
        <v>比较价值（元/平方米）</v>
      </c>
      <c r="Q48" s="3717"/>
      <c r="R48" s="3718">
        <f>IF(F1="售价",ROUND(PRODUCT(R47,AA7:AA46),0),ROUND(PRODUCT(R47,AA7:AA46),1))</f>
        <v>28744</v>
      </c>
      <c r="S48" s="3718"/>
      <c r="T48" s="3718">
        <f>IF(F1="售价",ROUND(PRODUCT(T47,AB7:AB46),0),ROUND(PRODUCT(T47,AB7:AB46),1))</f>
        <v>28625</v>
      </c>
      <c r="U48" s="3718"/>
      <c r="V48" s="3718">
        <f>IF(F1="售价",ROUND(PRODUCT(V47,AC7:AC46),0),ROUND(PRODUCT(V47,AC7:AC46),1))</f>
        <v>25918</v>
      </c>
      <c r="W48" s="3718"/>
      <c r="X48" s="690"/>
      <c r="Y48" s="690"/>
      <c r="Z48" s="690"/>
      <c r="AA48" s="690"/>
      <c r="AB48" s="690"/>
      <c r="AC48" s="690"/>
    </row>
    <row r="49" spans="1:29" ht="15.75" thickBot="1">
      <c r="A49" s="441" t="s">
        <v>1710</v>
      </c>
      <c r="B49" s="442"/>
      <c r="C49" s="1162">
        <f>R49</f>
        <v>27762</v>
      </c>
      <c r="D49" s="1163"/>
      <c r="E49" s="1163"/>
      <c r="F49" s="1163"/>
      <c r="G49" s="1163"/>
      <c r="H49" s="1163"/>
      <c r="I49" s="1163"/>
      <c r="J49" s="1163"/>
      <c r="K49" s="1912"/>
      <c r="L49" s="2720"/>
      <c r="M49" s="2721"/>
      <c r="N49" s="2721"/>
      <c r="O49" s="2721"/>
      <c r="P49" s="3714" t="str">
        <f>A49</f>
        <v>估价对象XX用房的比较价值（楼面单价，元/平方米）</v>
      </c>
      <c r="Q49" s="3715"/>
      <c r="R49" s="3716">
        <f>IF(F1="售价",ROUND(IF(D48="简单平均",AVERAGE(R48:V48),R48*F48+T48*H48+V48*J48),0),ROUND(IF(D48="简单平均",AVERAGE(R48:V48),R48*F48+T48*H48+V48*J48),1))</f>
        <v>27762</v>
      </c>
      <c r="S49" s="3716"/>
      <c r="T49" s="3716"/>
      <c r="U49" s="3716"/>
      <c r="V49" s="3716"/>
      <c r="W49" s="3716"/>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f>IF(E47&lt;E48,E48/E47-1,E47/E48-1)</f>
        <v>2.7599027599027659E-2</v>
      </c>
      <c r="F52" s="449" t="str">
        <f>IF(OR(E52&gt;=0.3,E52&lt;=-0.3),"超过30%","")</f>
        <v/>
      </c>
      <c r="G52" s="448">
        <f>IF(G47&lt;G48,G48/G47-1,G47/G48-1)</f>
        <v>3.2796940395439567E-2</v>
      </c>
      <c r="H52" s="449" t="str">
        <f>IF(OR(G52&gt;=0.3,G52&lt;=-0.3),"超过30%","")</f>
        <v/>
      </c>
      <c r="I52" s="448">
        <f>IF(I47&lt;I48,I48/I47-1,I47/I48-1)</f>
        <v>1.4204656622970102E-2</v>
      </c>
      <c r="J52" s="449" t="str">
        <f>IF(OR(I52&gt;=0.3,I52&lt;=-0.3),"超过30%","")</f>
        <v/>
      </c>
      <c r="K52" s="2726"/>
      <c r="L52" s="2722"/>
      <c r="M52" s="2721"/>
      <c r="N52" s="2721"/>
      <c r="O52" s="2721"/>
    </row>
    <row r="53" spans="1:29" ht="13.5" customHeight="1">
      <c r="A53" s="2721"/>
      <c r="B53" s="2721"/>
      <c r="C53" s="446" t="s">
        <v>1712</v>
      </c>
      <c r="D53" s="450"/>
      <c r="E53" s="448">
        <f>IF(E48&lt;G48,G48/E48-1,E48/G48-1)</f>
        <v>4.1572052401745996E-3</v>
      </c>
      <c r="F53" s="449" t="str">
        <f>IF(OR(E53&gt;=0.2,E53&lt;=-0.2),"超过20%","")</f>
        <v/>
      </c>
      <c r="G53" s="448">
        <f>IF(G48&lt;I48,I48/G48-1,G48/I48-1)</f>
        <v>0.10444478740643559</v>
      </c>
      <c r="H53" s="449" t="str">
        <f>IF(OR(G53&gt;=0.2,G53&lt;=-0.2),"超过20%","")</f>
        <v/>
      </c>
      <c r="I53" s="448">
        <f>IF(I48&lt;E48,E48/I48-1,I48/E48-1)</f>
        <v>0.10903619106412532</v>
      </c>
      <c r="J53" s="449" t="str">
        <f>IF(OR(I53&gt;=0.2,I53&lt;=-0.2),"超过20%","")</f>
        <v/>
      </c>
      <c r="K53" s="2726"/>
      <c r="L53" s="2722"/>
      <c r="M53" s="2721"/>
      <c r="N53" s="2721"/>
      <c r="O53" s="2721"/>
    </row>
    <row r="54" spans="1:29" s="451" customFormat="1" ht="13.5" customHeight="1">
      <c r="A54" s="2724"/>
      <c r="B54" s="2724"/>
      <c r="C54" s="446" t="s">
        <v>1713</v>
      </c>
      <c r="D54" s="450"/>
      <c r="E54" s="448">
        <f>IF(E47&lt;G47,G47/E47-1,E47/G47-1)</f>
        <v>9.2365420695628142E-3</v>
      </c>
      <c r="F54" s="449" t="str">
        <f>IF(OR(E54&gt;=0.3,E54&lt;=-0.3),"超过30%","")</f>
        <v/>
      </c>
      <c r="G54" s="448">
        <f>IF(G47&lt;I47,I47/G47-1,G47/I47-1)</f>
        <v>8.4562707884954014E-2</v>
      </c>
      <c r="H54" s="449" t="str">
        <f>IF(OR(G54&gt;=0.3,G54&lt;=-0.3),"超过30%","")</f>
        <v/>
      </c>
      <c r="I54" s="448">
        <f>IF(I47&lt;E47,E47/I47-1,I47/E47-1)</f>
        <v>9.4580316963412292E-2</v>
      </c>
      <c r="J54" s="449" t="str">
        <f>IF(OR(I54&gt;=0.3,I54&lt;=-0.3),"超过30%","")</f>
        <v/>
      </c>
      <c r="K54" s="2729"/>
      <c r="L54" s="2723"/>
      <c r="M54" s="2724"/>
      <c r="N54" s="2724"/>
      <c r="O54" s="2724"/>
      <c r="P54" s="1914"/>
    </row>
    <row r="55" spans="1:29" s="451" customFormat="1">
      <c r="A55" s="2724"/>
      <c r="B55" s="2727"/>
      <c r="C55" s="2728"/>
      <c r="D55" s="2724"/>
      <c r="E55" s="2724"/>
      <c r="F55" s="2724"/>
      <c r="G55" s="2724"/>
      <c r="H55" s="2724"/>
      <c r="I55" s="2724"/>
      <c r="J55" s="2724"/>
      <c r="K55" s="2729"/>
      <c r="L55" s="2723"/>
      <c r="M55" s="2724"/>
      <c r="N55" s="2724"/>
      <c r="O55" s="2724"/>
      <c r="P55" s="1914"/>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5"/>
      <c r="Q57" s="453"/>
    </row>
    <row r="58" spans="1:29" s="457" customFormat="1" ht="15">
      <c r="A58" s="454" t="s">
        <v>1715</v>
      </c>
      <c r="B58" s="455"/>
      <c r="C58" s="1186" t="str">
        <f>YEAR(C7)&amp;"-"&amp;MONTH(C7)</f>
        <v>2023-9</v>
      </c>
      <c r="D58" s="1185">
        <f>EDATE(C58,-1)</f>
        <v>45139</v>
      </c>
      <c r="E58" s="1185">
        <f>EDATE(D58,-1)</f>
        <v>45108</v>
      </c>
      <c r="F58" s="1185">
        <f t="shared" ref="F58:O58" si="19">EDATE(E58,-1)</f>
        <v>45078</v>
      </c>
      <c r="G58" s="1185">
        <f t="shared" si="19"/>
        <v>45047</v>
      </c>
      <c r="H58" s="1185">
        <f t="shared" si="19"/>
        <v>45017</v>
      </c>
      <c r="I58" s="1185">
        <f t="shared" si="19"/>
        <v>44986</v>
      </c>
      <c r="J58" s="1185">
        <f t="shared" si="19"/>
        <v>44958</v>
      </c>
      <c r="K58" s="1185">
        <f t="shared" si="19"/>
        <v>44927</v>
      </c>
      <c r="L58" s="1185">
        <f t="shared" si="19"/>
        <v>44896</v>
      </c>
      <c r="M58" s="1185">
        <f t="shared" si="19"/>
        <v>44866</v>
      </c>
      <c r="N58" s="1185">
        <f t="shared" si="19"/>
        <v>44835</v>
      </c>
      <c r="O58" s="1185">
        <f t="shared" si="19"/>
        <v>44805</v>
      </c>
      <c r="P58" s="1181" t="s">
        <v>3407</v>
      </c>
      <c r="Q58" s="457" t="s">
        <v>3408</v>
      </c>
    </row>
    <row r="59" spans="1:29" s="108" customFormat="1" ht="15">
      <c r="A59" s="458"/>
      <c r="B59" s="1916"/>
      <c r="C59" s="1183">
        <v>100</v>
      </c>
      <c r="D59" s="460">
        <f>C59-0.1</f>
        <v>99.9</v>
      </c>
      <c r="E59" s="460">
        <f t="shared" ref="E59:Q59" si="20">D59-0.1</f>
        <v>99.800000000000011</v>
      </c>
      <c r="F59" s="460">
        <f t="shared" si="20"/>
        <v>99.700000000000017</v>
      </c>
      <c r="G59" s="460">
        <f t="shared" si="20"/>
        <v>99.600000000000023</v>
      </c>
      <c r="H59" s="460">
        <f t="shared" si="20"/>
        <v>99.500000000000028</v>
      </c>
      <c r="I59" s="460">
        <f t="shared" si="20"/>
        <v>99.400000000000034</v>
      </c>
      <c r="J59" s="460">
        <f t="shared" si="20"/>
        <v>99.30000000000004</v>
      </c>
      <c r="K59" s="460">
        <f t="shared" si="20"/>
        <v>99.200000000000045</v>
      </c>
      <c r="L59" s="460">
        <f t="shared" si="20"/>
        <v>99.100000000000051</v>
      </c>
      <c r="M59" s="460">
        <f t="shared" si="20"/>
        <v>99.000000000000057</v>
      </c>
      <c r="N59" s="460">
        <f t="shared" si="20"/>
        <v>98.900000000000063</v>
      </c>
      <c r="O59" s="460">
        <f t="shared" si="20"/>
        <v>98.800000000000068</v>
      </c>
      <c r="P59" s="460">
        <f t="shared" si="20"/>
        <v>98.700000000000074</v>
      </c>
      <c r="Q59" s="460">
        <f t="shared" si="20"/>
        <v>98.60000000000008</v>
      </c>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32"/>
      <c r="O61" s="932"/>
      <c r="P61" s="1918"/>
      <c r="Q61" s="453"/>
    </row>
    <row r="62" spans="1:29" s="108" customFormat="1" ht="15.75" thickBot="1">
      <c r="A62" s="470"/>
      <c r="B62" s="459"/>
      <c r="C62" s="460">
        <v>100</v>
      </c>
      <c r="D62" s="461"/>
      <c r="E62" s="461"/>
      <c r="F62" s="461"/>
      <c r="G62" s="461"/>
      <c r="H62" s="461"/>
      <c r="I62" s="461"/>
      <c r="J62" s="461"/>
      <c r="K62" s="461"/>
      <c r="L62" s="461"/>
      <c r="M62" s="463"/>
      <c r="N62" s="932"/>
      <c r="O62" s="932"/>
      <c r="P62" s="1917"/>
      <c r="Q62" s="453"/>
    </row>
    <row r="63" spans="1:29">
      <c r="A63" s="476" t="s">
        <v>1719</v>
      </c>
      <c r="B63" s="477" t="s">
        <v>1685</v>
      </c>
      <c r="C63" s="478">
        <f>C9</f>
        <v>0</v>
      </c>
      <c r="D63" s="479"/>
      <c r="E63" s="479"/>
      <c r="F63" s="479"/>
      <c r="G63" s="479"/>
      <c r="H63" s="479"/>
      <c r="I63" s="479"/>
      <c r="J63" s="479"/>
      <c r="K63" s="480"/>
      <c r="L63" s="481"/>
      <c r="M63" s="482"/>
      <c r="N63" s="933"/>
      <c r="O63" s="933"/>
      <c r="P63" s="1919"/>
      <c r="Q63" s="453"/>
    </row>
    <row r="64" spans="1:29" ht="15.75" thickBot="1">
      <c r="A64" s="483"/>
      <c r="B64" s="484"/>
      <c r="C64" s="485">
        <v>100</v>
      </c>
      <c r="D64" s="485"/>
      <c r="E64" s="485"/>
      <c r="F64" s="485"/>
      <c r="G64" s="485"/>
      <c r="H64" s="485"/>
      <c r="I64" s="485"/>
      <c r="J64" s="485"/>
      <c r="K64" s="485"/>
      <c r="L64" s="485"/>
      <c r="M64" s="486"/>
      <c r="N64" s="934"/>
      <c r="O64" s="934"/>
      <c r="P64" s="1919"/>
      <c r="Q64" s="453"/>
    </row>
    <row r="65" spans="1:17" ht="27.75" thickTop="1">
      <c r="A65" s="483"/>
      <c r="B65" s="487" t="s">
        <v>1688</v>
      </c>
      <c r="C65" s="532"/>
      <c r="D65" s="532"/>
      <c r="E65" s="532"/>
      <c r="F65" s="532"/>
      <c r="G65" s="532"/>
      <c r="H65" s="532"/>
      <c r="I65" s="532"/>
      <c r="J65" s="532"/>
      <c r="K65" s="532"/>
      <c r="L65" s="532"/>
      <c r="M65" s="532"/>
      <c r="N65" s="934"/>
      <c r="O65" s="934"/>
      <c r="P65" s="1919"/>
      <c r="Q65" s="453"/>
    </row>
    <row r="66" spans="1:17" ht="15.75" thickBot="1">
      <c r="A66" s="483"/>
      <c r="B66" s="492"/>
      <c r="C66" s="485"/>
      <c r="D66" s="485"/>
      <c r="E66" s="485"/>
      <c r="F66" s="485"/>
      <c r="G66" s="485"/>
      <c r="H66" s="485"/>
      <c r="I66" s="485"/>
      <c r="J66" s="485"/>
      <c r="K66" s="485"/>
      <c r="L66" s="485"/>
      <c r="M66" s="486"/>
      <c r="N66" s="934"/>
      <c r="O66" s="934"/>
      <c r="P66" s="1919"/>
      <c r="Q66" s="453"/>
    </row>
    <row r="67" spans="1:17" ht="15.75" thickTop="1">
      <c r="A67" s="483"/>
      <c r="B67" s="495" t="s">
        <v>1689</v>
      </c>
      <c r="C67" s="496" t="str">
        <f>C68&amp;"（含）"&amp;"-"&amp;D68</f>
        <v>0（含）-1</v>
      </c>
      <c r="D67" s="496" t="str">
        <f t="shared" ref="D67:L67" si="21">D68&amp;"（含）"&amp;"-"&amp;E68</f>
        <v>1（含）-2</v>
      </c>
      <c r="E67" s="496" t="str">
        <f t="shared" si="21"/>
        <v>2（含）-3</v>
      </c>
      <c r="F67" s="496" t="str">
        <f t="shared" si="21"/>
        <v>3（含）-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19"/>
      <c r="Q67" s="453"/>
    </row>
    <row r="68" spans="1:17" ht="15">
      <c r="A68" s="483"/>
      <c r="B68" s="497"/>
      <c r="C68" s="498">
        <v>0</v>
      </c>
      <c r="D68" s="498">
        <v>1</v>
      </c>
      <c r="E68" s="498">
        <v>2</v>
      </c>
      <c r="F68" s="498">
        <v>3</v>
      </c>
      <c r="G68" s="498"/>
      <c r="H68" s="498"/>
      <c r="I68" s="498"/>
      <c r="J68" s="498"/>
      <c r="K68" s="499"/>
      <c r="L68" s="500"/>
      <c r="M68" s="501"/>
      <c r="N68" s="933"/>
      <c r="O68" s="933"/>
      <c r="P68" s="1919"/>
      <c r="Q68" s="453"/>
    </row>
    <row r="69" spans="1:17" ht="15.75" thickBot="1">
      <c r="A69" s="483"/>
      <c r="B69" s="484"/>
      <c r="C69" s="493">
        <v>100</v>
      </c>
      <c r="D69" s="493">
        <f t="shared" ref="D69:M69" si="22">C69-$K11</f>
        <v>100</v>
      </c>
      <c r="E69" s="493">
        <f t="shared" si="22"/>
        <v>100</v>
      </c>
      <c r="F69" s="493">
        <f t="shared" si="22"/>
        <v>100</v>
      </c>
      <c r="G69" s="493">
        <f t="shared" si="22"/>
        <v>100</v>
      </c>
      <c r="H69" s="493">
        <f t="shared" si="22"/>
        <v>100</v>
      </c>
      <c r="I69" s="493">
        <f t="shared" si="22"/>
        <v>100</v>
      </c>
      <c r="J69" s="493">
        <f t="shared" si="22"/>
        <v>100</v>
      </c>
      <c r="K69" s="493">
        <f t="shared" si="22"/>
        <v>100</v>
      </c>
      <c r="L69" s="493">
        <f t="shared" si="22"/>
        <v>100</v>
      </c>
      <c r="M69" s="494">
        <f t="shared" si="22"/>
        <v>100</v>
      </c>
      <c r="N69" s="934"/>
      <c r="O69" s="934"/>
      <c r="P69" s="1919"/>
      <c r="Q69" s="453"/>
    </row>
    <row r="70" spans="1:17" s="422" customFormat="1" ht="15.75" thickTop="1">
      <c r="A70" s="502"/>
      <c r="B70" s="487">
        <f>B12</f>
        <v>111</v>
      </c>
      <c r="C70" s="503"/>
      <c r="D70" s="503"/>
      <c r="E70" s="503"/>
      <c r="F70" s="503"/>
      <c r="G70" s="503"/>
      <c r="H70" s="504"/>
      <c r="I70" s="504"/>
      <c r="J70" s="504"/>
      <c r="K70" s="504"/>
      <c r="L70" s="505"/>
      <c r="M70" s="506"/>
      <c r="N70" s="935"/>
      <c r="O70" s="935"/>
      <c r="P70" s="1920"/>
      <c r="Q70" s="508"/>
    </row>
    <row r="71" spans="1:17" s="422" customFormat="1" ht="15.75" thickBot="1">
      <c r="A71" s="502"/>
      <c r="B71" s="492"/>
      <c r="C71" s="509"/>
      <c r="D71" s="485"/>
      <c r="E71" s="485"/>
      <c r="F71" s="485"/>
      <c r="G71" s="485"/>
      <c r="H71" s="485"/>
      <c r="I71" s="485"/>
      <c r="J71" s="485"/>
      <c r="K71" s="485"/>
      <c r="L71" s="485"/>
      <c r="M71" s="486"/>
      <c r="N71" s="934"/>
      <c r="O71" s="934"/>
      <c r="P71" s="1920"/>
      <c r="Q71" s="508"/>
    </row>
    <row r="72" spans="1:17" s="422" customFormat="1" ht="15.75" thickTop="1">
      <c r="A72" s="502"/>
      <c r="B72" s="487">
        <f>B13</f>
        <v>111</v>
      </c>
      <c r="C72" s="503"/>
      <c r="D72" s="503"/>
      <c r="E72" s="503"/>
      <c r="F72" s="503"/>
      <c r="G72" s="503"/>
      <c r="H72" s="504"/>
      <c r="I72" s="504"/>
      <c r="J72" s="504"/>
      <c r="K72" s="504"/>
      <c r="L72" s="505"/>
      <c r="M72" s="506"/>
      <c r="N72" s="935"/>
      <c r="O72" s="935"/>
      <c r="P72" s="1921"/>
      <c r="Q72" s="510"/>
    </row>
    <row r="73" spans="1:17" s="422" customFormat="1" ht="15.75" thickBot="1">
      <c r="A73" s="502"/>
      <c r="B73" s="492"/>
      <c r="C73" s="509"/>
      <c r="D73" s="509"/>
      <c r="E73" s="509"/>
      <c r="F73" s="509"/>
      <c r="G73" s="509"/>
      <c r="H73" s="511"/>
      <c r="I73" s="511"/>
      <c r="J73" s="511"/>
      <c r="K73" s="511"/>
      <c r="L73" s="511"/>
      <c r="M73" s="512"/>
      <c r="N73" s="935"/>
      <c r="O73" s="935"/>
      <c r="P73" s="1920"/>
      <c r="Q73" s="508"/>
    </row>
    <row r="74" spans="1:17" s="422" customFormat="1" ht="15.75" thickTop="1">
      <c r="A74" s="502"/>
      <c r="B74" s="495">
        <f>B14</f>
        <v>111</v>
      </c>
      <c r="C74" s="503"/>
      <c r="D74" s="503"/>
      <c r="E74" s="503"/>
      <c r="F74" s="503"/>
      <c r="G74" s="472"/>
      <c r="H74" s="513"/>
      <c r="I74" s="513"/>
      <c r="J74" s="513"/>
      <c r="K74" s="513"/>
      <c r="L74" s="514"/>
      <c r="M74" s="515"/>
      <c r="N74" s="935"/>
      <c r="O74" s="935"/>
      <c r="P74" s="1922"/>
      <c r="Q74" s="508"/>
    </row>
    <row r="75" spans="1:17" s="422" customFormat="1" ht="15.75" thickBot="1">
      <c r="A75" s="517"/>
      <c r="B75" s="518"/>
      <c r="C75" s="519"/>
      <c r="D75" s="519"/>
      <c r="E75" s="519"/>
      <c r="F75" s="519"/>
      <c r="G75" s="519"/>
      <c r="H75" s="520"/>
      <c r="I75" s="520"/>
      <c r="J75" s="520"/>
      <c r="K75" s="520"/>
      <c r="L75" s="520"/>
      <c r="M75" s="521"/>
      <c r="N75" s="935"/>
      <c r="O75" s="935"/>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9"/>
      <c r="Q82" s="453"/>
    </row>
    <row r="83" spans="1:17" ht="15.75" thickBot="1">
      <c r="A83" s="483"/>
      <c r="B83" s="495"/>
      <c r="C83" s="608">
        <v>100</v>
      </c>
      <c r="D83" s="608">
        <f>C83-$K21</f>
        <v>100</v>
      </c>
      <c r="E83" s="608">
        <f t="shared" ref="E83:G83" si="23">D83-$K21</f>
        <v>100</v>
      </c>
      <c r="F83" s="608">
        <f t="shared" si="23"/>
        <v>100</v>
      </c>
      <c r="G83" s="608">
        <f t="shared" si="23"/>
        <v>100</v>
      </c>
      <c r="H83" s="608"/>
      <c r="I83" s="608"/>
      <c r="J83" s="608"/>
      <c r="K83" s="608"/>
      <c r="L83" s="608"/>
      <c r="M83" s="401"/>
      <c r="N83" s="934"/>
      <c r="O83" s="934"/>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9"/>
      <c r="Q85" s="453"/>
    </row>
    <row r="86" spans="1:17" s="108" customFormat="1" ht="15.75" thickTop="1">
      <c r="A86" s="528"/>
      <c r="B86" s="487" t="s">
        <v>1734</v>
      </c>
      <c r="C86" s="503"/>
      <c r="D86" s="503"/>
      <c r="E86" s="503"/>
      <c r="F86" s="503"/>
      <c r="G86" s="503"/>
      <c r="H86" s="503"/>
      <c r="I86" s="503"/>
      <c r="J86" s="503"/>
      <c r="K86" s="503"/>
      <c r="L86" s="529"/>
      <c r="M86" s="530"/>
      <c r="N86" s="932"/>
      <c r="O86" s="932"/>
      <c r="P86" s="1919"/>
      <c r="Q86" s="453"/>
    </row>
    <row r="87" spans="1:17" s="108" customFormat="1" ht="15.75"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19"/>
      <c r="Q87" s="453"/>
    </row>
    <row r="88" spans="1:17" s="108" customFormat="1" ht="15.75" thickTop="1">
      <c r="A88" s="528"/>
      <c r="B88" s="487" t="s">
        <v>1735</v>
      </c>
      <c r="C88" s="3451" t="s">
        <v>3418</v>
      </c>
      <c r="D88" s="503"/>
      <c r="E88" s="503"/>
      <c r="F88" s="1924"/>
      <c r="G88" s="503"/>
      <c r="H88" s="503"/>
      <c r="I88" s="503"/>
      <c r="J88" s="503"/>
      <c r="K88" s="503"/>
      <c r="L88" s="503"/>
      <c r="M88" s="530"/>
      <c r="N88" s="932"/>
      <c r="O88" s="932"/>
      <c r="P88" s="1919"/>
      <c r="Q88" s="453"/>
    </row>
    <row r="89" spans="1:17" s="108" customFormat="1" ht="15.75" thickBot="1">
      <c r="A89" s="528"/>
      <c r="B89" s="492"/>
      <c r="C89" s="531">
        <v>100</v>
      </c>
      <c r="D89" s="493">
        <f t="shared" ref="D89:M89" si="25">C89-$K26</f>
        <v>100</v>
      </c>
      <c r="E89" s="493">
        <f t="shared" si="25"/>
        <v>100</v>
      </c>
      <c r="F89" s="493">
        <f t="shared" si="25"/>
        <v>100</v>
      </c>
      <c r="G89" s="493">
        <f t="shared" si="25"/>
        <v>100</v>
      </c>
      <c r="H89" s="493">
        <f t="shared" si="25"/>
        <v>100</v>
      </c>
      <c r="I89" s="493">
        <f t="shared" si="25"/>
        <v>100</v>
      </c>
      <c r="J89" s="493">
        <f t="shared" si="25"/>
        <v>100</v>
      </c>
      <c r="K89" s="493">
        <f t="shared" si="25"/>
        <v>100</v>
      </c>
      <c r="L89" s="493">
        <f t="shared" si="25"/>
        <v>100</v>
      </c>
      <c r="M89" s="493">
        <f t="shared" si="25"/>
        <v>100</v>
      </c>
      <c r="N89" s="934"/>
      <c r="O89" s="934"/>
      <c r="P89" s="1919"/>
      <c r="Q89" s="453"/>
    </row>
    <row r="90" spans="1:17" s="422" customFormat="1" ht="15.75" thickTop="1">
      <c r="A90" s="502"/>
      <c r="B90" s="487" t="str">
        <f>B27</f>
        <v>楼层</v>
      </c>
      <c r="C90" s="3446" t="s">
        <v>3376</v>
      </c>
      <c r="D90" s="3446" t="s">
        <v>3377</v>
      </c>
      <c r="E90" s="3446" t="s">
        <v>3378</v>
      </c>
      <c r="F90" s="3446" t="s">
        <v>3379</v>
      </c>
      <c r="G90" s="3446"/>
      <c r="H90" s="504"/>
      <c r="I90" s="504"/>
      <c r="J90" s="504"/>
      <c r="K90" s="504"/>
      <c r="L90" s="505"/>
      <c r="M90" s="506"/>
      <c r="N90" s="935"/>
      <c r="O90" s="935"/>
      <c r="P90" s="1920"/>
      <c r="Q90" s="508"/>
    </row>
    <row r="91" spans="1:17" s="422" customFormat="1" ht="15.75" thickBot="1">
      <c r="A91" s="502"/>
      <c r="B91" s="492"/>
      <c r="C91" s="509">
        <v>100</v>
      </c>
      <c r="D91" s="509">
        <v>98</v>
      </c>
      <c r="E91" s="509">
        <v>98</v>
      </c>
      <c r="F91" s="509">
        <v>100</v>
      </c>
      <c r="G91" s="509"/>
      <c r="H91" s="511"/>
      <c r="I91" s="511"/>
      <c r="J91" s="511"/>
      <c r="K91" s="511"/>
      <c r="L91" s="511"/>
      <c r="M91" s="512"/>
      <c r="N91" s="935"/>
      <c r="O91" s="935"/>
      <c r="P91" s="1920"/>
      <c r="Q91" s="508"/>
    </row>
    <row r="92" spans="1:17" ht="15.75" thickTop="1">
      <c r="A92" s="483"/>
      <c r="B92" s="487">
        <f>B28</f>
        <v>111</v>
      </c>
      <c r="C92" s="503"/>
      <c r="D92" s="503"/>
      <c r="E92" s="503"/>
      <c r="F92" s="503"/>
      <c r="G92" s="532"/>
      <c r="H92" s="532"/>
      <c r="I92" s="532"/>
      <c r="J92" s="532"/>
      <c r="K92" s="533"/>
      <c r="L92" s="534"/>
      <c r="M92" s="535"/>
      <c r="N92" s="933"/>
      <c r="O92" s="933"/>
      <c r="P92" s="1919"/>
      <c r="Q92" s="453"/>
    </row>
    <row r="93" spans="1:17" ht="15.75" thickBot="1">
      <c r="A93" s="483"/>
      <c r="B93" s="492"/>
      <c r="C93" s="509"/>
      <c r="D93" s="485"/>
      <c r="E93" s="485"/>
      <c r="F93" s="485"/>
      <c r="G93" s="485"/>
      <c r="H93" s="485"/>
      <c r="I93" s="485"/>
      <c r="J93" s="485"/>
      <c r="K93" s="485"/>
      <c r="L93" s="485"/>
      <c r="M93" s="486"/>
      <c r="N93" s="934"/>
      <c r="O93" s="934"/>
      <c r="P93" s="1919"/>
      <c r="Q93" s="453"/>
    </row>
    <row r="94" spans="1:17" ht="15.75" thickTop="1">
      <c r="A94" s="483"/>
      <c r="B94" s="487">
        <f>B29</f>
        <v>111</v>
      </c>
      <c r="C94" s="503"/>
      <c r="D94" s="503"/>
      <c r="E94" s="503"/>
      <c r="F94" s="503"/>
      <c r="G94" s="532"/>
      <c r="H94" s="532"/>
      <c r="I94" s="532"/>
      <c r="J94" s="532"/>
      <c r="K94" s="533"/>
      <c r="L94" s="534"/>
      <c r="M94" s="535"/>
      <c r="N94" s="933"/>
      <c r="O94" s="933"/>
      <c r="P94" s="1919"/>
      <c r="Q94" s="453"/>
    </row>
    <row r="95" spans="1:17" ht="15.75" thickBot="1">
      <c r="A95" s="483"/>
      <c r="B95" s="492"/>
      <c r="C95" s="509"/>
      <c r="D95" s="509"/>
      <c r="E95" s="509"/>
      <c r="F95" s="509"/>
      <c r="G95" s="485"/>
      <c r="H95" s="485"/>
      <c r="I95" s="485"/>
      <c r="J95" s="485"/>
      <c r="K95" s="485"/>
      <c r="L95" s="485"/>
      <c r="M95" s="486"/>
      <c r="N95" s="934"/>
      <c r="O95" s="934"/>
      <c r="P95" s="1919"/>
      <c r="Q95" s="453"/>
    </row>
    <row r="96" spans="1:17" ht="15.75" thickTop="1">
      <c r="A96" s="483"/>
      <c r="B96" s="487">
        <f>B30</f>
        <v>111</v>
      </c>
      <c r="C96" s="503"/>
      <c r="D96" s="503"/>
      <c r="E96" s="503"/>
      <c r="F96" s="503"/>
      <c r="G96" s="532"/>
      <c r="H96" s="532"/>
      <c r="I96" s="532"/>
      <c r="J96" s="532"/>
      <c r="K96" s="533"/>
      <c r="L96" s="534"/>
      <c r="M96" s="535"/>
      <c r="N96" s="933"/>
      <c r="O96" s="933"/>
      <c r="P96" s="1919"/>
      <c r="Q96" s="453"/>
    </row>
    <row r="97" spans="1:17" ht="15.75" thickBot="1">
      <c r="A97" s="483"/>
      <c r="B97" s="492"/>
      <c r="C97" s="519"/>
      <c r="D97" s="519"/>
      <c r="E97" s="519"/>
      <c r="F97" s="519"/>
      <c r="G97" s="485"/>
      <c r="H97" s="485"/>
      <c r="I97" s="485"/>
      <c r="J97" s="485"/>
      <c r="K97" s="485"/>
      <c r="L97" s="485"/>
      <c r="M97" s="486"/>
      <c r="N97" s="934"/>
      <c r="O97" s="934"/>
      <c r="P97" s="1919"/>
      <c r="Q97" s="453"/>
    </row>
    <row r="98" spans="1:17" ht="15.75" thickTop="1">
      <c r="A98" s="483"/>
      <c r="B98" s="495">
        <f>B31</f>
        <v>111</v>
      </c>
      <c r="C98" s="536"/>
      <c r="D98" s="536"/>
      <c r="E98" s="536"/>
      <c r="F98" s="536"/>
      <c r="G98" s="536"/>
      <c r="H98" s="536"/>
      <c r="I98" s="536"/>
      <c r="J98" s="536"/>
      <c r="K98" s="537"/>
      <c r="L98" s="538"/>
      <c r="M98" s="539"/>
      <c r="N98" s="933"/>
      <c r="O98" s="933"/>
      <c r="P98" s="1919"/>
      <c r="Q98" s="453"/>
    </row>
    <row r="99" spans="1:17" ht="15.75" thickBot="1">
      <c r="A99" s="1925"/>
      <c r="B99" s="518"/>
      <c r="C99" s="540"/>
      <c r="D99" s="540"/>
      <c r="E99" s="540"/>
      <c r="F99" s="540"/>
      <c r="G99" s="540"/>
      <c r="H99" s="540"/>
      <c r="I99" s="540"/>
      <c r="J99" s="540"/>
      <c r="K99" s="540"/>
      <c r="L99" s="540"/>
      <c r="M99" s="541"/>
      <c r="N99" s="934"/>
      <c r="O99" s="934"/>
      <c r="P99" s="1919"/>
      <c r="Q99" s="453"/>
    </row>
    <row r="100" spans="1:17">
      <c r="A100" s="476" t="s">
        <v>1694</v>
      </c>
      <c r="B100" s="477" t="s">
        <v>1736</v>
      </c>
      <c r="C100" s="3450" t="s">
        <v>3411</v>
      </c>
      <c r="D100" s="479"/>
      <c r="E100" s="479"/>
      <c r="F100" s="479"/>
      <c r="G100" s="479"/>
      <c r="H100" s="479"/>
      <c r="I100" s="479"/>
      <c r="J100" s="479"/>
      <c r="K100" s="480"/>
      <c r="L100" s="481"/>
      <c r="M100" s="482"/>
      <c r="N100" s="933"/>
      <c r="O100" s="933"/>
      <c r="P100" s="1919"/>
      <c r="Q100" s="453"/>
    </row>
    <row r="101" spans="1:17" ht="15.75" thickBot="1">
      <c r="A101" s="483"/>
      <c r="B101" s="492"/>
      <c r="C101" s="493">
        <v>100</v>
      </c>
      <c r="D101" s="493">
        <f t="shared" ref="D101:M101" si="26">C101-$K32</f>
        <v>100</v>
      </c>
      <c r="E101" s="493">
        <f t="shared" si="26"/>
        <v>100</v>
      </c>
      <c r="F101" s="493">
        <f t="shared" si="26"/>
        <v>100</v>
      </c>
      <c r="G101" s="493">
        <f t="shared" si="26"/>
        <v>100</v>
      </c>
      <c r="H101" s="493">
        <f t="shared" si="26"/>
        <v>100</v>
      </c>
      <c r="I101" s="493">
        <f t="shared" si="26"/>
        <v>100</v>
      </c>
      <c r="J101" s="493">
        <f t="shared" si="26"/>
        <v>100</v>
      </c>
      <c r="K101" s="493">
        <f t="shared" si="26"/>
        <v>100</v>
      </c>
      <c r="L101" s="493">
        <f t="shared" si="26"/>
        <v>100</v>
      </c>
      <c r="M101" s="493">
        <f t="shared" si="26"/>
        <v>100</v>
      </c>
      <c r="N101" s="934"/>
      <c r="O101" s="934"/>
      <c r="P101" s="1919"/>
      <c r="Q101" s="453"/>
    </row>
    <row r="102" spans="1:17" ht="15.75" thickTop="1">
      <c r="A102" s="483"/>
      <c r="B102" s="487" t="s">
        <v>1737</v>
      </c>
      <c r="C102" s="527" t="str">
        <f>C103&amp;"(含)"&amp;"-"&amp;D103</f>
        <v>0(含)-50</v>
      </c>
      <c r="D102" s="527" t="str">
        <f t="shared" ref="D102:L102" si="27">D103&amp;"(含)"&amp;"-"&amp;E103</f>
        <v>50(含)-100</v>
      </c>
      <c r="E102" s="527" t="str">
        <f t="shared" si="27"/>
        <v>100(含)-</v>
      </c>
      <c r="F102" s="527" t="str">
        <f t="shared" si="27"/>
        <v>(含)-</v>
      </c>
      <c r="G102" s="527" t="str">
        <f t="shared" si="27"/>
        <v>(含)-</v>
      </c>
      <c r="H102" s="527" t="str">
        <f t="shared" si="27"/>
        <v>(含)-</v>
      </c>
      <c r="I102" s="527" t="str">
        <f t="shared" si="27"/>
        <v>(含)-</v>
      </c>
      <c r="J102" s="527" t="str">
        <f t="shared" si="27"/>
        <v>(含)-</v>
      </c>
      <c r="K102" s="527" t="str">
        <f>K103&amp;"(含)"&amp;"-"&amp;L103</f>
        <v>(含)-</v>
      </c>
      <c r="L102" s="527" t="str">
        <f t="shared" si="27"/>
        <v>(含)-</v>
      </c>
      <c r="M102" s="527" t="str">
        <f>M103&amp;"(含)"&amp;"-"&amp;P103</f>
        <v>(含)-</v>
      </c>
      <c r="N102" s="932"/>
      <c r="O102" s="932"/>
      <c r="P102" s="1919"/>
      <c r="Q102" s="453"/>
    </row>
    <row r="103" spans="1:17" s="422" customFormat="1">
      <c r="A103" s="542"/>
      <c r="B103" s="543"/>
      <c r="C103" s="544">
        <v>0</v>
      </c>
      <c r="D103" s="544">
        <v>50</v>
      </c>
      <c r="E103" s="544">
        <v>100</v>
      </c>
      <c r="F103" s="544"/>
      <c r="G103" s="544"/>
      <c r="H103" s="544"/>
      <c r="I103" s="544"/>
      <c r="J103" s="545"/>
      <c r="K103" s="545"/>
      <c r="L103" s="546"/>
      <c r="M103" s="547"/>
      <c r="N103" s="935"/>
      <c r="O103" s="935"/>
      <c r="P103" s="1920"/>
      <c r="Q103" s="508"/>
    </row>
    <row r="104" spans="1:17" s="422" customFormat="1" ht="15.75" thickBot="1">
      <c r="A104" s="502"/>
      <c r="B104" s="492"/>
      <c r="C104" s="509">
        <v>100</v>
      </c>
      <c r="D104" s="485">
        <v>98</v>
      </c>
      <c r="E104" s="485">
        <v>96</v>
      </c>
      <c r="F104" s="485"/>
      <c r="G104" s="485"/>
      <c r="H104" s="485"/>
      <c r="I104" s="485"/>
      <c r="J104" s="485"/>
      <c r="K104" s="485"/>
      <c r="L104" s="485"/>
      <c r="M104" s="485"/>
      <c r="N104" s="934"/>
      <c r="O104" s="934"/>
      <c r="P104" s="1920"/>
      <c r="Q104" s="508"/>
    </row>
    <row r="105" spans="1:17" ht="15" thickTop="1">
      <c r="A105" s="548"/>
      <c r="B105" s="487" t="s">
        <v>1738</v>
      </c>
      <c r="C105" s="3451" t="s">
        <v>3413</v>
      </c>
      <c r="D105" s="503"/>
      <c r="E105" s="532"/>
      <c r="F105" s="532"/>
      <c r="G105" s="532"/>
      <c r="H105" s="532"/>
      <c r="I105" s="532"/>
      <c r="J105" s="532"/>
      <c r="K105" s="533"/>
      <c r="L105" s="534"/>
      <c r="M105" s="535"/>
      <c r="N105" s="933"/>
      <c r="O105" s="933"/>
      <c r="P105" s="1919"/>
      <c r="Q105" s="453"/>
    </row>
    <row r="106" spans="1:17" ht="15.75" thickBot="1">
      <c r="A106" s="483"/>
      <c r="B106" s="492"/>
      <c r="C106" s="493">
        <v>100</v>
      </c>
      <c r="D106" s="493">
        <f t="shared" ref="D106:M106" si="28">C106-$K34</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3">
        <f t="shared" si="28"/>
        <v>100</v>
      </c>
      <c r="N106" s="934"/>
      <c r="O106" s="934"/>
      <c r="P106" s="1919"/>
      <c r="Q106" s="453"/>
    </row>
    <row r="107" spans="1:17" ht="15" thickTop="1">
      <c r="A107" s="548"/>
      <c r="B107" s="487" t="s">
        <v>1739</v>
      </c>
      <c r="C107" s="532"/>
      <c r="D107" s="532"/>
      <c r="E107" s="532"/>
      <c r="F107" s="532"/>
      <c r="G107" s="532"/>
      <c r="H107" s="532"/>
      <c r="I107" s="532"/>
      <c r="J107" s="532"/>
      <c r="K107" s="533"/>
      <c r="L107" s="534"/>
      <c r="M107" s="535"/>
      <c r="N107" s="933"/>
      <c r="O107" s="933"/>
      <c r="P107" s="1919"/>
      <c r="Q107" s="453"/>
    </row>
    <row r="108" spans="1:17"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934"/>
      <c r="O108" s="934"/>
      <c r="P108" s="1919"/>
      <c r="Q108" s="453"/>
    </row>
    <row r="109" spans="1:17" ht="15" thickTop="1">
      <c r="A109" s="548"/>
      <c r="B109" s="487" t="s">
        <v>1740</v>
      </c>
      <c r="C109" s="3451" t="s">
        <v>3415</v>
      </c>
      <c r="D109" s="503"/>
      <c r="E109" s="503"/>
      <c r="F109" s="532"/>
      <c r="G109" s="532"/>
      <c r="H109" s="532"/>
      <c r="I109" s="532"/>
      <c r="J109" s="532"/>
      <c r="K109" s="533"/>
      <c r="L109" s="534"/>
      <c r="M109" s="535"/>
      <c r="N109" s="933"/>
      <c r="O109" s="933"/>
      <c r="P109" s="1919"/>
      <c r="Q109" s="453"/>
    </row>
    <row r="110" spans="1:17" ht="15.75" thickBot="1">
      <c r="A110" s="483"/>
      <c r="B110" s="492"/>
      <c r="C110" s="493">
        <v>100</v>
      </c>
      <c r="D110" s="493">
        <f t="shared" ref="D110:M110" si="30">C110-$K36</f>
        <v>100</v>
      </c>
      <c r="E110" s="493">
        <f t="shared" si="30"/>
        <v>100</v>
      </c>
      <c r="F110" s="493">
        <f t="shared" si="30"/>
        <v>100</v>
      </c>
      <c r="G110" s="493">
        <f t="shared" si="30"/>
        <v>100</v>
      </c>
      <c r="H110" s="493">
        <f t="shared" si="30"/>
        <v>100</v>
      </c>
      <c r="I110" s="493">
        <f t="shared" si="30"/>
        <v>100</v>
      </c>
      <c r="J110" s="493">
        <f t="shared" si="30"/>
        <v>100</v>
      </c>
      <c r="K110" s="493">
        <f t="shared" si="30"/>
        <v>100</v>
      </c>
      <c r="L110" s="493">
        <f t="shared" si="30"/>
        <v>100</v>
      </c>
      <c r="M110" s="493">
        <f t="shared" si="30"/>
        <v>100</v>
      </c>
      <c r="N110" s="934"/>
      <c r="O110" s="934"/>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0"/>
      <c r="Q113" s="508"/>
    </row>
    <row r="114" spans="1:17" ht="15" thickTop="1">
      <c r="A114" s="548"/>
      <c r="B114" s="487" t="s">
        <v>1741</v>
      </c>
      <c r="C114" s="503"/>
      <c r="D114" s="503"/>
      <c r="E114" s="532"/>
      <c r="F114" s="532"/>
      <c r="G114" s="532"/>
      <c r="H114" s="532"/>
      <c r="I114" s="532"/>
      <c r="J114" s="532"/>
      <c r="K114" s="533"/>
      <c r="L114" s="534"/>
      <c r="M114" s="535"/>
      <c r="N114" s="933"/>
      <c r="O114" s="933"/>
      <c r="P114" s="1919"/>
      <c r="Q114" s="453"/>
    </row>
    <row r="115" spans="1:17" ht="15.75" thickBot="1">
      <c r="A115" s="483"/>
      <c r="B115" s="492"/>
      <c r="C115" s="493">
        <v>100</v>
      </c>
      <c r="D115" s="493">
        <f t="shared" ref="D115:M115" si="31">C115-$K38</f>
        <v>100</v>
      </c>
      <c r="E115" s="493">
        <f t="shared" si="31"/>
        <v>100</v>
      </c>
      <c r="F115" s="493">
        <f t="shared" si="31"/>
        <v>100</v>
      </c>
      <c r="G115" s="493">
        <f t="shared" si="31"/>
        <v>100</v>
      </c>
      <c r="H115" s="493">
        <f t="shared" si="31"/>
        <v>100</v>
      </c>
      <c r="I115" s="493">
        <f t="shared" si="31"/>
        <v>100</v>
      </c>
      <c r="J115" s="493">
        <f t="shared" si="31"/>
        <v>100</v>
      </c>
      <c r="K115" s="493">
        <f t="shared" si="31"/>
        <v>100</v>
      </c>
      <c r="L115" s="493">
        <f t="shared" si="31"/>
        <v>100</v>
      </c>
      <c r="M115" s="493">
        <f t="shared" si="31"/>
        <v>100</v>
      </c>
      <c r="N115" s="934"/>
      <c r="O115" s="934"/>
      <c r="P115" s="1919"/>
      <c r="Q115" s="453"/>
    </row>
    <row r="116" spans="1:17" ht="15" thickTop="1">
      <c r="A116" s="548"/>
      <c r="B116" s="487" t="s">
        <v>1742</v>
      </c>
      <c r="C116" s="503"/>
      <c r="D116" s="503"/>
      <c r="E116" s="503"/>
      <c r="F116" s="503"/>
      <c r="G116" s="503"/>
      <c r="H116" s="532"/>
      <c r="I116" s="532"/>
      <c r="J116" s="532"/>
      <c r="K116" s="533"/>
      <c r="L116" s="534"/>
      <c r="M116" s="535"/>
      <c r="N116" s="933"/>
      <c r="O116" s="933"/>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9"/>
      <c r="Q117" s="453"/>
    </row>
    <row r="118" spans="1:17" ht="15" thickTop="1">
      <c r="A118" s="548"/>
      <c r="B118" s="487" t="s">
        <v>1743</v>
      </c>
      <c r="C118" s="532"/>
      <c r="D118" s="532"/>
      <c r="E118" s="532"/>
      <c r="F118" s="532"/>
      <c r="G118" s="532"/>
      <c r="H118" s="532"/>
      <c r="I118" s="532"/>
      <c r="J118" s="532"/>
      <c r="K118" s="533"/>
      <c r="L118" s="534"/>
      <c r="M118" s="535"/>
      <c r="N118" s="933"/>
      <c r="O118" s="933"/>
      <c r="P118" s="1919"/>
      <c r="Q118" s="453"/>
    </row>
    <row r="119" spans="1:17" ht="15.75" thickBot="1">
      <c r="A119" s="483"/>
      <c r="B119" s="492"/>
      <c r="C119" s="493">
        <v>100</v>
      </c>
      <c r="D119" s="493">
        <f t="shared" ref="D119:M119" si="32">C119-$K40</f>
        <v>100</v>
      </c>
      <c r="E119" s="493">
        <f t="shared" si="32"/>
        <v>100</v>
      </c>
      <c r="F119" s="493">
        <f t="shared" si="32"/>
        <v>100</v>
      </c>
      <c r="G119" s="493">
        <f t="shared" si="32"/>
        <v>100</v>
      </c>
      <c r="H119" s="493">
        <f t="shared" si="32"/>
        <v>100</v>
      </c>
      <c r="I119" s="493">
        <f t="shared" si="32"/>
        <v>100</v>
      </c>
      <c r="J119" s="493">
        <f t="shared" si="32"/>
        <v>100</v>
      </c>
      <c r="K119" s="493">
        <f t="shared" si="32"/>
        <v>100</v>
      </c>
      <c r="L119" s="493">
        <f t="shared" si="32"/>
        <v>100</v>
      </c>
      <c r="M119" s="493">
        <f t="shared" si="32"/>
        <v>100</v>
      </c>
      <c r="N119" s="934"/>
      <c r="O119" s="934"/>
      <c r="P119" s="1919"/>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0"/>
      <c r="Q120" s="508"/>
    </row>
    <row r="121" spans="1:17" s="422" customFormat="1" ht="15.75" thickBot="1">
      <c r="A121" s="502"/>
      <c r="B121" s="484"/>
      <c r="C121" s="509"/>
      <c r="D121" s="485"/>
      <c r="E121" s="485"/>
      <c r="F121" s="485"/>
      <c r="G121" s="485"/>
      <c r="H121" s="485"/>
      <c r="I121" s="485"/>
      <c r="J121" s="485"/>
      <c r="K121" s="485"/>
      <c r="L121" s="485"/>
      <c r="M121" s="485"/>
      <c r="N121" s="935"/>
      <c r="O121" s="935"/>
      <c r="P121" s="1920"/>
      <c r="Q121" s="508"/>
    </row>
    <row r="122" spans="1:17" ht="15" thickTop="1">
      <c r="A122" s="548"/>
      <c r="B122" s="487" t="s">
        <v>1744</v>
      </c>
      <c r="C122" s="3451" t="s">
        <v>3415</v>
      </c>
      <c r="D122" s="503"/>
      <c r="E122" s="503"/>
      <c r="F122" s="532"/>
      <c r="G122" s="532"/>
      <c r="H122" s="532"/>
      <c r="I122" s="532"/>
      <c r="J122" s="532"/>
      <c r="K122" s="533"/>
      <c r="L122" s="534"/>
      <c r="M122" s="535"/>
      <c r="N122" s="933"/>
      <c r="O122" s="933"/>
      <c r="P122" s="1919"/>
      <c r="Q122" s="453"/>
    </row>
    <row r="123" spans="1:17" ht="15.75" thickBot="1">
      <c r="A123" s="483"/>
      <c r="B123" s="492"/>
      <c r="C123" s="493">
        <v>100</v>
      </c>
      <c r="D123" s="493">
        <f t="shared" ref="D123:M123" si="33">C123-$K42</f>
        <v>100</v>
      </c>
      <c r="E123" s="493">
        <f t="shared" si="33"/>
        <v>100</v>
      </c>
      <c r="F123" s="493">
        <f t="shared" si="33"/>
        <v>100</v>
      </c>
      <c r="G123" s="493">
        <f t="shared" si="33"/>
        <v>100</v>
      </c>
      <c r="H123" s="493">
        <f t="shared" si="33"/>
        <v>100</v>
      </c>
      <c r="I123" s="493">
        <f t="shared" si="33"/>
        <v>100</v>
      </c>
      <c r="J123" s="493">
        <f t="shared" si="33"/>
        <v>100</v>
      </c>
      <c r="K123" s="493">
        <f t="shared" si="33"/>
        <v>100</v>
      </c>
      <c r="L123" s="493">
        <f t="shared" si="33"/>
        <v>100</v>
      </c>
      <c r="M123" s="493">
        <f t="shared" si="33"/>
        <v>100</v>
      </c>
      <c r="N123" s="934"/>
      <c r="O123" s="934"/>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9"/>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0"/>
      <c r="Q126" s="508"/>
    </row>
    <row r="127" spans="1:17" s="422" customFormat="1" ht="15.75" thickBot="1">
      <c r="A127" s="502"/>
      <c r="B127" s="492"/>
      <c r="C127" s="509"/>
      <c r="D127" s="485"/>
      <c r="E127" s="485"/>
      <c r="F127" s="485"/>
      <c r="G127" s="509"/>
      <c r="H127" s="511"/>
      <c r="I127" s="511"/>
      <c r="J127" s="511"/>
      <c r="K127" s="511"/>
      <c r="L127" s="511"/>
      <c r="M127" s="512"/>
      <c r="N127" s="935"/>
      <c r="O127" s="935"/>
      <c r="P127" s="1920"/>
      <c r="Q127" s="508"/>
    </row>
    <row r="128" spans="1:17" ht="15" thickTop="1">
      <c r="A128" s="548"/>
      <c r="B128" s="487">
        <f>B45</f>
        <v>111</v>
      </c>
      <c r="C128" s="503"/>
      <c r="D128" s="503"/>
      <c r="E128" s="503"/>
      <c r="F128" s="503"/>
      <c r="G128" s="532"/>
      <c r="H128" s="532"/>
      <c r="I128" s="532"/>
      <c r="J128" s="532"/>
      <c r="K128" s="533"/>
      <c r="L128" s="534"/>
      <c r="M128" s="535"/>
      <c r="N128" s="933"/>
      <c r="O128" s="933"/>
      <c r="P128" s="1919"/>
      <c r="Q128" s="453"/>
    </row>
    <row r="129" spans="1:17" ht="15.75" thickBot="1">
      <c r="A129" s="483"/>
      <c r="B129" s="492"/>
      <c r="C129" s="509"/>
      <c r="D129" s="509"/>
      <c r="E129" s="509"/>
      <c r="F129" s="509"/>
      <c r="G129" s="485"/>
      <c r="H129" s="485"/>
      <c r="I129" s="485"/>
      <c r="J129" s="485"/>
      <c r="K129" s="485"/>
      <c r="L129" s="485"/>
      <c r="M129" s="486"/>
      <c r="N129" s="934"/>
      <c r="O129" s="934"/>
      <c r="P129" s="1919"/>
      <c r="Q129" s="453"/>
    </row>
    <row r="130" spans="1:17" ht="15" thickTop="1">
      <c r="A130" s="548"/>
      <c r="B130" s="495">
        <f>B46</f>
        <v>111</v>
      </c>
      <c r="C130" s="503"/>
      <c r="D130" s="503"/>
      <c r="E130" s="503"/>
      <c r="F130" s="503"/>
      <c r="G130" s="536"/>
      <c r="H130" s="536"/>
      <c r="I130" s="536"/>
      <c r="J130" s="536"/>
      <c r="K130" s="472"/>
      <c r="L130" s="473"/>
      <c r="M130" s="539"/>
      <c r="N130" s="933"/>
      <c r="O130" s="933"/>
      <c r="P130" s="1919"/>
      <c r="Q130" s="453"/>
    </row>
    <row r="131" spans="1:17" ht="15.75" thickBot="1">
      <c r="A131" s="1925"/>
      <c r="B131" s="518"/>
      <c r="C131" s="519"/>
      <c r="D131" s="519"/>
      <c r="E131" s="519"/>
      <c r="F131" s="519"/>
      <c r="G131" s="540"/>
      <c r="H131" s="540"/>
      <c r="I131" s="540"/>
      <c r="J131" s="540"/>
      <c r="K131" s="540"/>
      <c r="L131" s="540"/>
      <c r="M131" s="541"/>
      <c r="N131" s="934"/>
      <c r="O131" s="934"/>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7">
        <v>6</v>
      </c>
      <c r="C139" s="868">
        <v>96</v>
      </c>
      <c r="D139" s="1937" t="s">
        <v>1755</v>
      </c>
      <c r="E139" s="869">
        <v>100</v>
      </c>
      <c r="F139" s="870">
        <v>102.5</v>
      </c>
      <c r="G139" s="1937" t="s">
        <v>1755</v>
      </c>
      <c r="H139" s="871">
        <v>105</v>
      </c>
      <c r="I139" s="1938" t="s">
        <v>1756</v>
      </c>
      <c r="J139" s="868">
        <v>20</v>
      </c>
      <c r="K139" s="872">
        <f>C145/(J139-2)</f>
        <v>4.0555555555555553E-3</v>
      </c>
    </row>
    <row r="140" spans="1:17" ht="15">
      <c r="B140" s="873">
        <v>5</v>
      </c>
      <c r="C140" s="874">
        <v>100</v>
      </c>
      <c r="D140" s="874"/>
      <c r="E140" s="875"/>
      <c r="F140" s="876">
        <v>102</v>
      </c>
      <c r="G140" s="874"/>
      <c r="H140" s="877"/>
      <c r="I140" s="1939" t="s">
        <v>1757</v>
      </c>
      <c r="J140" s="271">
        <f>ROUNDUP((J139-1)/2,0)</f>
        <v>10</v>
      </c>
      <c r="K140" s="878">
        <v>100</v>
      </c>
    </row>
    <row r="141" spans="1:17" ht="15">
      <c r="B141" s="873">
        <v>4</v>
      </c>
      <c r="C141" s="874">
        <v>102</v>
      </c>
      <c r="D141" s="874"/>
      <c r="E141" s="875"/>
      <c r="F141" s="876">
        <v>101.5</v>
      </c>
      <c r="G141" s="874"/>
      <c r="H141" s="877"/>
      <c r="I141" s="1939" t="s">
        <v>1758</v>
      </c>
      <c r="J141" s="271">
        <v>1</v>
      </c>
      <c r="K141" s="879">
        <f>ROUND(100+(J141-J140)*K139*100,1)</f>
        <v>96.4</v>
      </c>
    </row>
    <row r="142" spans="1:17" ht="15">
      <c r="B142" s="873">
        <v>3</v>
      </c>
      <c r="C142" s="874">
        <v>103</v>
      </c>
      <c r="D142" s="874"/>
      <c r="E142" s="875"/>
      <c r="F142" s="876">
        <v>101</v>
      </c>
      <c r="G142" s="874"/>
      <c r="H142" s="877"/>
      <c r="I142" s="1939" t="s">
        <v>1759</v>
      </c>
      <c r="J142" s="271">
        <f>J139</f>
        <v>20</v>
      </c>
      <c r="K142" s="880">
        <v>95</v>
      </c>
    </row>
    <row r="143" spans="1:17" ht="15">
      <c r="B143" s="873">
        <v>2</v>
      </c>
      <c r="C143" s="874">
        <v>100</v>
      </c>
      <c r="D143" s="874"/>
      <c r="E143" s="875"/>
      <c r="F143" s="876">
        <v>100.5</v>
      </c>
      <c r="G143" s="874"/>
      <c r="H143" s="877"/>
      <c r="I143" s="1939" t="s">
        <v>1760</v>
      </c>
      <c r="J143" s="874">
        <v>15</v>
      </c>
      <c r="K143" s="879">
        <f>ROUND(100+(J143-J140)*K139*100,1)</f>
        <v>102</v>
      </c>
    </row>
    <row r="144" spans="1:17" ht="15">
      <c r="B144" s="873">
        <v>1</v>
      </c>
      <c r="C144" s="874">
        <v>98</v>
      </c>
      <c r="D144" s="1940" t="s">
        <v>1761</v>
      </c>
      <c r="E144" s="875">
        <v>102</v>
      </c>
      <c r="F144" s="881">
        <v>100</v>
      </c>
      <c r="G144" s="1940" t="s">
        <v>1761</v>
      </c>
      <c r="H144" s="877">
        <v>105</v>
      </c>
      <c r="I144" s="1939" t="s">
        <v>1760</v>
      </c>
      <c r="J144" s="874">
        <v>18</v>
      </c>
      <c r="K144" s="879">
        <f>ROUND(100+(J144-J140)*K139*100,1)</f>
        <v>103.2</v>
      </c>
    </row>
    <row r="145" spans="2:11" ht="15.75" thickBot="1">
      <c r="B145" s="1941" t="s">
        <v>1762</v>
      </c>
      <c r="C145" s="882">
        <f>ROUND(MAX(C139:C144)/MIN(C139:C144)-1,3)</f>
        <v>7.2999999999999995E-2</v>
      </c>
      <c r="D145" s="883"/>
      <c r="E145" s="883"/>
      <c r="F145" s="1942" t="s">
        <v>1763</v>
      </c>
      <c r="G145" s="1943"/>
      <c r="H145" s="1944"/>
      <c r="I145" s="1945" t="s">
        <v>1760</v>
      </c>
      <c r="J145" s="884">
        <v>8</v>
      </c>
      <c r="K145" s="885">
        <f>ROUND(100+(J145-J140)*K139*100,1)</f>
        <v>99.2</v>
      </c>
    </row>
    <row r="147" spans="2:11">
      <c r="B147" s="1926" t="s">
        <v>1764</v>
      </c>
    </row>
    <row r="148" spans="2:11">
      <c r="B148" s="192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2"/>
      <c r="F1" s="1879"/>
      <c r="G1" s="1235" t="s">
        <v>1767</v>
      </c>
      <c r="H1" s="1234"/>
      <c r="I1" s="1234"/>
      <c r="J1" s="1234"/>
      <c r="K1" s="1236"/>
      <c r="L1" s="1237"/>
      <c r="M1" s="1238"/>
      <c r="N1" s="1238"/>
      <c r="O1" s="1238"/>
      <c r="P1" s="1946"/>
      <c r="Q1" s="1947"/>
      <c r="R1" s="1947"/>
      <c r="S1" s="1947"/>
      <c r="T1" s="1947"/>
      <c r="U1" s="1947"/>
      <c r="V1" s="1947"/>
      <c r="W1" s="1947"/>
      <c r="X1" s="1947"/>
      <c r="Y1" s="1947"/>
      <c r="Z1" s="1947"/>
      <c r="AA1" s="1947"/>
      <c r="AB1" s="1947"/>
      <c r="AC1" s="1948"/>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1949"/>
      <c r="Q2" s="912"/>
      <c r="R2" s="912"/>
      <c r="S2" s="912"/>
      <c r="T2" s="912"/>
      <c r="U2" s="912"/>
      <c r="V2" s="912"/>
      <c r="W2" s="912"/>
      <c r="X2" s="912"/>
      <c r="Y2" s="912"/>
      <c r="Z2" s="912"/>
      <c r="AA2" s="912"/>
      <c r="AB2" s="912"/>
      <c r="AC2" s="1950"/>
    </row>
    <row r="3" spans="1:29" s="352" customFormat="1" ht="28.5" customHeight="1" thickBot="1">
      <c r="A3" s="203" t="s">
        <v>1464</v>
      </c>
      <c r="B3" s="558">
        <f>IF(C2="——",C49,ROUND(B2*10000/D3,0))</f>
        <v>0</v>
      </c>
      <c r="C3" s="354" t="s">
        <v>1768</v>
      </c>
      <c r="D3" s="353">
        <f>IF(D1="",'数据-汇总表'!E3,SUMIF('数据-汇总表'!$C19:$C33,D1,'数据-汇总表'!$E19:$E33))</f>
        <v>90.08</v>
      </c>
      <c r="E3" s="1951"/>
      <c r="F3" s="909"/>
      <c r="G3" s="908"/>
      <c r="H3" s="908"/>
      <c r="I3" s="908"/>
      <c r="J3" s="908"/>
      <c r="K3" s="910"/>
      <c r="L3" s="2730"/>
      <c r="M3" s="2731"/>
      <c r="N3" s="2731"/>
      <c r="O3" s="2731"/>
      <c r="P3" s="1949"/>
      <c r="Q3" s="912"/>
      <c r="R3" s="912"/>
      <c r="S3" s="912"/>
      <c r="T3" s="912"/>
      <c r="U3" s="912"/>
      <c r="V3" s="912"/>
      <c r="W3" s="912"/>
      <c r="X3" s="912"/>
      <c r="Y3" s="912"/>
      <c r="Z3" s="912"/>
      <c r="AA3" s="912"/>
      <c r="AB3" s="912"/>
      <c r="AC3" s="1951"/>
    </row>
    <row r="4" spans="1:29" ht="15">
      <c r="A4" s="355" t="s">
        <v>1769</v>
      </c>
      <c r="B4" s="356"/>
      <c r="C4" s="3700" t="s">
        <v>1770</v>
      </c>
      <c r="D4" s="3701"/>
      <c r="E4" s="3702" t="s">
        <v>1771</v>
      </c>
      <c r="F4" s="3703"/>
      <c r="G4" s="3700" t="s">
        <v>1772</v>
      </c>
      <c r="H4" s="3701"/>
      <c r="I4" s="3700" t="s">
        <v>1773</v>
      </c>
      <c r="J4" s="3701"/>
      <c r="K4" s="559" t="s">
        <v>1774</v>
      </c>
      <c r="L4" s="2711"/>
      <c r="M4" s="2712"/>
      <c r="N4" s="2712"/>
      <c r="O4" s="2712"/>
      <c r="P4" s="3704" t="s">
        <v>1775</v>
      </c>
      <c r="Q4" s="3705"/>
      <c r="R4" s="3686" t="s">
        <v>1771</v>
      </c>
      <c r="S4" s="3687"/>
      <c r="T4" s="3686" t="s">
        <v>1772</v>
      </c>
      <c r="U4" s="3687"/>
      <c r="V4" s="3712" t="s">
        <v>1773</v>
      </c>
      <c r="W4" s="3712"/>
      <c r="X4" s="1355"/>
      <c r="Y4" s="3686" t="s">
        <v>1775</v>
      </c>
      <c r="Z4" s="3687"/>
      <c r="AA4" s="3681" t="s">
        <v>1771</v>
      </c>
      <c r="AB4" s="3712" t="s">
        <v>1772</v>
      </c>
      <c r="AC4" s="3681" t="s">
        <v>1773</v>
      </c>
    </row>
    <row r="5" spans="1:29" ht="15">
      <c r="A5" s="358"/>
      <c r="B5" s="359"/>
      <c r="C5" s="3696" t="s">
        <v>1673</v>
      </c>
      <c r="D5" s="3693"/>
      <c r="E5" s="3690" t="s">
        <v>1674</v>
      </c>
      <c r="F5" s="3691"/>
      <c r="G5" s="3696" t="s">
        <v>1675</v>
      </c>
      <c r="H5" s="3693"/>
      <c r="I5" s="3696" t="s">
        <v>1676</v>
      </c>
      <c r="J5" s="3693"/>
      <c r="K5" s="559"/>
      <c r="L5" s="2711"/>
      <c r="M5" s="2712"/>
      <c r="N5" s="2712"/>
      <c r="O5" s="2712"/>
      <c r="P5" s="3706"/>
      <c r="Q5" s="3707"/>
      <c r="R5" s="3688"/>
      <c r="S5" s="3689"/>
      <c r="T5" s="3688"/>
      <c r="U5" s="3689"/>
      <c r="V5" s="3712"/>
      <c r="W5" s="3712"/>
      <c r="X5" s="1355"/>
      <c r="Y5" s="3688"/>
      <c r="Z5" s="3689"/>
      <c r="AA5" s="3682"/>
      <c r="AB5" s="3712"/>
      <c r="AC5" s="3682"/>
    </row>
    <row r="6" spans="1:29" ht="15.75" thickBot="1">
      <c r="A6" s="360"/>
      <c r="B6" s="361"/>
      <c r="C6" s="3694" t="s">
        <v>1677</v>
      </c>
      <c r="D6" s="3695"/>
      <c r="E6" s="3697" t="s">
        <v>1677</v>
      </c>
      <c r="F6" s="3698"/>
      <c r="G6" s="3694" t="s">
        <v>1677</v>
      </c>
      <c r="H6" s="3695"/>
      <c r="I6" s="3694" t="s">
        <v>1677</v>
      </c>
      <c r="J6" s="3695"/>
      <c r="K6" s="559" t="s">
        <v>1678</v>
      </c>
      <c r="L6" s="2711"/>
      <c r="M6" s="2712"/>
      <c r="N6" s="2712"/>
      <c r="O6" s="2712"/>
      <c r="P6" s="3708"/>
      <c r="Q6" s="3709"/>
      <c r="R6" s="3688"/>
      <c r="S6" s="3689"/>
      <c r="T6" s="3710"/>
      <c r="U6" s="3711"/>
      <c r="V6" s="3712"/>
      <c r="W6" s="3712"/>
      <c r="X6" s="1355"/>
      <c r="Y6" s="3710"/>
      <c r="Z6" s="3711"/>
      <c r="AA6" s="3683"/>
      <c r="AB6" s="3712"/>
      <c r="AC6" s="3683"/>
    </row>
    <row r="7" spans="1:29" s="108" customFormat="1" ht="15.75" thickBot="1">
      <c r="A7" s="362" t="s">
        <v>1679</v>
      </c>
      <c r="B7" s="363"/>
      <c r="C7" s="364">
        <f>'数据-取费表'!B2</f>
        <v>45189</v>
      </c>
      <c r="D7" s="365">
        <v>100</v>
      </c>
      <c r="E7" s="366"/>
      <c r="F7" s="367">
        <f>SUMIF(58:58,YEAR(E7)&amp;"-"&amp;MONTH(E7),59:59)</f>
        <v>0</v>
      </c>
      <c r="G7" s="366"/>
      <c r="H7" s="365">
        <f>SUMIF(58:58,YEAR(G7)&amp;"-"&amp;MONTH(G7),59:59)</f>
        <v>0</v>
      </c>
      <c r="I7" s="366"/>
      <c r="J7" s="365">
        <f>SUMIF(58:58,YEAR(I7)&amp;"-"&amp;MONTH(I7),59:59)</f>
        <v>0</v>
      </c>
      <c r="K7" s="560"/>
      <c r="L7" s="2713"/>
      <c r="M7" s="2714"/>
      <c r="N7" s="2714"/>
      <c r="O7" s="2714"/>
      <c r="P7" s="3684" t="s">
        <v>1680</v>
      </c>
      <c r="Q7" s="3713"/>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684" t="s">
        <v>1683</v>
      </c>
      <c r="Q8" s="3685"/>
      <c r="R8" s="701" t="s">
        <v>14</v>
      </c>
      <c r="S8" s="702">
        <f t="shared" si="0"/>
        <v>100</v>
      </c>
      <c r="T8" s="701" t="s">
        <v>14</v>
      </c>
      <c r="U8" s="702">
        <f t="shared" si="1"/>
        <v>100</v>
      </c>
      <c r="V8" s="701" t="s">
        <v>14</v>
      </c>
      <c r="W8" s="702">
        <f t="shared" si="2"/>
        <v>100</v>
      </c>
      <c r="X8" s="703"/>
      <c r="Y8" s="3684" t="s">
        <v>1683</v>
      </c>
      <c r="Z8" s="368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699"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699"/>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699"/>
      <c r="Q11" s="1343"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99"/>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99"/>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99"/>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26" t="s">
        <v>1691</v>
      </c>
      <c r="Q15" s="1352" t="str">
        <f t="shared" si="6"/>
        <v>商业繁华度</v>
      </c>
      <c r="R15" s="705" t="s">
        <v>14</v>
      </c>
      <c r="S15" s="706">
        <f t="shared" si="0"/>
        <v>100</v>
      </c>
      <c r="T15" s="705" t="s">
        <v>14</v>
      </c>
      <c r="U15" s="706">
        <f t="shared" si="1"/>
        <v>100</v>
      </c>
      <c r="V15" s="705" t="s">
        <v>14</v>
      </c>
      <c r="W15" s="706">
        <f t="shared" si="2"/>
        <v>100</v>
      </c>
      <c r="X15" s="1355"/>
      <c r="Y15" s="371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8"/>
      <c r="M16" s="2712"/>
      <c r="N16" s="2712"/>
      <c r="O16" s="2712"/>
      <c r="P16" s="3727"/>
      <c r="Q16" s="1352"/>
      <c r="R16" s="705"/>
      <c r="S16" s="706"/>
      <c r="T16" s="705"/>
      <c r="U16" s="706"/>
      <c r="V16" s="705"/>
      <c r="W16" s="706"/>
      <c r="X16" s="1355"/>
      <c r="Y16" s="3720"/>
      <c r="Z16" s="1356"/>
      <c r="AA16" s="1353">
        <v>1</v>
      </c>
      <c r="AB16" s="1353">
        <v>1</v>
      </c>
      <c r="AC16" s="1353">
        <v>1</v>
      </c>
    </row>
    <row r="17" spans="1:29" ht="114">
      <c r="A17" s="379"/>
      <c r="B17" s="402" t="s">
        <v>1259</v>
      </c>
      <c r="C17" s="1899" t="str">
        <f>估价对象房地状况!C6</f>
        <v>周边有F2、F13、F36、F41、616、833路等多条公交线路经过并设站，距离地铁房山线良乡南关约2公里，交通较便捷。</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27"/>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2718"/>
      <c r="M18" s="2712"/>
      <c r="N18" s="2712"/>
      <c r="O18" s="2712"/>
      <c r="P18" s="3727"/>
      <c r="Q18" s="1352"/>
      <c r="R18" s="705"/>
      <c r="S18" s="706"/>
      <c r="T18" s="705"/>
      <c r="U18" s="706"/>
      <c r="V18" s="705"/>
      <c r="W18" s="706"/>
      <c r="X18" s="1355"/>
      <c r="Y18" s="3720"/>
      <c r="Z18" s="1356"/>
      <c r="AA18" s="1353">
        <v>1</v>
      </c>
      <c r="AB18" s="1353">
        <v>1</v>
      </c>
      <c r="AC18" s="1353">
        <v>1</v>
      </c>
    </row>
    <row r="19" spans="1:29" ht="256.5">
      <c r="A19" s="379"/>
      <c r="B19" s="402" t="s">
        <v>1778</v>
      </c>
      <c r="C19" s="1899" t="str">
        <f>估价对象房地状况!C7</f>
        <v>周边有华冠购物中心、龙湖房山天街、永辉超市等商业项目；有中国建设银行、中国工商银行、北京农商银行等金融机构；有房山区妇幼保健院、北京仁德医院、良乡医院等医疗机构，有良乡第二中学、良乡第三小学、北师大良乡附中、良乡幼儿园等教育机构；公共配套设施齐备度较好</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27"/>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2718"/>
      <c r="M20" s="2712"/>
      <c r="N20" s="2712"/>
      <c r="O20" s="2712"/>
      <c r="P20" s="3727"/>
      <c r="Q20" s="1352"/>
      <c r="R20" s="705"/>
      <c r="S20" s="706"/>
      <c r="T20" s="705"/>
      <c r="U20" s="706"/>
      <c r="V20" s="705"/>
      <c r="W20" s="706"/>
      <c r="X20" s="1355"/>
      <c r="Y20" s="3720"/>
      <c r="Z20" s="1356"/>
      <c r="AA20" s="1353">
        <v>1</v>
      </c>
      <c r="AB20" s="1353">
        <v>1</v>
      </c>
      <c r="AC20" s="1353">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27"/>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2718"/>
      <c r="M22" s="2712"/>
      <c r="N22" s="2712"/>
      <c r="O22" s="2712"/>
      <c r="P22" s="3727"/>
      <c r="Q22" s="1352"/>
      <c r="R22" s="705"/>
      <c r="S22" s="706"/>
      <c r="T22" s="705"/>
      <c r="U22" s="706"/>
      <c r="V22" s="705"/>
      <c r="W22" s="706"/>
      <c r="X22" s="1355"/>
      <c r="Y22" s="3720"/>
      <c r="Z22" s="1356"/>
      <c r="AA22" s="1353">
        <v>1</v>
      </c>
      <c r="AB22" s="1353">
        <v>1</v>
      </c>
      <c r="AC22" s="1353">
        <v>1</v>
      </c>
    </row>
    <row r="23" spans="1:29" ht="99.75">
      <c r="A23" s="379"/>
      <c r="B23" s="402" t="s">
        <v>1261</v>
      </c>
      <c r="C23" s="1952" t="str">
        <f>估价对象房地状况!C9</f>
        <v>估价对象周边有刺猬河、北潞园健身公园、房山区良乡体育中心等自然人文景观，总体自然人文环境较好。</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27"/>
      <c r="Q23" s="1352" t="str">
        <f>B23</f>
        <v>自然及人文环境</v>
      </c>
      <c r="R23" s="705" t="s">
        <v>14</v>
      </c>
      <c r="S23" s="706">
        <f>F23</f>
        <v>100</v>
      </c>
      <c r="T23" s="705" t="s">
        <v>14</v>
      </c>
      <c r="U23" s="706">
        <f>H23</f>
        <v>100</v>
      </c>
      <c r="V23" s="705" t="s">
        <v>14</v>
      </c>
      <c r="W23" s="706">
        <f>J23</f>
        <v>100</v>
      </c>
      <c r="X23" s="1355"/>
      <c r="Y23" s="3720"/>
      <c r="Z23" s="1356" t="str">
        <f>Q23</f>
        <v>自然及人文环境</v>
      </c>
      <c r="AA23" s="1353">
        <f t="shared" si="3"/>
        <v>1</v>
      </c>
      <c r="AB23" s="1353">
        <f t="shared" si="4"/>
        <v>1</v>
      </c>
      <c r="AC23" s="1353">
        <f t="shared" si="5"/>
        <v>1</v>
      </c>
    </row>
    <row r="24" spans="1:29" ht="15">
      <c r="A24" s="379"/>
      <c r="B24" s="407"/>
      <c r="C24" s="398"/>
      <c r="D24" s="399"/>
      <c r="E24" s="1897"/>
      <c r="F24" s="400"/>
      <c r="G24" s="1896"/>
      <c r="H24" s="399"/>
      <c r="I24" s="1897"/>
      <c r="J24" s="399"/>
      <c r="K24" s="564"/>
      <c r="L24" s="2718"/>
      <c r="M24" s="2712"/>
      <c r="N24" s="2712"/>
      <c r="O24" s="2712"/>
      <c r="P24" s="3727"/>
      <c r="Q24" s="1352"/>
      <c r="R24" s="705"/>
      <c r="S24" s="706"/>
      <c r="T24" s="705"/>
      <c r="U24" s="706"/>
      <c r="V24" s="705"/>
      <c r="W24" s="706"/>
      <c r="X24" s="1355"/>
      <c r="Y24" s="372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27"/>
      <c r="Q25" s="1352" t="str">
        <f t="shared" ref="Q25:Q46" si="11">B25</f>
        <v>临街状况</v>
      </c>
      <c r="R25" s="705" t="s">
        <v>14</v>
      </c>
      <c r="S25" s="706">
        <f>F25</f>
        <v>100</v>
      </c>
      <c r="T25" s="705" t="s">
        <v>14</v>
      </c>
      <c r="U25" s="706">
        <f>H25</f>
        <v>100</v>
      </c>
      <c r="V25" s="705" t="s">
        <v>14</v>
      </c>
      <c r="W25" s="706">
        <f>J25</f>
        <v>100</v>
      </c>
      <c r="X25" s="1355"/>
      <c r="Y25" s="372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27"/>
      <c r="Q26" s="1352" t="str">
        <f t="shared" si="11"/>
        <v>平面位置/可视性</v>
      </c>
      <c r="R26" s="705" t="s">
        <v>14</v>
      </c>
      <c r="S26" s="706">
        <f>F26</f>
        <v>100</v>
      </c>
      <c r="T26" s="705" t="s">
        <v>14</v>
      </c>
      <c r="U26" s="706">
        <f>H26</f>
        <v>100</v>
      </c>
      <c r="V26" s="705" t="s">
        <v>14</v>
      </c>
      <c r="W26" s="706">
        <f>J26</f>
        <v>100</v>
      </c>
      <c r="X26" s="1355"/>
      <c r="Y26" s="3720"/>
      <c r="Z26" s="1356" t="str">
        <f>Q26</f>
        <v>平面位置/可视性</v>
      </c>
      <c r="AA26" s="1353">
        <f t="shared" si="3"/>
        <v>1</v>
      </c>
      <c r="AB26" s="1353">
        <f t="shared" si="4"/>
        <v>1</v>
      </c>
      <c r="AC26" s="1353">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13"/>
      <c r="M27" s="2714"/>
      <c r="N27" s="2714"/>
      <c r="O27" s="2714"/>
      <c r="P27" s="3727"/>
      <c r="Q27" s="1343" t="str">
        <f t="shared" si="11"/>
        <v>人流量</v>
      </c>
      <c r="R27" s="701" t="s">
        <v>14</v>
      </c>
      <c r="S27" s="702">
        <f>F27</f>
        <v>100</v>
      </c>
      <c r="T27" s="701" t="s">
        <v>14</v>
      </c>
      <c r="U27" s="702">
        <f>H27</f>
        <v>100</v>
      </c>
      <c r="V27" s="701" t="s">
        <v>14</v>
      </c>
      <c r="W27" s="702">
        <f>J27</f>
        <v>100</v>
      </c>
      <c r="X27" s="703"/>
      <c r="Y27" s="372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2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27"/>
      <c r="Q29" s="1352">
        <f t="shared" si="11"/>
        <v>111</v>
      </c>
      <c r="R29" s="705" t="s">
        <v>14</v>
      </c>
      <c r="S29" s="706">
        <f t="shared" si="12"/>
        <v>100</v>
      </c>
      <c r="T29" s="705" t="s">
        <v>14</v>
      </c>
      <c r="U29" s="706">
        <f t="shared" si="13"/>
        <v>100</v>
      </c>
      <c r="V29" s="705" t="s">
        <v>14</v>
      </c>
      <c r="W29" s="706">
        <f t="shared" si="14"/>
        <v>100</v>
      </c>
      <c r="X29" s="1355"/>
      <c r="Y29" s="372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27"/>
      <c r="Q30" s="1352">
        <f t="shared" si="11"/>
        <v>111</v>
      </c>
      <c r="R30" s="705" t="s">
        <v>14</v>
      </c>
      <c r="S30" s="706">
        <f t="shared" si="12"/>
        <v>100</v>
      </c>
      <c r="T30" s="705" t="s">
        <v>14</v>
      </c>
      <c r="U30" s="706">
        <f t="shared" si="13"/>
        <v>100</v>
      </c>
      <c r="V30" s="705" t="s">
        <v>14</v>
      </c>
      <c r="W30" s="706">
        <f t="shared" si="14"/>
        <v>100</v>
      </c>
      <c r="X30" s="1355"/>
      <c r="Y30" s="372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27"/>
      <c r="Q31" s="1352">
        <f t="shared" si="11"/>
        <v>111</v>
      </c>
      <c r="R31" s="705" t="s">
        <v>14</v>
      </c>
      <c r="S31" s="706">
        <f t="shared" si="12"/>
        <v>100</v>
      </c>
      <c r="T31" s="705" t="s">
        <v>14</v>
      </c>
      <c r="U31" s="706">
        <f t="shared" si="13"/>
        <v>100</v>
      </c>
      <c r="V31" s="705" t="s">
        <v>14</v>
      </c>
      <c r="W31" s="706">
        <f t="shared" si="14"/>
        <v>100</v>
      </c>
      <c r="X31" s="1355"/>
      <c r="Y31" s="3720"/>
      <c r="Z31" s="1356">
        <f t="shared" si="15"/>
        <v>111</v>
      </c>
      <c r="AA31" s="1353">
        <f t="shared" si="3"/>
        <v>1</v>
      </c>
      <c r="AB31" s="1353">
        <f t="shared" si="4"/>
        <v>1</v>
      </c>
      <c r="AC31" s="1353">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8"/>
      <c r="M32" s="2712"/>
      <c r="N32" s="2712"/>
      <c r="O32" s="2712"/>
      <c r="P32" s="3721" t="s">
        <v>1696</v>
      </c>
      <c r="Q32" s="1352" t="str">
        <f t="shared" si="11"/>
        <v>商业类型</v>
      </c>
      <c r="R32" s="705" t="s">
        <v>14</v>
      </c>
      <c r="S32" s="706">
        <f t="shared" si="12"/>
        <v>100</v>
      </c>
      <c r="T32" s="705" t="s">
        <v>14</v>
      </c>
      <c r="U32" s="706">
        <f t="shared" si="13"/>
        <v>100</v>
      </c>
      <c r="V32" s="705" t="s">
        <v>14</v>
      </c>
      <c r="W32" s="706">
        <f t="shared" si="14"/>
        <v>100</v>
      </c>
      <c r="X32" s="1355"/>
      <c r="Y32" s="372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22"/>
      <c r="Q33" s="707" t="str">
        <f t="shared" si="11"/>
        <v>项目建筑规模</v>
      </c>
      <c r="R33" s="708" t="s">
        <v>14</v>
      </c>
      <c r="S33" s="709" t="e">
        <f t="shared" si="12"/>
        <v>#N/A</v>
      </c>
      <c r="T33" s="708" t="s">
        <v>14</v>
      </c>
      <c r="U33" s="709" t="e">
        <f t="shared" si="13"/>
        <v>#N/A</v>
      </c>
      <c r="V33" s="708" t="s">
        <v>14</v>
      </c>
      <c r="W33" s="709" t="e">
        <f t="shared" si="14"/>
        <v>#N/A</v>
      </c>
      <c r="X33" s="710"/>
      <c r="Y33" s="3724"/>
      <c r="Z33" s="711" t="str">
        <f t="shared" si="15"/>
        <v>项目建筑规模</v>
      </c>
      <c r="AA33" s="1353" t="e">
        <f t="shared" si="3"/>
        <v>#N/A</v>
      </c>
      <c r="AB33" s="1353" t="e">
        <f t="shared" si="4"/>
        <v>#N/A</v>
      </c>
      <c r="AC33" s="1353"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8"/>
      <c r="M34" s="2712"/>
      <c r="N34" s="2712"/>
      <c r="O34" s="2712"/>
      <c r="P34" s="3722"/>
      <c r="Q34" s="1352" t="str">
        <f t="shared" si="11"/>
        <v>建筑结构</v>
      </c>
      <c r="R34" s="705" t="s">
        <v>14</v>
      </c>
      <c r="S34" s="706">
        <f t="shared" si="12"/>
        <v>100</v>
      </c>
      <c r="T34" s="705" t="s">
        <v>14</v>
      </c>
      <c r="U34" s="706">
        <f t="shared" si="13"/>
        <v>100</v>
      </c>
      <c r="V34" s="705" t="s">
        <v>14</v>
      </c>
      <c r="W34" s="706">
        <f t="shared" si="14"/>
        <v>100</v>
      </c>
      <c r="X34" s="1355"/>
      <c r="Y34" s="3724"/>
      <c r="Z34" s="1356" t="str">
        <f t="shared" si="15"/>
        <v>建筑结构</v>
      </c>
      <c r="AA34" s="1353">
        <f t="shared" si="3"/>
        <v>1</v>
      </c>
      <c r="AB34" s="1353">
        <f t="shared" si="4"/>
        <v>1</v>
      </c>
      <c r="AC34" s="1353">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8"/>
      <c r="M35" s="2712"/>
      <c r="N35" s="2712"/>
      <c r="O35" s="2712"/>
      <c r="P35" s="3722"/>
      <c r="Q35" s="1352" t="str">
        <f t="shared" si="11"/>
        <v>公共部分装修</v>
      </c>
      <c r="R35" s="705" t="s">
        <v>14</v>
      </c>
      <c r="S35" s="706">
        <f t="shared" si="12"/>
        <v>100</v>
      </c>
      <c r="T35" s="705" t="s">
        <v>14</v>
      </c>
      <c r="U35" s="706">
        <f t="shared" si="13"/>
        <v>100</v>
      </c>
      <c r="V35" s="705" t="s">
        <v>14</v>
      </c>
      <c r="W35" s="706">
        <f t="shared" si="14"/>
        <v>100</v>
      </c>
      <c r="X35" s="1355"/>
      <c r="Y35" s="372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22"/>
      <c r="Q36" s="1352" t="str">
        <f t="shared" si="11"/>
        <v>成新度</v>
      </c>
      <c r="R36" s="705" t="s">
        <v>14</v>
      </c>
      <c r="S36" s="706" t="e">
        <f t="shared" si="12"/>
        <v>#N/A</v>
      </c>
      <c r="T36" s="705" t="s">
        <v>14</v>
      </c>
      <c r="U36" s="706" t="e">
        <f t="shared" si="13"/>
        <v>#N/A</v>
      </c>
      <c r="V36" s="705" t="s">
        <v>14</v>
      </c>
      <c r="W36" s="706" t="e">
        <f t="shared" si="14"/>
        <v>#N/A</v>
      </c>
      <c r="X36" s="1355"/>
      <c r="Y36" s="3724"/>
      <c r="Z36" s="1356" t="str">
        <f t="shared" si="15"/>
        <v>成新度</v>
      </c>
      <c r="AA36" s="1353" t="e">
        <f t="shared" si="3"/>
        <v>#N/A</v>
      </c>
      <c r="AB36" s="1353" t="e">
        <f t="shared" si="4"/>
        <v>#N/A</v>
      </c>
      <c r="AC36" s="1353"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3"/>
      <c r="M37" s="2714"/>
      <c r="N37" s="2714"/>
      <c r="O37" s="2714"/>
      <c r="P37" s="3722"/>
      <c r="Q37" s="1343" t="str">
        <f t="shared" si="11"/>
        <v>市政基础设施</v>
      </c>
      <c r="R37" s="701" t="s">
        <v>14</v>
      </c>
      <c r="S37" s="702">
        <f t="shared" si="12"/>
        <v>100</v>
      </c>
      <c r="T37" s="701" t="s">
        <v>14</v>
      </c>
      <c r="U37" s="702">
        <f t="shared" si="13"/>
        <v>100</v>
      </c>
      <c r="V37" s="701" t="s">
        <v>14</v>
      </c>
      <c r="W37" s="702">
        <f t="shared" si="14"/>
        <v>100</v>
      </c>
      <c r="X37" s="703"/>
      <c r="Y37" s="3724"/>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8"/>
      <c r="M38" s="2712"/>
      <c r="N38" s="2712"/>
      <c r="O38" s="2712"/>
      <c r="P38" s="3722" t="s">
        <v>1696</v>
      </c>
      <c r="Q38" s="1352" t="str">
        <f t="shared" si="11"/>
        <v>业态</v>
      </c>
      <c r="R38" s="705" t="s">
        <v>14</v>
      </c>
      <c r="S38" s="706">
        <f t="shared" si="12"/>
        <v>100</v>
      </c>
      <c r="T38" s="705" t="s">
        <v>14</v>
      </c>
      <c r="U38" s="706">
        <f t="shared" si="13"/>
        <v>100</v>
      </c>
      <c r="V38" s="705" t="s">
        <v>14</v>
      </c>
      <c r="W38" s="706">
        <f t="shared" si="14"/>
        <v>100</v>
      </c>
      <c r="X38" s="1355"/>
      <c r="Y38" s="3724" t="s">
        <v>1696</v>
      </c>
      <c r="Z38" s="1356" t="str">
        <f t="shared" si="15"/>
        <v>业态</v>
      </c>
      <c r="AA38" s="1353">
        <f t="shared" si="3"/>
        <v>1</v>
      </c>
      <c r="AB38" s="1353">
        <f t="shared" si="4"/>
        <v>1</v>
      </c>
      <c r="AC38" s="1353">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8"/>
      <c r="M39" s="2712"/>
      <c r="N39" s="2712"/>
      <c r="O39" s="2712"/>
      <c r="P39" s="3722"/>
      <c r="Q39" s="1352" t="str">
        <f t="shared" si="11"/>
        <v>层高</v>
      </c>
      <c r="R39" s="705" t="s">
        <v>14</v>
      </c>
      <c r="S39" s="706">
        <f t="shared" si="12"/>
        <v>100</v>
      </c>
      <c r="T39" s="705" t="s">
        <v>14</v>
      </c>
      <c r="U39" s="706">
        <f t="shared" si="13"/>
        <v>100</v>
      </c>
      <c r="V39" s="705" t="s">
        <v>14</v>
      </c>
      <c r="W39" s="706">
        <f t="shared" si="14"/>
        <v>100</v>
      </c>
      <c r="X39" s="1355"/>
      <c r="Y39" s="372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22"/>
      <c r="Q40" s="1352" t="str">
        <f t="shared" si="11"/>
        <v>单套建筑面积</v>
      </c>
      <c r="R40" s="705" t="s">
        <v>14</v>
      </c>
      <c r="S40" s="706">
        <f t="shared" si="12"/>
        <v>100</v>
      </c>
      <c r="T40" s="705" t="s">
        <v>14</v>
      </c>
      <c r="U40" s="706">
        <f t="shared" si="13"/>
        <v>100</v>
      </c>
      <c r="V40" s="705" t="s">
        <v>14</v>
      </c>
      <c r="W40" s="706">
        <f t="shared" si="14"/>
        <v>100</v>
      </c>
      <c r="X40" s="1355"/>
      <c r="Y40" s="372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22"/>
      <c r="Q41" s="707" t="str">
        <f t="shared" si="11"/>
        <v>进深比</v>
      </c>
      <c r="R41" s="708" t="s">
        <v>14</v>
      </c>
      <c r="S41" s="709">
        <f t="shared" si="12"/>
        <v>100</v>
      </c>
      <c r="T41" s="708" t="s">
        <v>14</v>
      </c>
      <c r="U41" s="709">
        <f t="shared" si="13"/>
        <v>100</v>
      </c>
      <c r="V41" s="708" t="s">
        <v>14</v>
      </c>
      <c r="W41" s="709">
        <f t="shared" si="14"/>
        <v>100</v>
      </c>
      <c r="X41" s="710"/>
      <c r="Y41" s="3724"/>
      <c r="Z41" s="711" t="str">
        <f t="shared" si="15"/>
        <v>进深比</v>
      </c>
      <c r="AA41" s="1353">
        <f t="shared" si="3"/>
        <v>1</v>
      </c>
      <c r="AB41" s="1353">
        <f t="shared" si="4"/>
        <v>1</v>
      </c>
      <c r="AC41" s="1353">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8"/>
      <c r="M42" s="2712"/>
      <c r="N42" s="2712"/>
      <c r="O42" s="2712"/>
      <c r="P42" s="3722"/>
      <c r="Q42" s="1352" t="str">
        <f t="shared" si="11"/>
        <v>内部装修</v>
      </c>
      <c r="R42" s="705" t="s">
        <v>14</v>
      </c>
      <c r="S42" s="706">
        <f t="shared" si="12"/>
        <v>100</v>
      </c>
      <c r="T42" s="705" t="s">
        <v>14</v>
      </c>
      <c r="U42" s="706">
        <f t="shared" si="13"/>
        <v>100</v>
      </c>
      <c r="V42" s="705" t="s">
        <v>14</v>
      </c>
      <c r="W42" s="706">
        <f t="shared" si="14"/>
        <v>100</v>
      </c>
      <c r="X42" s="1355"/>
      <c r="Y42" s="3724"/>
      <c r="Z42" s="1356" t="str">
        <f t="shared" si="15"/>
        <v>内部装修</v>
      </c>
      <c r="AA42" s="1353">
        <f t="shared" si="3"/>
        <v>1</v>
      </c>
      <c r="AB42" s="1353">
        <f t="shared" si="4"/>
        <v>1</v>
      </c>
      <c r="AC42" s="1353">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8"/>
      <c r="M43" s="2712"/>
      <c r="N43" s="2712"/>
      <c r="O43" s="2712"/>
      <c r="P43" s="3722"/>
      <c r="Q43" s="1352" t="str">
        <f t="shared" si="11"/>
        <v>内部装修维护情况</v>
      </c>
      <c r="R43" s="705" t="s">
        <v>14</v>
      </c>
      <c r="S43" s="706">
        <f t="shared" si="12"/>
        <v>100</v>
      </c>
      <c r="T43" s="705" t="s">
        <v>14</v>
      </c>
      <c r="U43" s="706">
        <f t="shared" si="13"/>
        <v>100</v>
      </c>
      <c r="V43" s="705" t="s">
        <v>14</v>
      </c>
      <c r="W43" s="706">
        <f t="shared" si="14"/>
        <v>100</v>
      </c>
      <c r="X43" s="1355"/>
      <c r="Y43" s="372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22"/>
      <c r="Q44" s="1343">
        <f t="shared" si="11"/>
        <v>111</v>
      </c>
      <c r="R44" s="701" t="s">
        <v>14</v>
      </c>
      <c r="S44" s="702">
        <f t="shared" si="12"/>
        <v>100</v>
      </c>
      <c r="T44" s="701" t="s">
        <v>14</v>
      </c>
      <c r="U44" s="702">
        <f t="shared" si="13"/>
        <v>100</v>
      </c>
      <c r="V44" s="701" t="s">
        <v>14</v>
      </c>
      <c r="W44" s="702">
        <f t="shared" si="14"/>
        <v>100</v>
      </c>
      <c r="X44" s="703"/>
      <c r="Y44" s="372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22"/>
      <c r="Q45" s="1352">
        <f t="shared" si="11"/>
        <v>111</v>
      </c>
      <c r="R45" s="705" t="s">
        <v>14</v>
      </c>
      <c r="S45" s="706">
        <f t="shared" si="12"/>
        <v>100</v>
      </c>
      <c r="T45" s="705" t="s">
        <v>14</v>
      </c>
      <c r="U45" s="706">
        <f t="shared" si="13"/>
        <v>100</v>
      </c>
      <c r="V45" s="705" t="s">
        <v>14</v>
      </c>
      <c r="W45" s="706">
        <f t="shared" si="14"/>
        <v>100</v>
      </c>
      <c r="X45" s="1355"/>
      <c r="Y45" s="3724"/>
      <c r="Z45" s="1356">
        <f t="shared" si="15"/>
        <v>111</v>
      </c>
      <c r="AA45" s="1353">
        <f t="shared" si="3"/>
        <v>1</v>
      </c>
      <c r="AB45" s="1353">
        <f t="shared" si="4"/>
        <v>1</v>
      </c>
      <c r="AC45" s="1353">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23"/>
      <c r="Q46" s="1352">
        <f t="shared" si="11"/>
        <v>111</v>
      </c>
      <c r="R46" s="705" t="s">
        <v>14</v>
      </c>
      <c r="S46" s="706">
        <f t="shared" si="12"/>
        <v>100</v>
      </c>
      <c r="T46" s="705" t="s">
        <v>14</v>
      </c>
      <c r="U46" s="706">
        <f t="shared" si="13"/>
        <v>100</v>
      </c>
      <c r="V46" s="705" t="s">
        <v>14</v>
      </c>
      <c r="W46" s="706">
        <f t="shared" si="14"/>
        <v>100</v>
      </c>
      <c r="X46" s="1355"/>
      <c r="Y46" s="372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0"/>
      <c r="M47" s="2721"/>
      <c r="N47" s="2712"/>
      <c r="O47" s="2721"/>
      <c r="P47" s="3717" t="str">
        <f>A47</f>
        <v>成交单价（元/平方米）</v>
      </c>
      <c r="Q47" s="3717"/>
      <c r="R47" s="3712">
        <f>E47</f>
        <v>0</v>
      </c>
      <c r="S47" s="3712"/>
      <c r="T47" s="3712">
        <f>G47</f>
        <v>0</v>
      </c>
      <c r="U47" s="3712"/>
      <c r="V47" s="3712">
        <f>I47</f>
        <v>0</v>
      </c>
      <c r="W47" s="3712"/>
      <c r="X47" s="690"/>
      <c r="Y47" s="712"/>
      <c r="Z47" s="690"/>
      <c r="AA47" s="690"/>
      <c r="AB47" s="690"/>
      <c r="AC47" s="690"/>
    </row>
    <row r="48" spans="1:29" ht="15.75" thickBot="1">
      <c r="A48" s="437" t="s">
        <v>1793</v>
      </c>
      <c r="B48" s="438"/>
      <c r="C48" s="1160" t="e">
        <f>R49</f>
        <v>#DIV/0!</v>
      </c>
      <c r="D48" s="2314" t="s">
        <v>2138</v>
      </c>
      <c r="E48" s="1161" t="e">
        <f>R48</f>
        <v>#DIV/0!</v>
      </c>
      <c r="F48" s="2315"/>
      <c r="G48" s="1160" t="e">
        <f>T48</f>
        <v>#DIV/0!</v>
      </c>
      <c r="H48" s="2315"/>
      <c r="I48" s="1161" t="e">
        <f>V48</f>
        <v>#DIV/0!</v>
      </c>
      <c r="J48" s="2315"/>
      <c r="K48" s="2317">
        <f>F48+H48+J48</f>
        <v>0</v>
      </c>
      <c r="L48" s="2720"/>
      <c r="M48" s="2721"/>
      <c r="N48" s="2712"/>
      <c r="O48" s="2721"/>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0"/>
      <c r="M49" s="2721"/>
      <c r="N49" s="2712"/>
      <c r="O49" s="2721"/>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4" t="str">
        <f>YEAR(C7)&amp;"-"&amp;MONTH(C7)</f>
        <v>2023-9</v>
      </c>
      <c r="D58" s="1185">
        <f>EDATE(C58,-1)</f>
        <v>45139</v>
      </c>
      <c r="E58" s="1185">
        <f t="shared" ref="E58:N58" si="16">EDATE(D58,-1)</f>
        <v>45108</v>
      </c>
      <c r="F58" s="1185">
        <f t="shared" si="16"/>
        <v>45078</v>
      </c>
      <c r="G58" s="1185">
        <f t="shared" si="16"/>
        <v>45047</v>
      </c>
      <c r="H58" s="1185">
        <f t="shared" si="16"/>
        <v>45017</v>
      </c>
      <c r="I58" s="1185">
        <f t="shared" si="16"/>
        <v>44986</v>
      </c>
      <c r="J58" s="1185">
        <f t="shared" si="16"/>
        <v>44958</v>
      </c>
      <c r="K58" s="1185">
        <f t="shared" si="16"/>
        <v>44927</v>
      </c>
      <c r="L58" s="1185">
        <f t="shared" si="16"/>
        <v>44896</v>
      </c>
      <c r="M58" s="1185">
        <f t="shared" si="16"/>
        <v>44866</v>
      </c>
      <c r="N58" s="1185">
        <f t="shared" si="16"/>
        <v>44835</v>
      </c>
      <c r="O58" s="1185">
        <f>EDATE(N58,-1)</f>
        <v>44805</v>
      </c>
      <c r="P58" s="2736"/>
      <c r="Q58" s="2737"/>
      <c r="R58" s="2737"/>
      <c r="S58" s="2737"/>
      <c r="T58" s="2737"/>
      <c r="U58" s="2737"/>
      <c r="V58" s="2737"/>
      <c r="W58" s="2737"/>
      <c r="X58" s="2737"/>
      <c r="Y58" s="2737"/>
      <c r="Z58" s="2737"/>
      <c r="AA58" s="2737"/>
      <c r="AB58" s="2737"/>
      <c r="AC58" s="2737"/>
    </row>
    <row r="59" spans="1:29" s="108" customFormat="1" ht="15">
      <c r="A59" s="458"/>
      <c r="B59" s="459"/>
      <c r="C59" s="1183">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4"/>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5"/>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5"/>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4" t="s">
        <v>1810</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90.08</v>
      </c>
      <c r="E3" s="1951"/>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700" t="s">
        <v>1770</v>
      </c>
      <c r="D4" s="3701"/>
      <c r="E4" s="3702" t="s">
        <v>1771</v>
      </c>
      <c r="F4" s="3703"/>
      <c r="G4" s="3700" t="s">
        <v>1772</v>
      </c>
      <c r="H4" s="3701"/>
      <c r="I4" s="3700" t="s">
        <v>1773</v>
      </c>
      <c r="J4" s="3701"/>
      <c r="K4" s="559" t="s">
        <v>1774</v>
      </c>
      <c r="L4" s="2711"/>
      <c r="M4" s="2712"/>
      <c r="N4" s="2712"/>
      <c r="O4" s="2712"/>
      <c r="P4" s="3734" t="s">
        <v>1775</v>
      </c>
      <c r="Q4" s="3735"/>
      <c r="R4" s="3729" t="s">
        <v>1771</v>
      </c>
      <c r="S4" s="3730"/>
      <c r="T4" s="3729" t="s">
        <v>1772</v>
      </c>
      <c r="U4" s="3730"/>
      <c r="V4" s="3738" t="s">
        <v>1773</v>
      </c>
      <c r="W4" s="3738"/>
      <c r="X4" s="1955"/>
      <c r="Y4" s="3729" t="s">
        <v>1775</v>
      </c>
      <c r="Z4" s="3730"/>
      <c r="AA4" s="3728" t="s">
        <v>1771</v>
      </c>
      <c r="AB4" s="3728" t="s">
        <v>1772</v>
      </c>
      <c r="AC4" s="3731" t="s">
        <v>1773</v>
      </c>
    </row>
    <row r="5" spans="1:29" ht="15">
      <c r="A5" s="358"/>
      <c r="B5" s="359"/>
      <c r="C5" s="3696" t="s">
        <v>1673</v>
      </c>
      <c r="D5" s="3693"/>
      <c r="E5" s="3690" t="s">
        <v>1674</v>
      </c>
      <c r="F5" s="3691"/>
      <c r="G5" s="3696" t="s">
        <v>1675</v>
      </c>
      <c r="H5" s="3693"/>
      <c r="I5" s="3696" t="s">
        <v>1676</v>
      </c>
      <c r="J5" s="3693"/>
      <c r="K5" s="559"/>
      <c r="L5" s="2711"/>
      <c r="M5" s="2712"/>
      <c r="N5" s="2712"/>
      <c r="O5" s="2712"/>
      <c r="P5" s="3736"/>
      <c r="Q5" s="3707"/>
      <c r="R5" s="3688"/>
      <c r="S5" s="3689"/>
      <c r="T5" s="3688"/>
      <c r="U5" s="3689"/>
      <c r="V5" s="3712"/>
      <c r="W5" s="3712"/>
      <c r="X5" s="1355"/>
      <c r="Y5" s="3688"/>
      <c r="Z5" s="3689"/>
      <c r="AA5" s="3682"/>
      <c r="AB5" s="3682"/>
      <c r="AC5" s="3732"/>
    </row>
    <row r="6" spans="1:29" ht="15.75" thickBot="1">
      <c r="A6" s="360"/>
      <c r="B6" s="361"/>
      <c r="C6" s="3694" t="s">
        <v>1677</v>
      </c>
      <c r="D6" s="3695"/>
      <c r="E6" s="3697" t="s">
        <v>1677</v>
      </c>
      <c r="F6" s="3698"/>
      <c r="G6" s="3694" t="s">
        <v>1677</v>
      </c>
      <c r="H6" s="3695"/>
      <c r="I6" s="3694" t="s">
        <v>1677</v>
      </c>
      <c r="J6" s="3695"/>
      <c r="K6" s="559" t="s">
        <v>1678</v>
      </c>
      <c r="L6" s="2711"/>
      <c r="M6" s="2712"/>
      <c r="N6" s="2712"/>
      <c r="O6" s="2712"/>
      <c r="P6" s="3737"/>
      <c r="Q6" s="3709"/>
      <c r="R6" s="3688"/>
      <c r="S6" s="3689"/>
      <c r="T6" s="3710"/>
      <c r="U6" s="3711"/>
      <c r="V6" s="3712"/>
      <c r="W6" s="3712"/>
      <c r="X6" s="1355"/>
      <c r="Y6" s="3710"/>
      <c r="Z6" s="3711"/>
      <c r="AA6" s="3683"/>
      <c r="AB6" s="3683"/>
      <c r="AC6" s="3733"/>
    </row>
    <row r="7" spans="1:29" s="108" customFormat="1" ht="15.75" thickBot="1">
      <c r="A7" s="362" t="s">
        <v>1679</v>
      </c>
      <c r="B7" s="363"/>
      <c r="C7" s="364">
        <f>'数据-取费表'!B2</f>
        <v>45189</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39" t="s">
        <v>1680</v>
      </c>
      <c r="Q7" s="3713"/>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1956"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39" t="s">
        <v>1683</v>
      </c>
      <c r="Q8" s="3685"/>
      <c r="R8" s="701" t="s">
        <v>14</v>
      </c>
      <c r="S8" s="702">
        <f t="shared" si="0"/>
        <v>100</v>
      </c>
      <c r="T8" s="701" t="s">
        <v>14</v>
      </c>
      <c r="U8" s="702">
        <f t="shared" si="1"/>
        <v>100</v>
      </c>
      <c r="V8" s="701" t="s">
        <v>14</v>
      </c>
      <c r="W8" s="702">
        <f t="shared" si="2"/>
        <v>100</v>
      </c>
      <c r="X8" s="703"/>
      <c r="Y8" s="3684" t="s">
        <v>1683</v>
      </c>
      <c r="Z8" s="3685"/>
      <c r="AA8" s="704">
        <f t="shared" ref="AA8:AA47" si="3">D8/F8</f>
        <v>1</v>
      </c>
      <c r="AB8" s="704">
        <f t="shared" ref="AB8:AB47" si="4">D8/H8</f>
        <v>1</v>
      </c>
      <c r="AC8" s="1956">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699"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1956">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99"/>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99"/>
      <c r="Q11" s="1343" t="str">
        <f t="shared" si="6"/>
        <v>容积率</v>
      </c>
      <c r="R11" s="701" t="s">
        <v>14</v>
      </c>
      <c r="S11" s="702">
        <f t="shared" si="0"/>
        <v>100</v>
      </c>
      <c r="T11" s="701" t="s">
        <v>14</v>
      </c>
      <c r="U11" s="702">
        <f t="shared" si="1"/>
        <v>100</v>
      </c>
      <c r="V11" s="701" t="s">
        <v>14</v>
      </c>
      <c r="W11" s="702">
        <f t="shared" si="2"/>
        <v>100</v>
      </c>
      <c r="X11" s="703"/>
      <c r="Y11" s="3628"/>
      <c r="Z11" s="52" t="str">
        <f t="shared" si="7"/>
        <v>容积率</v>
      </c>
      <c r="AA11" s="704">
        <f t="shared" si="3"/>
        <v>1</v>
      </c>
      <c r="AB11" s="704">
        <f t="shared" si="4"/>
        <v>1</v>
      </c>
      <c r="AC11" s="1956">
        <f t="shared" si="5"/>
        <v>1</v>
      </c>
    </row>
    <row r="12" spans="1:29" s="108" customFormat="1" ht="15">
      <c r="A12" s="382"/>
      <c r="B12" s="1892">
        <v>111</v>
      </c>
      <c r="C12" s="383"/>
      <c r="D12" s="384">
        <v>100</v>
      </c>
      <c r="E12" s="383"/>
      <c r="F12" s="127">
        <f>SUMIF(71:71,E12,72:72)-SUMIF(71:71,C12,72:72)+100</f>
        <v>100</v>
      </c>
      <c r="G12" s="1957"/>
      <c r="H12" s="127">
        <f>SUMIF(71:71,G12,72:72)-SUMIF(71:71,C12,72:72)+100</f>
        <v>100</v>
      </c>
      <c r="I12" s="383"/>
      <c r="J12" s="127">
        <f>SUMIF(71:71,I12,72:72)-SUMIF(71:71,C12,72:72)+100</f>
        <v>100</v>
      </c>
      <c r="K12" s="562"/>
      <c r="L12" s="2713"/>
      <c r="M12" s="2714"/>
      <c r="N12" s="2714"/>
      <c r="O12" s="2714"/>
      <c r="P12" s="3699"/>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1956">
        <f>D12/J12</f>
        <v>1</v>
      </c>
    </row>
    <row r="13" spans="1:29" ht="15">
      <c r="A13" s="379"/>
      <c r="B13" s="1892">
        <v>111</v>
      </c>
      <c r="C13" s="385"/>
      <c r="D13" s="386">
        <v>100</v>
      </c>
      <c r="E13" s="383"/>
      <c r="F13" s="127">
        <f>SUMIF(73:73,E13,74:74)-SUMIF(73:73,C13,74:74)+100</f>
        <v>100</v>
      </c>
      <c r="G13" s="1957"/>
      <c r="H13" s="386">
        <f>SUMIF(73:73,G13,74:74)-SUMIF(73:73,C13,74:74)+100</f>
        <v>100</v>
      </c>
      <c r="I13" s="383"/>
      <c r="J13" s="386">
        <f>SUMIF(73:73,I13,74:74)-SUMIF(73:73,C13,74:74)+100</f>
        <v>100</v>
      </c>
      <c r="K13" s="562"/>
      <c r="L13" s="2718"/>
      <c r="M13" s="2712"/>
      <c r="N13" s="2712"/>
      <c r="O13" s="2712"/>
      <c r="P13" s="3699"/>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1956">
        <f t="shared" si="5"/>
        <v>1</v>
      </c>
    </row>
    <row r="14" spans="1:29" ht="15.75" thickBot="1">
      <c r="A14" s="387"/>
      <c r="B14" s="1894">
        <v>111</v>
      </c>
      <c r="C14" s="388"/>
      <c r="D14" s="389">
        <v>100</v>
      </c>
      <c r="E14" s="576"/>
      <c r="F14" s="389">
        <f>SUMIF(75:75,E14,76:76)-SUMIF(75:75,C14,76:76)+100</f>
        <v>100</v>
      </c>
      <c r="G14" s="1957"/>
      <c r="H14" s="389">
        <f>SUMIF(75:75,G14,76:76)-SUMIF(75:75,C14,76:76)+100</f>
        <v>100</v>
      </c>
      <c r="I14" s="383"/>
      <c r="J14" s="389">
        <f>SUMIF(75:75,I14,76:76)-SUMIF(75:75,C14,76:76)+100</f>
        <v>100</v>
      </c>
      <c r="K14" s="562"/>
      <c r="L14" s="2718"/>
      <c r="M14" s="2712"/>
      <c r="N14" s="2712"/>
      <c r="O14" s="2712"/>
      <c r="P14" s="3699"/>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1956">
        <f t="shared" si="5"/>
        <v>1</v>
      </c>
    </row>
    <row r="15" spans="1:29" ht="71.25">
      <c r="A15" s="391" t="s">
        <v>1690</v>
      </c>
      <c r="B15" s="577" t="s">
        <v>1811</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26" t="s">
        <v>1691</v>
      </c>
      <c r="Q15" s="1352" t="str">
        <f t="shared" si="6"/>
        <v>办公集聚程度</v>
      </c>
      <c r="R15" s="705" t="s">
        <v>14</v>
      </c>
      <c r="S15" s="706">
        <f t="shared" si="0"/>
        <v>100</v>
      </c>
      <c r="T15" s="705" t="s">
        <v>14</v>
      </c>
      <c r="U15" s="706">
        <f t="shared" si="1"/>
        <v>100</v>
      </c>
      <c r="V15" s="705" t="s">
        <v>14</v>
      </c>
      <c r="W15" s="706">
        <f t="shared" si="2"/>
        <v>100</v>
      </c>
      <c r="X15" s="1355"/>
      <c r="Y15" s="3719" t="s">
        <v>1691</v>
      </c>
      <c r="Z15" s="1356" t="str">
        <f t="shared" si="7"/>
        <v>办公集聚程度</v>
      </c>
      <c r="AA15" s="1353">
        <f t="shared" si="3"/>
        <v>1</v>
      </c>
      <c r="AB15" s="1353">
        <f t="shared" si="4"/>
        <v>1</v>
      </c>
      <c r="AC15" s="1959">
        <f t="shared" si="5"/>
        <v>1</v>
      </c>
    </row>
    <row r="16" spans="1:29" ht="15">
      <c r="A16" s="379"/>
      <c r="B16" s="578"/>
      <c r="C16" s="1903"/>
      <c r="D16" s="399"/>
      <c r="E16" s="398"/>
      <c r="F16" s="399"/>
      <c r="G16" s="1903"/>
      <c r="H16" s="401"/>
      <c r="I16" s="398"/>
      <c r="J16" s="399"/>
      <c r="K16" s="564"/>
      <c r="L16" s="2718"/>
      <c r="M16" s="2712"/>
      <c r="N16" s="2712"/>
      <c r="O16" s="2712"/>
      <c r="P16" s="3727"/>
      <c r="Q16" s="1352"/>
      <c r="R16" s="705"/>
      <c r="S16" s="706"/>
      <c r="T16" s="705"/>
      <c r="U16" s="706"/>
      <c r="V16" s="705"/>
      <c r="W16" s="706"/>
      <c r="X16" s="1355"/>
      <c r="Y16" s="3720"/>
      <c r="Z16" s="1356"/>
      <c r="AA16" s="1353">
        <v>1</v>
      </c>
      <c r="AB16" s="1353">
        <v>1</v>
      </c>
      <c r="AC16" s="1959">
        <v>1</v>
      </c>
    </row>
    <row r="17" spans="1:29" ht="99.75">
      <c r="A17" s="379"/>
      <c r="B17" s="579" t="s">
        <v>1259</v>
      </c>
      <c r="C17" s="1960" t="str">
        <f>估价对象房地状况!C6</f>
        <v>周边有F2、F13、F36、F41、616、833路等多条公交线路经过并设站，距离地铁房山线良乡南关约2公里，交通较便捷。</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27"/>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959">
        <f t="shared" si="5"/>
        <v>1</v>
      </c>
    </row>
    <row r="18" spans="1:29" ht="15">
      <c r="A18" s="379"/>
      <c r="B18" s="580"/>
      <c r="C18" s="1961"/>
      <c r="D18" s="401"/>
      <c r="E18" s="1901"/>
      <c r="F18" s="401"/>
      <c r="G18" s="1902"/>
      <c r="H18" s="399"/>
      <c r="I18" s="1902"/>
      <c r="J18" s="399"/>
      <c r="K18" s="564"/>
      <c r="L18" s="2718"/>
      <c r="M18" s="2712"/>
      <c r="N18" s="2712"/>
      <c r="O18" s="2712"/>
      <c r="P18" s="3727"/>
      <c r="Q18" s="1352"/>
      <c r="R18" s="705"/>
      <c r="S18" s="706"/>
      <c r="T18" s="705"/>
      <c r="U18" s="706"/>
      <c r="V18" s="705"/>
      <c r="W18" s="706"/>
      <c r="X18" s="1355"/>
      <c r="Y18" s="3720"/>
      <c r="Z18" s="1356"/>
      <c r="AA18" s="1353">
        <v>1</v>
      </c>
      <c r="AB18" s="1353">
        <v>1</v>
      </c>
      <c r="AC18" s="1959">
        <v>1</v>
      </c>
    </row>
    <row r="19" spans="1:29" ht="228">
      <c r="A19" s="379"/>
      <c r="B19" s="579" t="s">
        <v>1812</v>
      </c>
      <c r="C19" s="1960" t="str">
        <f>估价对象房地状况!C7</f>
        <v>周边有华冠购物中心、龙湖房山天街、永辉超市等商业项目；有中国建设银行、中国工商银行、北京农商银行等金融机构；有房山区妇幼保健院、北京仁德医院、良乡医院等医疗机构，有良乡第二中学、良乡第三小学、北师大良乡附中、良乡幼儿园等教育机构；公共配套设施齐备度较好</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27"/>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959">
        <f t="shared" si="5"/>
        <v>1</v>
      </c>
    </row>
    <row r="20" spans="1:29" ht="15">
      <c r="A20" s="379"/>
      <c r="B20" s="580"/>
      <c r="C20" s="1903"/>
      <c r="D20" s="399"/>
      <c r="E20" s="1896"/>
      <c r="F20" s="399"/>
      <c r="G20" s="1897"/>
      <c r="H20" s="399"/>
      <c r="I20" s="1897"/>
      <c r="J20" s="399"/>
      <c r="K20" s="564"/>
      <c r="L20" s="2718"/>
      <c r="M20" s="2712"/>
      <c r="N20" s="2712"/>
      <c r="O20" s="2712"/>
      <c r="P20" s="3727"/>
      <c r="Q20" s="1352"/>
      <c r="R20" s="705"/>
      <c r="S20" s="706"/>
      <c r="T20" s="705"/>
      <c r="U20" s="706"/>
      <c r="V20" s="705"/>
      <c r="W20" s="706"/>
      <c r="X20" s="1355"/>
      <c r="Y20" s="3720"/>
      <c r="Z20" s="1356"/>
      <c r="AA20" s="1353">
        <v>1</v>
      </c>
      <c r="AB20" s="1353">
        <v>1</v>
      </c>
      <c r="AC20" s="1959">
        <v>1</v>
      </c>
    </row>
    <row r="21" spans="1:29" ht="28.5">
      <c r="A21" s="379"/>
      <c r="B21" s="581"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27"/>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959">
        <f t="shared" ref="AC21" si="10">D21/J21</f>
        <v>1</v>
      </c>
    </row>
    <row r="22" spans="1:29" ht="15">
      <c r="A22" s="379"/>
      <c r="B22" s="581"/>
      <c r="C22" s="1961"/>
      <c r="D22" s="399"/>
      <c r="E22" s="398"/>
      <c r="F22" s="399"/>
      <c r="G22" s="1903"/>
      <c r="H22" s="399"/>
      <c r="I22" s="1903"/>
      <c r="J22" s="399"/>
      <c r="K22" s="1130"/>
      <c r="L22" s="2718"/>
      <c r="M22" s="2712"/>
      <c r="N22" s="2712"/>
      <c r="O22" s="2712"/>
      <c r="P22" s="3727"/>
      <c r="Q22" s="1352"/>
      <c r="R22" s="705"/>
      <c r="S22" s="706"/>
      <c r="T22" s="705"/>
      <c r="U22" s="706"/>
      <c r="V22" s="705"/>
      <c r="W22" s="706"/>
      <c r="X22" s="1355"/>
      <c r="Y22" s="3720"/>
      <c r="Z22" s="1356"/>
      <c r="AA22" s="1353">
        <v>1</v>
      </c>
      <c r="AB22" s="1353">
        <v>1</v>
      </c>
      <c r="AC22" s="1959">
        <v>1</v>
      </c>
    </row>
    <row r="23" spans="1:29" ht="85.5">
      <c r="A23" s="379"/>
      <c r="B23" s="579" t="s">
        <v>1814</v>
      </c>
      <c r="C23" s="1960" t="str">
        <f>估价对象房地状况!C9</f>
        <v>估价对象周边有刺猬河、北潞园健身公园、房山区良乡体育中心等自然人文景观，总体自然人文环境较好。</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27"/>
      <c r="Q23" s="1352" t="str">
        <f>B23</f>
        <v>环境质量</v>
      </c>
      <c r="R23" s="705" t="s">
        <v>14</v>
      </c>
      <c r="S23" s="706">
        <f>F23</f>
        <v>100</v>
      </c>
      <c r="T23" s="705" t="s">
        <v>14</v>
      </c>
      <c r="U23" s="706">
        <f>H23</f>
        <v>100</v>
      </c>
      <c r="V23" s="705" t="s">
        <v>14</v>
      </c>
      <c r="W23" s="706">
        <f>J23</f>
        <v>100</v>
      </c>
      <c r="X23" s="1355"/>
      <c r="Y23" s="3720"/>
      <c r="Z23" s="1356" t="str">
        <f>Q23</f>
        <v>环境质量</v>
      </c>
      <c r="AA23" s="1353">
        <f t="shared" si="3"/>
        <v>1</v>
      </c>
      <c r="AB23" s="1353">
        <f t="shared" si="4"/>
        <v>1</v>
      </c>
      <c r="AC23" s="1959">
        <f t="shared" si="5"/>
        <v>1</v>
      </c>
    </row>
    <row r="24" spans="1:29" ht="15">
      <c r="A24" s="379"/>
      <c r="B24" s="581"/>
      <c r="C24" s="1903"/>
      <c r="D24" s="399"/>
      <c r="E24" s="1896"/>
      <c r="F24" s="399"/>
      <c r="G24" s="1897"/>
      <c r="H24" s="399"/>
      <c r="I24" s="1897"/>
      <c r="J24" s="399"/>
      <c r="K24" s="564"/>
      <c r="L24" s="2718"/>
      <c r="M24" s="2712"/>
      <c r="N24" s="2712"/>
      <c r="O24" s="2712"/>
      <c r="P24" s="3727"/>
      <c r="Q24" s="1352"/>
      <c r="R24" s="705"/>
      <c r="S24" s="706"/>
      <c r="T24" s="705"/>
      <c r="U24" s="706"/>
      <c r="V24" s="705"/>
      <c r="W24" s="706"/>
      <c r="X24" s="1355"/>
      <c r="Y24" s="3720"/>
      <c r="Z24" s="1356"/>
      <c r="AA24" s="1353">
        <v>1</v>
      </c>
      <c r="AB24" s="1353">
        <v>1</v>
      </c>
      <c r="AC24" s="1959">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8"/>
      <c r="M25" s="2712"/>
      <c r="N25" s="2712"/>
      <c r="O25" s="2712"/>
      <c r="P25" s="3727"/>
      <c r="Q25" s="1352" t="str">
        <f>B25</f>
        <v>毗邻道路的类型与等级</v>
      </c>
      <c r="R25" s="705" t="s">
        <v>14</v>
      </c>
      <c r="S25" s="706">
        <f>F25</f>
        <v>100</v>
      </c>
      <c r="T25" s="705" t="s">
        <v>14</v>
      </c>
      <c r="U25" s="706">
        <f>H25</f>
        <v>100</v>
      </c>
      <c r="V25" s="705" t="s">
        <v>14</v>
      </c>
      <c r="W25" s="706">
        <f>J25</f>
        <v>100</v>
      </c>
      <c r="X25" s="1355"/>
      <c r="Y25" s="3720"/>
      <c r="Z25" s="1356" t="str">
        <f>Q25</f>
        <v>毗邻道路的类型与等级</v>
      </c>
      <c r="AA25" s="1353">
        <f t="shared" si="3"/>
        <v>1</v>
      </c>
      <c r="AB25" s="1353">
        <f t="shared" si="4"/>
        <v>1</v>
      </c>
      <c r="AC25" s="1959">
        <f t="shared" si="5"/>
        <v>1</v>
      </c>
    </row>
    <row r="26" spans="1:29" ht="15">
      <c r="A26" s="358"/>
      <c r="B26" s="580"/>
      <c r="C26" s="582"/>
      <c r="D26" s="386"/>
      <c r="E26" s="565"/>
      <c r="F26" s="386"/>
      <c r="G26" s="582"/>
      <c r="H26" s="386"/>
      <c r="I26" s="565"/>
      <c r="J26" s="386"/>
      <c r="K26" s="564"/>
      <c r="L26" s="2718"/>
      <c r="M26" s="2712"/>
      <c r="N26" s="2712"/>
      <c r="O26" s="2712"/>
      <c r="P26" s="3727"/>
      <c r="Q26" s="1352"/>
      <c r="R26" s="705"/>
      <c r="S26" s="706"/>
      <c r="T26" s="705"/>
      <c r="U26" s="706"/>
      <c r="V26" s="705"/>
      <c r="W26" s="706"/>
      <c r="X26" s="1355"/>
      <c r="Y26" s="3720"/>
      <c r="Z26" s="1356"/>
      <c r="AA26" s="1353">
        <v>1</v>
      </c>
      <c r="AB26" s="1353">
        <v>1</v>
      </c>
      <c r="AC26" s="1959">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27"/>
      <c r="Q27" s="1352" t="str">
        <f t="shared" ref="Q27:Q47" si="11">B27</f>
        <v>楼层</v>
      </c>
      <c r="R27" s="705" t="s">
        <v>14</v>
      </c>
      <c r="S27" s="706">
        <f>F27</f>
        <v>100</v>
      </c>
      <c r="T27" s="705" t="s">
        <v>14</v>
      </c>
      <c r="U27" s="706">
        <f>H27</f>
        <v>100</v>
      </c>
      <c r="V27" s="705" t="s">
        <v>14</v>
      </c>
      <c r="W27" s="706">
        <f>J27</f>
        <v>100</v>
      </c>
      <c r="X27" s="1355"/>
      <c r="Y27" s="3720"/>
      <c r="Z27" s="1356" t="str">
        <f>Q27</f>
        <v>楼层</v>
      </c>
      <c r="AA27" s="1353">
        <f t="shared" si="3"/>
        <v>1</v>
      </c>
      <c r="AB27" s="1353">
        <f t="shared" si="4"/>
        <v>1</v>
      </c>
      <c r="AC27" s="1959">
        <f t="shared" si="5"/>
        <v>1</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3"/>
      <c r="M28" s="2714"/>
      <c r="N28" s="2714"/>
      <c r="O28" s="2714"/>
      <c r="P28" s="3727"/>
      <c r="Q28" s="1343" t="str">
        <f t="shared" si="11"/>
        <v>朝向</v>
      </c>
      <c r="R28" s="701" t="s">
        <v>14</v>
      </c>
      <c r="S28" s="702">
        <f>F28</f>
        <v>100</v>
      </c>
      <c r="T28" s="701" t="s">
        <v>14</v>
      </c>
      <c r="U28" s="702">
        <f>H28</f>
        <v>100</v>
      </c>
      <c r="V28" s="701" t="s">
        <v>14</v>
      </c>
      <c r="W28" s="702">
        <f>J28</f>
        <v>100</v>
      </c>
      <c r="X28" s="703"/>
      <c r="Y28" s="3720"/>
      <c r="Z28" s="52" t="str">
        <f>Q28</f>
        <v>朝向</v>
      </c>
      <c r="AA28" s="1353">
        <f>D28/F28</f>
        <v>1</v>
      </c>
      <c r="AB28" s="1353">
        <f>D28/H28</f>
        <v>1</v>
      </c>
      <c r="AC28" s="1959">
        <f>D28/J28</f>
        <v>1</v>
      </c>
    </row>
    <row r="29" spans="1:29" ht="15">
      <c r="A29" s="379"/>
      <c r="B29" s="1963">
        <v>111</v>
      </c>
      <c r="C29" s="1907"/>
      <c r="D29" s="386">
        <v>100</v>
      </c>
      <c r="E29" s="383"/>
      <c r="F29" s="386">
        <f>SUMIF(93:93,E29,94:94)-SUMIF(93:93,C29,94:94)+100</f>
        <v>100</v>
      </c>
      <c r="G29" s="1957"/>
      <c r="H29" s="386">
        <f>SUMIF(93:93,G29,94:94)-SUMIF(93:93,C29,94:94)+100</f>
        <v>100</v>
      </c>
      <c r="I29" s="383"/>
      <c r="J29" s="386">
        <f>SUMIF(93:93,I29,94:94)-SUMIF(93:93,C29,94:94)+100</f>
        <v>100</v>
      </c>
      <c r="K29" s="562"/>
      <c r="L29" s="2718"/>
      <c r="M29" s="2712"/>
      <c r="N29" s="2712"/>
      <c r="O29" s="2712"/>
      <c r="P29" s="3727"/>
      <c r="Q29" s="1352">
        <f t="shared" si="11"/>
        <v>111</v>
      </c>
      <c r="R29" s="705" t="s">
        <v>14</v>
      </c>
      <c r="S29" s="706">
        <f t="shared" ref="S29:S47" si="12">F29</f>
        <v>100</v>
      </c>
      <c r="T29" s="705" t="s">
        <v>14</v>
      </c>
      <c r="U29" s="706">
        <f t="shared" ref="U29:U47" si="13">H29</f>
        <v>100</v>
      </c>
      <c r="V29" s="705" t="s">
        <v>14</v>
      </c>
      <c r="W29" s="706">
        <f t="shared" ref="W29:W47" si="14">J29</f>
        <v>100</v>
      </c>
      <c r="X29" s="1355"/>
      <c r="Y29" s="3720"/>
      <c r="Z29" s="1356">
        <f t="shared" ref="Z29:Z47" si="15">Q29</f>
        <v>111</v>
      </c>
      <c r="AA29" s="1353">
        <f t="shared" si="3"/>
        <v>1</v>
      </c>
      <c r="AB29" s="1353">
        <f t="shared" si="4"/>
        <v>1</v>
      </c>
      <c r="AC29" s="1959">
        <f t="shared" si="5"/>
        <v>1</v>
      </c>
    </row>
    <row r="30" spans="1:29" ht="15">
      <c r="A30" s="379"/>
      <c r="B30" s="1963">
        <v>111</v>
      </c>
      <c r="C30" s="1907"/>
      <c r="D30" s="386">
        <v>100</v>
      </c>
      <c r="E30" s="383"/>
      <c r="F30" s="386">
        <f>SUMIF(95:95,E30,96:96)-SUMIF(95:95,C30,96:96)+100</f>
        <v>100</v>
      </c>
      <c r="G30" s="1957"/>
      <c r="H30" s="386">
        <f>SUMIF(95:95,G30,96:96)-SUMIF(95:95,C30,96:96)+100</f>
        <v>100</v>
      </c>
      <c r="I30" s="383"/>
      <c r="J30" s="386">
        <f>SUMIF(95:95,I30,96:96)-SUMIF(95:95,C30,96:96)+100</f>
        <v>100</v>
      </c>
      <c r="K30" s="562"/>
      <c r="L30" s="2718"/>
      <c r="M30" s="2712"/>
      <c r="N30" s="2712"/>
      <c r="O30" s="2712"/>
      <c r="P30" s="3727"/>
      <c r="Q30" s="1352">
        <f t="shared" si="11"/>
        <v>111</v>
      </c>
      <c r="R30" s="705" t="s">
        <v>14</v>
      </c>
      <c r="S30" s="706">
        <f t="shared" si="12"/>
        <v>100</v>
      </c>
      <c r="T30" s="705" t="s">
        <v>14</v>
      </c>
      <c r="U30" s="706">
        <f t="shared" si="13"/>
        <v>100</v>
      </c>
      <c r="V30" s="705" t="s">
        <v>14</v>
      </c>
      <c r="W30" s="706">
        <f t="shared" si="14"/>
        <v>100</v>
      </c>
      <c r="X30" s="1355"/>
      <c r="Y30" s="3720"/>
      <c r="Z30" s="1356">
        <f t="shared" si="15"/>
        <v>111</v>
      </c>
      <c r="AA30" s="1353">
        <f t="shared" si="3"/>
        <v>1</v>
      </c>
      <c r="AB30" s="1353">
        <f t="shared" si="4"/>
        <v>1</v>
      </c>
      <c r="AC30" s="1959">
        <f t="shared" si="5"/>
        <v>1</v>
      </c>
    </row>
    <row r="31" spans="1:29" ht="15">
      <c r="A31" s="379"/>
      <c r="B31" s="1963">
        <v>111</v>
      </c>
      <c r="C31" s="1907"/>
      <c r="D31" s="386">
        <v>100</v>
      </c>
      <c r="E31" s="383"/>
      <c r="F31" s="386">
        <f>SUMIF(97:97,E31,98:98)-SUMIF(97:97,C31,98:98)+100</f>
        <v>100</v>
      </c>
      <c r="G31" s="1957"/>
      <c r="H31" s="386">
        <f>SUMIF(97:97,G31,98:98)-SUMIF(97:97,C31,98:98)+100</f>
        <v>100</v>
      </c>
      <c r="I31" s="383"/>
      <c r="J31" s="386">
        <f>SUMIF(97:97,I31,98:98)-SUMIF(97:97,C31,98:98)+100</f>
        <v>100</v>
      </c>
      <c r="K31" s="562"/>
      <c r="L31" s="2718"/>
      <c r="M31" s="2712"/>
      <c r="N31" s="2712"/>
      <c r="O31" s="2712"/>
      <c r="P31" s="3727"/>
      <c r="Q31" s="1352">
        <f t="shared" si="11"/>
        <v>111</v>
      </c>
      <c r="R31" s="705" t="s">
        <v>14</v>
      </c>
      <c r="S31" s="706">
        <f t="shared" si="12"/>
        <v>100</v>
      </c>
      <c r="T31" s="705" t="s">
        <v>14</v>
      </c>
      <c r="U31" s="706">
        <f t="shared" si="13"/>
        <v>100</v>
      </c>
      <c r="V31" s="705" t="s">
        <v>14</v>
      </c>
      <c r="W31" s="706">
        <f t="shared" si="14"/>
        <v>100</v>
      </c>
      <c r="X31" s="1355"/>
      <c r="Y31" s="3720"/>
      <c r="Z31" s="1356">
        <f t="shared" si="15"/>
        <v>111</v>
      </c>
      <c r="AA31" s="1353">
        <f t="shared" si="3"/>
        <v>1</v>
      </c>
      <c r="AB31" s="1353">
        <f t="shared" si="4"/>
        <v>1</v>
      </c>
      <c r="AC31" s="1959">
        <f t="shared" si="5"/>
        <v>1</v>
      </c>
    </row>
    <row r="32" spans="1:29" ht="15.75" thickBot="1">
      <c r="A32" s="387"/>
      <c r="B32" s="583">
        <v>111</v>
      </c>
      <c r="C32" s="1908"/>
      <c r="D32" s="389">
        <v>100</v>
      </c>
      <c r="E32" s="576"/>
      <c r="F32" s="389">
        <f>SUMIF(99:99,E32,100:100)-SUMIF(99:99,C32,100:100)+100</f>
        <v>100</v>
      </c>
      <c r="G32" s="1957"/>
      <c r="H32" s="389">
        <f>SUMIF(99:99,G32,100:100)-SUMIF(99:99,C32,100:100)+100</f>
        <v>100</v>
      </c>
      <c r="I32" s="383"/>
      <c r="J32" s="389">
        <f>SUMIF(99:99,I32,100:100)-SUMIF(99:99,C32,100:100)+100</f>
        <v>100</v>
      </c>
      <c r="K32" s="562"/>
      <c r="L32" s="2718"/>
      <c r="M32" s="2712"/>
      <c r="N32" s="2712"/>
      <c r="O32" s="2712"/>
      <c r="P32" s="3727"/>
      <c r="Q32" s="1352">
        <f t="shared" si="11"/>
        <v>111</v>
      </c>
      <c r="R32" s="705" t="s">
        <v>14</v>
      </c>
      <c r="S32" s="706">
        <f t="shared" si="12"/>
        <v>100</v>
      </c>
      <c r="T32" s="705" t="s">
        <v>14</v>
      </c>
      <c r="U32" s="706">
        <f t="shared" si="13"/>
        <v>100</v>
      </c>
      <c r="V32" s="705" t="s">
        <v>14</v>
      </c>
      <c r="W32" s="706">
        <f t="shared" si="14"/>
        <v>100</v>
      </c>
      <c r="X32" s="1355"/>
      <c r="Y32" s="3720"/>
      <c r="Z32" s="1356">
        <f t="shared" si="15"/>
        <v>111</v>
      </c>
      <c r="AA32" s="1353">
        <f t="shared" si="3"/>
        <v>1</v>
      </c>
      <c r="AB32" s="1353">
        <f t="shared" si="4"/>
        <v>1</v>
      </c>
      <c r="AC32" s="1959">
        <f t="shared" si="5"/>
        <v>1</v>
      </c>
    </row>
    <row r="33" spans="1:29" ht="15">
      <c r="A33" s="391" t="s">
        <v>1694</v>
      </c>
      <c r="B33" s="63" t="s">
        <v>1817</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8"/>
      <c r="M33" s="2712"/>
      <c r="N33" s="2712"/>
      <c r="O33" s="2712"/>
      <c r="P33" s="3721" t="s">
        <v>1696</v>
      </c>
      <c r="Q33" s="1352" t="str">
        <f t="shared" si="11"/>
        <v>建筑类型</v>
      </c>
      <c r="R33" s="705" t="s">
        <v>14</v>
      </c>
      <c r="S33" s="706">
        <f t="shared" si="12"/>
        <v>100</v>
      </c>
      <c r="T33" s="705" t="s">
        <v>14</v>
      </c>
      <c r="U33" s="706">
        <f t="shared" si="13"/>
        <v>100</v>
      </c>
      <c r="V33" s="705" t="s">
        <v>14</v>
      </c>
      <c r="W33" s="706">
        <f t="shared" si="14"/>
        <v>100</v>
      </c>
      <c r="X33" s="1355"/>
      <c r="Y33" s="3724" t="s">
        <v>1696</v>
      </c>
      <c r="Z33" s="1356" t="str">
        <f t="shared" si="15"/>
        <v>建筑类型</v>
      </c>
      <c r="AA33" s="1353">
        <f t="shared" si="3"/>
        <v>1</v>
      </c>
      <c r="AB33" s="1353">
        <f t="shared" si="4"/>
        <v>1</v>
      </c>
      <c r="AC33" s="1959">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22"/>
      <c r="Q34" s="707" t="str">
        <f t="shared" si="11"/>
        <v>项目建筑规模</v>
      </c>
      <c r="R34" s="708" t="s">
        <v>14</v>
      </c>
      <c r="S34" s="709" t="e">
        <f t="shared" si="12"/>
        <v>#N/A</v>
      </c>
      <c r="T34" s="708" t="s">
        <v>14</v>
      </c>
      <c r="U34" s="709" t="e">
        <f t="shared" si="13"/>
        <v>#N/A</v>
      </c>
      <c r="V34" s="708" t="s">
        <v>14</v>
      </c>
      <c r="W34" s="709" t="e">
        <f t="shared" si="14"/>
        <v>#N/A</v>
      </c>
      <c r="X34" s="710"/>
      <c r="Y34" s="3724"/>
      <c r="Z34" s="711" t="str">
        <f t="shared" si="15"/>
        <v>项目建筑规模</v>
      </c>
      <c r="AA34" s="1353" t="e">
        <f t="shared" si="3"/>
        <v>#N/A</v>
      </c>
      <c r="AB34" s="1353" t="e">
        <f t="shared" si="4"/>
        <v>#N/A</v>
      </c>
      <c r="AC34" s="1959"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22"/>
      <c r="Q35" s="1352" t="str">
        <f t="shared" si="11"/>
        <v>建筑结构</v>
      </c>
      <c r="R35" s="705" t="s">
        <v>14</v>
      </c>
      <c r="S35" s="706">
        <f t="shared" si="12"/>
        <v>100</v>
      </c>
      <c r="T35" s="705" t="s">
        <v>14</v>
      </c>
      <c r="U35" s="706">
        <f t="shared" si="13"/>
        <v>100</v>
      </c>
      <c r="V35" s="705" t="s">
        <v>14</v>
      </c>
      <c r="W35" s="706">
        <f t="shared" si="14"/>
        <v>100</v>
      </c>
      <c r="X35" s="1355"/>
      <c r="Y35" s="3724"/>
      <c r="Z35" s="1356" t="str">
        <f t="shared" si="15"/>
        <v>建筑结构</v>
      </c>
      <c r="AA35" s="1353">
        <f t="shared" si="3"/>
        <v>1</v>
      </c>
      <c r="AB35" s="1353">
        <f t="shared" si="4"/>
        <v>1</v>
      </c>
      <c r="AC35" s="1959">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22"/>
      <c r="Q36" s="1352" t="str">
        <f t="shared" si="11"/>
        <v>公共部分装修</v>
      </c>
      <c r="R36" s="705" t="s">
        <v>14</v>
      </c>
      <c r="S36" s="706">
        <f t="shared" si="12"/>
        <v>100</v>
      </c>
      <c r="T36" s="705" t="s">
        <v>14</v>
      </c>
      <c r="U36" s="706">
        <f t="shared" si="13"/>
        <v>100</v>
      </c>
      <c r="V36" s="705" t="s">
        <v>14</v>
      </c>
      <c r="W36" s="706">
        <f t="shared" si="14"/>
        <v>100</v>
      </c>
      <c r="X36" s="1355"/>
      <c r="Y36" s="3724"/>
      <c r="Z36" s="1356" t="str">
        <f t="shared" si="15"/>
        <v>公共部分装修</v>
      </c>
      <c r="AA36" s="1353">
        <f t="shared" si="3"/>
        <v>1</v>
      </c>
      <c r="AB36" s="1353">
        <f t="shared" si="4"/>
        <v>1</v>
      </c>
      <c r="AC36" s="1959">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22"/>
      <c r="Q37" s="1352" t="str">
        <f t="shared" si="11"/>
        <v>成新度</v>
      </c>
      <c r="R37" s="705" t="s">
        <v>14</v>
      </c>
      <c r="S37" s="706" t="e">
        <f t="shared" si="12"/>
        <v>#N/A</v>
      </c>
      <c r="T37" s="705" t="s">
        <v>14</v>
      </c>
      <c r="U37" s="706" t="e">
        <f t="shared" si="13"/>
        <v>#N/A</v>
      </c>
      <c r="V37" s="705" t="s">
        <v>14</v>
      </c>
      <c r="W37" s="706" t="e">
        <f t="shared" si="14"/>
        <v>#N/A</v>
      </c>
      <c r="X37" s="1355"/>
      <c r="Y37" s="3724"/>
      <c r="Z37" s="1356" t="str">
        <f t="shared" si="15"/>
        <v>成新度</v>
      </c>
      <c r="AA37" s="1353" t="e">
        <f t="shared" si="3"/>
        <v>#N/A</v>
      </c>
      <c r="AB37" s="1353" t="e">
        <f t="shared" si="4"/>
        <v>#N/A</v>
      </c>
      <c r="AC37" s="1959"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22"/>
      <c r="Q38" s="1343" t="str">
        <f t="shared" si="11"/>
        <v>写字楼等级</v>
      </c>
      <c r="R38" s="701" t="s">
        <v>14</v>
      </c>
      <c r="S38" s="702">
        <f t="shared" si="12"/>
        <v>100</v>
      </c>
      <c r="T38" s="701" t="s">
        <v>14</v>
      </c>
      <c r="U38" s="702">
        <f t="shared" si="13"/>
        <v>100</v>
      </c>
      <c r="V38" s="701" t="s">
        <v>14</v>
      </c>
      <c r="W38" s="702">
        <f t="shared" si="14"/>
        <v>100</v>
      </c>
      <c r="X38" s="703"/>
      <c r="Y38" s="3724"/>
      <c r="Z38" s="52" t="str">
        <f t="shared" si="15"/>
        <v>写字楼等级</v>
      </c>
      <c r="AA38" s="704">
        <f t="shared" si="3"/>
        <v>1</v>
      </c>
      <c r="AB38" s="704">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22" t="s">
        <v>1696</v>
      </c>
      <c r="Q39" s="1352" t="str">
        <f t="shared" si="11"/>
        <v>物业管理</v>
      </c>
      <c r="R39" s="705" t="s">
        <v>14</v>
      </c>
      <c r="S39" s="706">
        <f t="shared" si="12"/>
        <v>100</v>
      </c>
      <c r="T39" s="705" t="s">
        <v>14</v>
      </c>
      <c r="U39" s="706">
        <f t="shared" si="13"/>
        <v>100</v>
      </c>
      <c r="V39" s="705" t="s">
        <v>14</v>
      </c>
      <c r="W39" s="706">
        <f t="shared" si="14"/>
        <v>100</v>
      </c>
      <c r="X39" s="1355"/>
      <c r="Y39" s="3724" t="s">
        <v>1696</v>
      </c>
      <c r="Z39" s="1356" t="str">
        <f t="shared" si="15"/>
        <v>物业管理</v>
      </c>
      <c r="AA39" s="1353">
        <f t="shared" si="3"/>
        <v>1</v>
      </c>
      <c r="AB39" s="1353">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22"/>
      <c r="Q40" s="1352" t="str">
        <f t="shared" si="11"/>
        <v>市政基础设施</v>
      </c>
      <c r="R40" s="705" t="s">
        <v>14</v>
      </c>
      <c r="S40" s="706">
        <f t="shared" si="12"/>
        <v>100</v>
      </c>
      <c r="T40" s="705" t="s">
        <v>14</v>
      </c>
      <c r="U40" s="706">
        <f t="shared" si="13"/>
        <v>100</v>
      </c>
      <c r="V40" s="705" t="s">
        <v>14</v>
      </c>
      <c r="W40" s="706">
        <f t="shared" si="14"/>
        <v>100</v>
      </c>
      <c r="X40" s="1355"/>
      <c r="Y40" s="3724"/>
      <c r="Z40" s="1356" t="str">
        <f t="shared" si="15"/>
        <v>市政基础设施</v>
      </c>
      <c r="AA40" s="1353">
        <f t="shared" si="3"/>
        <v>1</v>
      </c>
      <c r="AB40" s="1353">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22"/>
      <c r="Q41" s="1352" t="str">
        <f t="shared" si="11"/>
        <v>层高</v>
      </c>
      <c r="R41" s="705" t="s">
        <v>14</v>
      </c>
      <c r="S41" s="706">
        <f t="shared" si="12"/>
        <v>100</v>
      </c>
      <c r="T41" s="705" t="s">
        <v>14</v>
      </c>
      <c r="U41" s="706">
        <f t="shared" si="13"/>
        <v>100</v>
      </c>
      <c r="V41" s="705" t="s">
        <v>14</v>
      </c>
      <c r="W41" s="706">
        <f t="shared" si="14"/>
        <v>100</v>
      </c>
      <c r="X41" s="1355"/>
      <c r="Y41" s="3724"/>
      <c r="Z41" s="1356" t="str">
        <f t="shared" si="15"/>
        <v>层高</v>
      </c>
      <c r="AA41" s="1353">
        <f t="shared" si="3"/>
        <v>1</v>
      </c>
      <c r="AB41" s="1353">
        <f t="shared" si="4"/>
        <v>1</v>
      </c>
      <c r="AC41" s="1959">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1353">
        <f t="shared" si="3"/>
        <v>1</v>
      </c>
      <c r="AB42" s="1353">
        <f t="shared" si="4"/>
        <v>1</v>
      </c>
      <c r="AC42" s="1959">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22"/>
      <c r="Q43" s="1352" t="str">
        <f t="shared" si="11"/>
        <v>内部装修</v>
      </c>
      <c r="R43" s="705" t="s">
        <v>14</v>
      </c>
      <c r="S43" s="706">
        <f t="shared" si="12"/>
        <v>100</v>
      </c>
      <c r="T43" s="705" t="s">
        <v>14</v>
      </c>
      <c r="U43" s="706">
        <f t="shared" si="13"/>
        <v>100</v>
      </c>
      <c r="V43" s="705" t="s">
        <v>14</v>
      </c>
      <c r="W43" s="706">
        <f t="shared" si="14"/>
        <v>100</v>
      </c>
      <c r="X43" s="1355"/>
      <c r="Y43" s="3724"/>
      <c r="Z43" s="1356" t="str">
        <f t="shared" si="15"/>
        <v>内部装修</v>
      </c>
      <c r="AA43" s="1353">
        <f t="shared" si="3"/>
        <v>1</v>
      </c>
      <c r="AB43" s="1353">
        <f t="shared" si="4"/>
        <v>1</v>
      </c>
      <c r="AC43" s="1959">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8"/>
      <c r="M44" s="2712"/>
      <c r="N44" s="2712"/>
      <c r="O44" s="2712"/>
      <c r="P44" s="3722"/>
      <c r="Q44" s="1352" t="str">
        <f t="shared" si="11"/>
        <v>内部装修维护情况</v>
      </c>
      <c r="R44" s="705" t="s">
        <v>14</v>
      </c>
      <c r="S44" s="706">
        <f t="shared" si="12"/>
        <v>100</v>
      </c>
      <c r="T44" s="705" t="s">
        <v>14</v>
      </c>
      <c r="U44" s="706">
        <f t="shared" si="13"/>
        <v>100</v>
      </c>
      <c r="V44" s="705" t="s">
        <v>14</v>
      </c>
      <c r="W44" s="706">
        <f t="shared" si="14"/>
        <v>100</v>
      </c>
      <c r="X44" s="1355"/>
      <c r="Y44" s="3724"/>
      <c r="Z44" s="1356" t="str">
        <f t="shared" si="15"/>
        <v>内部装修维护情况</v>
      </c>
      <c r="AA44" s="1353">
        <f t="shared" si="3"/>
        <v>1</v>
      </c>
      <c r="AB44" s="1353">
        <f t="shared" si="4"/>
        <v>1</v>
      </c>
      <c r="AC44" s="1959">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22"/>
      <c r="Q45" s="1343">
        <f t="shared" si="11"/>
        <v>111</v>
      </c>
      <c r="R45" s="701" t="s">
        <v>14</v>
      </c>
      <c r="S45" s="702">
        <f t="shared" si="12"/>
        <v>100</v>
      </c>
      <c r="T45" s="701" t="s">
        <v>14</v>
      </c>
      <c r="U45" s="702">
        <f t="shared" si="13"/>
        <v>100</v>
      </c>
      <c r="V45" s="701" t="s">
        <v>14</v>
      </c>
      <c r="W45" s="702">
        <f t="shared" si="14"/>
        <v>100</v>
      </c>
      <c r="X45" s="703"/>
      <c r="Y45" s="3724"/>
      <c r="Z45" s="52">
        <f t="shared" si="15"/>
        <v>111</v>
      </c>
      <c r="AA45" s="704">
        <f t="shared" si="3"/>
        <v>1</v>
      </c>
      <c r="AB45" s="704">
        <f t="shared" si="4"/>
        <v>1</v>
      </c>
      <c r="AC45" s="1956">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22"/>
      <c r="Q46" s="1352">
        <f t="shared" si="11"/>
        <v>111</v>
      </c>
      <c r="R46" s="705" t="s">
        <v>14</v>
      </c>
      <c r="S46" s="706">
        <f t="shared" si="12"/>
        <v>100</v>
      </c>
      <c r="T46" s="705" t="s">
        <v>14</v>
      </c>
      <c r="U46" s="706">
        <f t="shared" si="13"/>
        <v>100</v>
      </c>
      <c r="V46" s="705" t="s">
        <v>14</v>
      </c>
      <c r="W46" s="706">
        <f t="shared" si="14"/>
        <v>100</v>
      </c>
      <c r="X46" s="1355"/>
      <c r="Y46" s="3724"/>
      <c r="Z46" s="1356">
        <f t="shared" si="15"/>
        <v>111</v>
      </c>
      <c r="AA46" s="1353">
        <f t="shared" si="3"/>
        <v>1</v>
      </c>
      <c r="AB46" s="1353">
        <f t="shared" si="4"/>
        <v>1</v>
      </c>
      <c r="AC46" s="1959">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23"/>
      <c r="Q47" s="1352">
        <f t="shared" si="11"/>
        <v>111</v>
      </c>
      <c r="R47" s="705" t="s">
        <v>14</v>
      </c>
      <c r="S47" s="706">
        <f t="shared" si="12"/>
        <v>100</v>
      </c>
      <c r="T47" s="705" t="s">
        <v>14</v>
      </c>
      <c r="U47" s="706">
        <f t="shared" si="13"/>
        <v>100</v>
      </c>
      <c r="V47" s="705" t="s">
        <v>14</v>
      </c>
      <c r="W47" s="706">
        <f t="shared" si="14"/>
        <v>100</v>
      </c>
      <c r="X47" s="1355"/>
      <c r="Y47" s="3725"/>
      <c r="Z47" s="1356">
        <f t="shared" si="15"/>
        <v>111</v>
      </c>
      <c r="AA47" s="1353">
        <f t="shared" si="3"/>
        <v>1</v>
      </c>
      <c r="AB47" s="1353">
        <f t="shared" si="4"/>
        <v>1</v>
      </c>
      <c r="AC47" s="1959">
        <f t="shared" si="5"/>
        <v>1</v>
      </c>
    </row>
    <row r="48" spans="1:29" ht="15">
      <c r="A48" s="430" t="s">
        <v>1708</v>
      </c>
      <c r="B48" s="431"/>
      <c r="C48" s="1154" t="s">
        <v>0</v>
      </c>
      <c r="D48" s="1155"/>
      <c r="E48" s="1156"/>
      <c r="F48" s="1157"/>
      <c r="G48" s="1158"/>
      <c r="H48" s="1159"/>
      <c r="I48" s="1156"/>
      <c r="J48" s="436"/>
      <c r="K48" s="714"/>
      <c r="L48" s="2720"/>
      <c r="M48" s="2712"/>
      <c r="N48" s="2712"/>
      <c r="O48" s="2712"/>
      <c r="P48" s="3699" t="str">
        <f>A48</f>
        <v>成交单价（元/平方米）</v>
      </c>
      <c r="Q48" s="3717"/>
      <c r="R48" s="3718">
        <f>E48</f>
        <v>0</v>
      </c>
      <c r="S48" s="3718"/>
      <c r="T48" s="3718">
        <f>G48</f>
        <v>0</v>
      </c>
      <c r="U48" s="3718"/>
      <c r="V48" s="3718">
        <f>I48</f>
        <v>0</v>
      </c>
      <c r="W48" s="3718"/>
      <c r="X48" s="397"/>
      <c r="Y48" s="712"/>
      <c r="Z48" s="397"/>
      <c r="AA48" s="397"/>
      <c r="AB48" s="397"/>
      <c r="AC48" s="578"/>
    </row>
    <row r="49" spans="1:29" ht="15.75" thickBot="1">
      <c r="A49" s="437" t="s">
        <v>1793</v>
      </c>
      <c r="B49" s="438"/>
      <c r="C49" s="1160" t="e">
        <f>R50</f>
        <v>#DIV/0!</v>
      </c>
      <c r="D49" s="2314" t="s">
        <v>2138</v>
      </c>
      <c r="E49" s="1161" t="e">
        <f>R49</f>
        <v>#DIV/0!</v>
      </c>
      <c r="F49" s="2315"/>
      <c r="G49" s="1160" t="e">
        <f>T49</f>
        <v>#DIV/0!</v>
      </c>
      <c r="H49" s="2315"/>
      <c r="I49" s="1161" t="e">
        <f>V49</f>
        <v>#DIV/0!</v>
      </c>
      <c r="J49" s="2315"/>
      <c r="K49" s="2317">
        <f>F49+H49+J49</f>
        <v>0</v>
      </c>
      <c r="L49" s="2720"/>
      <c r="M49" s="2712"/>
      <c r="N49" s="2712"/>
      <c r="O49" s="2712"/>
      <c r="P49" s="3699" t="str">
        <f>A49</f>
        <v>比较价值（元/平方米）</v>
      </c>
      <c r="Q49" s="3717"/>
      <c r="R49" s="3718" t="e">
        <f>IF(F1="售价",ROUND(PRODUCT(R48,AA7:AA47),0),ROUND(PRODUCT(R48,AA7:AA47),1))</f>
        <v>#DIV/0!</v>
      </c>
      <c r="S49" s="3718"/>
      <c r="T49" s="3718" t="e">
        <f>IF(F1="售价",ROUND(PRODUCT(T48,AB7:AB47),0),ROUND(PRODUCT(T48,AB7:AB47),1))</f>
        <v>#DIV/0!</v>
      </c>
      <c r="U49" s="3718"/>
      <c r="V49" s="3718" t="e">
        <f>IF(F1="售价",ROUND(PRODUCT(V48,AC7:AC47),0),ROUND(PRODUCT(V48,AC7:AC47),1))</f>
        <v>#DIV/0!</v>
      </c>
      <c r="W49" s="371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0"/>
      <c r="M50" s="2712"/>
      <c r="N50" s="2712"/>
      <c r="O50" s="2712"/>
      <c r="P50" s="3740" t="str">
        <f>A50</f>
        <v>估价对象XX用房的比较价值（楼面单价，元/平方米）</v>
      </c>
      <c r="Q50" s="3741"/>
      <c r="R50" s="3742" t="e">
        <f>IF(F1="售价",ROUND(IF(D49="简单平均",AVERAGE(R49:V49),R49*F49+T49*H49+V49*J49),0),ROUND(IF(D49="简单平均",AVERAGE(R49:V49),R49*F49+T49*H49+V49*J49),1))</f>
        <v>#DIV/0!</v>
      </c>
      <c r="S50" s="3742"/>
      <c r="T50" s="3742"/>
      <c r="U50" s="3742"/>
      <c r="V50" s="3742"/>
      <c r="W50" s="3742"/>
      <c r="X50" s="1943"/>
      <c r="Y50" s="1943"/>
      <c r="Z50" s="1943"/>
      <c r="AA50" s="1943"/>
      <c r="AB50" s="1943"/>
      <c r="AC50" s="1944"/>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4" t="str">
        <f>YEAR(C7)&amp;"-"&amp;MONTH(C7)</f>
        <v>2023-9</v>
      </c>
      <c r="D59" s="1185">
        <f>EDATE(C59,-1)</f>
        <v>45139</v>
      </c>
      <c r="E59" s="1185">
        <f>EDATE(D59,-1)</f>
        <v>45108</v>
      </c>
      <c r="F59" s="1185">
        <f t="shared" ref="F59:O59" si="16">EDATE(E59,-1)</f>
        <v>45078</v>
      </c>
      <c r="G59" s="1185">
        <f t="shared" si="16"/>
        <v>45047</v>
      </c>
      <c r="H59" s="1185">
        <f t="shared" si="16"/>
        <v>45017</v>
      </c>
      <c r="I59" s="1185">
        <f t="shared" si="16"/>
        <v>44986</v>
      </c>
      <c r="J59" s="1185">
        <f t="shared" si="16"/>
        <v>44958</v>
      </c>
      <c r="K59" s="1185">
        <f t="shared" si="16"/>
        <v>44927</v>
      </c>
      <c r="L59" s="1185">
        <f t="shared" si="16"/>
        <v>44896</v>
      </c>
      <c r="M59" s="1185">
        <f t="shared" si="16"/>
        <v>44866</v>
      </c>
      <c r="N59" s="1185">
        <f t="shared" si="16"/>
        <v>44835</v>
      </c>
      <c r="O59" s="1185">
        <f t="shared" si="16"/>
        <v>44805</v>
      </c>
      <c r="P59" s="2755"/>
      <c r="Q59" s="2737"/>
      <c r="R59" s="2737"/>
      <c r="S59" s="2737"/>
      <c r="T59" s="2737"/>
      <c r="U59" s="2737"/>
      <c r="V59" s="2737"/>
      <c r="W59" s="2737"/>
      <c r="X59" s="2737"/>
      <c r="Y59" s="2737"/>
      <c r="Z59" s="2737"/>
      <c r="AA59" s="2737"/>
      <c r="AB59" s="2737"/>
      <c r="AC59" s="2737"/>
    </row>
    <row r="60" spans="1:29" s="108" customFormat="1" ht="15">
      <c r="A60" s="458"/>
      <c r="B60" s="459"/>
      <c r="C60" s="1183">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4"/>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5"/>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5"/>
      <c r="M119" s="1966"/>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5"/>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4" t="s">
        <v>1826</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90.08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913"/>
      <c r="M4" s="914"/>
      <c r="N4" s="914"/>
      <c r="O4" s="914"/>
      <c r="P4" s="3704" t="s">
        <v>1775</v>
      </c>
      <c r="Q4" s="3705"/>
      <c r="R4" s="3686" t="s">
        <v>1771</v>
      </c>
      <c r="S4" s="3687"/>
      <c r="T4" s="3686" t="s">
        <v>1772</v>
      </c>
      <c r="U4" s="3687"/>
      <c r="V4" s="3712" t="s">
        <v>1773</v>
      </c>
      <c r="W4" s="3712"/>
      <c r="X4" s="1355"/>
      <c r="Y4" s="3686" t="s">
        <v>1775</v>
      </c>
      <c r="Z4" s="3687"/>
      <c r="AA4" s="3681" t="s">
        <v>1771</v>
      </c>
      <c r="AB4" s="3682" t="s">
        <v>1772</v>
      </c>
      <c r="AC4" s="3681" t="s">
        <v>1773</v>
      </c>
    </row>
    <row r="5" spans="1:29" ht="15">
      <c r="A5" s="358"/>
      <c r="B5" s="359"/>
      <c r="C5" s="3696" t="s">
        <v>1673</v>
      </c>
      <c r="D5" s="3693"/>
      <c r="E5" s="3690" t="s">
        <v>1674</v>
      </c>
      <c r="F5" s="3691"/>
      <c r="G5" s="3696" t="s">
        <v>1675</v>
      </c>
      <c r="H5" s="3693"/>
      <c r="I5" s="3696" t="s">
        <v>1676</v>
      </c>
      <c r="J5" s="3693"/>
      <c r="K5" s="559"/>
      <c r="L5" s="913"/>
      <c r="M5" s="914"/>
      <c r="N5" s="914"/>
      <c r="O5" s="914"/>
      <c r="P5" s="3706"/>
      <c r="Q5" s="3707"/>
      <c r="R5" s="3688"/>
      <c r="S5" s="3689"/>
      <c r="T5" s="3688"/>
      <c r="U5" s="3689"/>
      <c r="V5" s="3712"/>
      <c r="W5" s="3712"/>
      <c r="X5" s="1355"/>
      <c r="Y5" s="3688"/>
      <c r="Z5" s="3689"/>
      <c r="AA5" s="3682"/>
      <c r="AB5" s="3682"/>
      <c r="AC5" s="3682"/>
    </row>
    <row r="6" spans="1:29" ht="15.75" thickBot="1">
      <c r="A6" s="360"/>
      <c r="B6" s="361"/>
      <c r="C6" s="3694" t="s">
        <v>1677</v>
      </c>
      <c r="D6" s="3695"/>
      <c r="E6" s="3697" t="s">
        <v>1677</v>
      </c>
      <c r="F6" s="3698"/>
      <c r="G6" s="3694" t="s">
        <v>1677</v>
      </c>
      <c r="H6" s="3695"/>
      <c r="I6" s="3694" t="s">
        <v>1677</v>
      </c>
      <c r="J6" s="3695"/>
      <c r="K6" s="559" t="s">
        <v>1678</v>
      </c>
      <c r="L6" s="913"/>
      <c r="M6" s="914"/>
      <c r="N6" s="914"/>
      <c r="O6" s="914"/>
      <c r="P6" s="3708"/>
      <c r="Q6" s="3709"/>
      <c r="R6" s="3688"/>
      <c r="S6" s="3689"/>
      <c r="T6" s="3710"/>
      <c r="U6" s="3711"/>
      <c r="V6" s="3712"/>
      <c r="W6" s="3712"/>
      <c r="X6" s="1355"/>
      <c r="Y6" s="3710"/>
      <c r="Z6" s="3711"/>
      <c r="AA6" s="3683"/>
      <c r="AB6" s="3683"/>
      <c r="AC6" s="3683"/>
    </row>
    <row r="7" spans="1:29" s="108" customFormat="1" ht="15.75" thickBot="1">
      <c r="A7" s="362" t="s">
        <v>1679</v>
      </c>
      <c r="B7" s="363"/>
      <c r="C7" s="364">
        <f>'数据-取费表'!B2</f>
        <v>45189</v>
      </c>
      <c r="D7" s="365">
        <v>100</v>
      </c>
      <c r="E7" s="366"/>
      <c r="F7" s="367">
        <f>SUMIF(52:52,YEAR(E7)&amp;"-"&amp;MONTH(E7),53:53)</f>
        <v>0</v>
      </c>
      <c r="G7" s="366"/>
      <c r="H7" s="365">
        <f>SUMIF(52:52,YEAR(G7)&amp;"-"&amp;MONTH(G7),53:53)</f>
        <v>0</v>
      </c>
      <c r="I7" s="366"/>
      <c r="J7" s="365">
        <f>SUMIF(52:52,YEAR(I7)&amp;"-"&amp;MONTH(I7),53:53)</f>
        <v>0</v>
      </c>
      <c r="K7" s="560"/>
      <c r="L7" s="915"/>
      <c r="M7" s="916"/>
      <c r="N7" s="916"/>
      <c r="O7" s="916"/>
      <c r="P7" s="3684" t="s">
        <v>1680</v>
      </c>
      <c r="Q7" s="3713"/>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4" t="s">
        <v>1683</v>
      </c>
      <c r="Q8" s="3685"/>
      <c r="R8" s="701" t="s">
        <v>14</v>
      </c>
      <c r="S8" s="702">
        <f t="shared" si="0"/>
        <v>100</v>
      </c>
      <c r="T8" s="701" t="s">
        <v>14</v>
      </c>
      <c r="U8" s="702">
        <f t="shared" si="1"/>
        <v>100</v>
      </c>
      <c r="V8" s="701" t="s">
        <v>14</v>
      </c>
      <c r="W8" s="702">
        <f t="shared" si="2"/>
        <v>100</v>
      </c>
      <c r="X8" s="703"/>
      <c r="Y8" s="3684" t="s">
        <v>1683</v>
      </c>
      <c r="Z8" s="368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7"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717"/>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7"/>
      <c r="Q11" s="1343" t="str">
        <f t="shared" si="6"/>
        <v>容积率</v>
      </c>
      <c r="R11" s="701" t="s">
        <v>14</v>
      </c>
      <c r="S11" s="702">
        <f t="shared" si="0"/>
        <v>100</v>
      </c>
      <c r="T11" s="701" t="s">
        <v>14</v>
      </c>
      <c r="U11" s="702">
        <f t="shared" si="1"/>
        <v>100</v>
      </c>
      <c r="V11" s="701" t="s">
        <v>14</v>
      </c>
      <c r="W11" s="702">
        <f t="shared" si="2"/>
        <v>100</v>
      </c>
      <c r="X11" s="703"/>
      <c r="Y11" s="3628"/>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7"/>
      <c r="H12" s="127">
        <f>SUMIF(64:64,G12,65:65)-SUMIF(64:64,C12,65:65)+100</f>
        <v>100</v>
      </c>
      <c r="I12" s="420"/>
      <c r="J12" s="127">
        <f>SUMIF(64:64,I12,65:65)-SUMIF(64:64,C12,65:65)+100</f>
        <v>100</v>
      </c>
      <c r="K12" s="562"/>
      <c r="L12" s="915"/>
      <c r="M12" s="916"/>
      <c r="N12" s="916"/>
      <c r="O12" s="917"/>
      <c r="P12" s="3717"/>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7"/>
      <c r="H13" s="386">
        <f>SUMIF(66:66,G13,67:67)-SUMIF(66:66,C13,67:67)+100</f>
        <v>100</v>
      </c>
      <c r="I13" s="420"/>
      <c r="J13" s="386">
        <f>SUMIF(66:66,I13,67:67)-SUMIF(66:66,C13,67:67)+100</f>
        <v>100</v>
      </c>
      <c r="K13" s="562"/>
      <c r="L13" s="923"/>
      <c r="M13" s="914"/>
      <c r="N13" s="914"/>
      <c r="O13" s="922"/>
      <c r="P13" s="3717"/>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7"/>
      <c r="H14" s="389">
        <f>SUMIF(68:68,G14,69:69)-SUMIF(68:68,C14,69:69)+100</f>
        <v>100</v>
      </c>
      <c r="I14" s="420"/>
      <c r="J14" s="389">
        <f>SUMIF(68:68,I14,69:69)-SUMIF(68:68,C14,69:69)+100</f>
        <v>100</v>
      </c>
      <c r="K14" s="562"/>
      <c r="L14" s="923"/>
      <c r="M14" s="914"/>
      <c r="N14" s="914"/>
      <c r="O14" s="922"/>
      <c r="P14" s="3717"/>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9" t="s">
        <v>1691</v>
      </c>
      <c r="Q15" s="1352" t="str">
        <f t="shared" si="6"/>
        <v>产业集聚程度</v>
      </c>
      <c r="R15" s="705" t="s">
        <v>14</v>
      </c>
      <c r="S15" s="706">
        <f t="shared" si="0"/>
        <v>100</v>
      </c>
      <c r="T15" s="705" t="s">
        <v>14</v>
      </c>
      <c r="U15" s="706">
        <f t="shared" si="1"/>
        <v>100</v>
      </c>
      <c r="V15" s="705" t="s">
        <v>14</v>
      </c>
      <c r="W15" s="706">
        <f t="shared" si="2"/>
        <v>100</v>
      </c>
      <c r="X15" s="1355"/>
      <c r="Y15" s="371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0"/>
      <c r="Q16" s="1352"/>
      <c r="R16" s="705"/>
      <c r="S16" s="706"/>
      <c r="T16" s="705"/>
      <c r="U16" s="706"/>
      <c r="V16" s="705"/>
      <c r="W16" s="706"/>
      <c r="X16" s="1355"/>
      <c r="Y16" s="3720"/>
      <c r="Z16" s="1356"/>
      <c r="AA16" s="1353">
        <v>1</v>
      </c>
      <c r="AB16" s="1353">
        <v>1</v>
      </c>
      <c r="AC16" s="1353">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0"/>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720"/>
      <c r="Q18" s="1352"/>
      <c r="R18" s="705"/>
      <c r="S18" s="706"/>
      <c r="T18" s="705"/>
      <c r="U18" s="706"/>
      <c r="V18" s="705"/>
      <c r="W18" s="706"/>
      <c r="X18" s="1355"/>
      <c r="Y18" s="3720"/>
      <c r="Z18" s="1356"/>
      <c r="AA18" s="1353">
        <v>1</v>
      </c>
      <c r="AB18" s="1353">
        <v>1</v>
      </c>
      <c r="AC18" s="1353">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0"/>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720"/>
      <c r="Q20" s="1352"/>
      <c r="R20" s="705"/>
      <c r="S20" s="706"/>
      <c r="T20" s="705"/>
      <c r="U20" s="706"/>
      <c r="V20" s="705"/>
      <c r="W20" s="706"/>
      <c r="X20" s="1355"/>
      <c r="Y20" s="3720"/>
      <c r="Z20" s="1356"/>
      <c r="AA20" s="1353">
        <v>1</v>
      </c>
      <c r="AB20" s="1353">
        <v>1</v>
      </c>
      <c r="AC20" s="1353">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0"/>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720"/>
      <c r="Q22" s="1352"/>
      <c r="R22" s="705"/>
      <c r="S22" s="706"/>
      <c r="T22" s="705"/>
      <c r="U22" s="706"/>
      <c r="V22" s="705"/>
      <c r="W22" s="706"/>
      <c r="X22" s="1355"/>
      <c r="Y22" s="3720"/>
      <c r="Z22" s="1356"/>
      <c r="AA22" s="1353">
        <v>1</v>
      </c>
      <c r="AB22" s="1353">
        <v>1</v>
      </c>
      <c r="AC22" s="1353">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0"/>
      <c r="Q23" s="1352" t="str">
        <f>B23</f>
        <v>环境质量</v>
      </c>
      <c r="R23" s="705" t="s">
        <v>14</v>
      </c>
      <c r="S23" s="706">
        <f>F23</f>
        <v>100</v>
      </c>
      <c r="T23" s="705" t="s">
        <v>14</v>
      </c>
      <c r="U23" s="706">
        <f>H23</f>
        <v>100</v>
      </c>
      <c r="V23" s="705" t="s">
        <v>14</v>
      </c>
      <c r="W23" s="706">
        <f>J23</f>
        <v>100</v>
      </c>
      <c r="X23" s="1355"/>
      <c r="Y23" s="3720"/>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720"/>
      <c r="Q24" s="1352"/>
      <c r="R24" s="705"/>
      <c r="S24" s="706"/>
      <c r="T24" s="705"/>
      <c r="U24" s="706"/>
      <c r="V24" s="705"/>
      <c r="W24" s="706"/>
      <c r="X24" s="1355"/>
      <c r="Y24" s="372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0"/>
      <c r="Q25" s="1352">
        <f>B25</f>
        <v>111</v>
      </c>
      <c r="R25" s="705" t="s">
        <v>14</v>
      </c>
      <c r="S25" s="706">
        <f>F25</f>
        <v>100</v>
      </c>
      <c r="T25" s="705" t="s">
        <v>14</v>
      </c>
      <c r="U25" s="706">
        <f>H25</f>
        <v>100</v>
      </c>
      <c r="V25" s="705" t="s">
        <v>14</v>
      </c>
      <c r="W25" s="706">
        <f>J25</f>
        <v>100</v>
      </c>
      <c r="X25" s="1355"/>
      <c r="Y25" s="372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0"/>
      <c r="Q26" s="1352">
        <f t="shared" ref="Q26:Q40" si="11">B26</f>
        <v>111</v>
      </c>
      <c r="R26" s="705" t="s">
        <v>14</v>
      </c>
      <c r="S26" s="706">
        <f>F26</f>
        <v>100</v>
      </c>
      <c r="T26" s="705" t="s">
        <v>14</v>
      </c>
      <c r="U26" s="706">
        <f>H26</f>
        <v>100</v>
      </c>
      <c r="V26" s="705" t="s">
        <v>14</v>
      </c>
      <c r="W26" s="706">
        <f>J26</f>
        <v>100</v>
      </c>
      <c r="X26" s="1355"/>
      <c r="Y26" s="372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0"/>
      <c r="Q27" s="1343">
        <f t="shared" si="11"/>
        <v>111</v>
      </c>
      <c r="R27" s="701" t="s">
        <v>14</v>
      </c>
      <c r="S27" s="702">
        <f>F27</f>
        <v>100</v>
      </c>
      <c r="T27" s="701" t="s">
        <v>14</v>
      </c>
      <c r="U27" s="702">
        <f>H27</f>
        <v>100</v>
      </c>
      <c r="V27" s="701" t="s">
        <v>14</v>
      </c>
      <c r="W27" s="702">
        <f>J27</f>
        <v>100</v>
      </c>
      <c r="X27" s="703"/>
      <c r="Y27" s="372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0"/>
      <c r="Q28" s="1352">
        <f t="shared" si="11"/>
        <v>111</v>
      </c>
      <c r="R28" s="705" t="s">
        <v>14</v>
      </c>
      <c r="S28" s="706">
        <f t="shared" ref="S28:S40" si="12">F28</f>
        <v>100</v>
      </c>
      <c r="T28" s="705" t="s">
        <v>14</v>
      </c>
      <c r="U28" s="706">
        <f t="shared" ref="U28:U40" si="13">H28</f>
        <v>100</v>
      </c>
      <c r="V28" s="705" t="s">
        <v>14</v>
      </c>
      <c r="W28" s="706">
        <f t="shared" ref="W28:W40" si="14">J28</f>
        <v>100</v>
      </c>
      <c r="X28" s="1355"/>
      <c r="Y28" s="3720"/>
      <c r="Z28" s="1356">
        <f t="shared" ref="Z28:Z40" si="15">Q28</f>
        <v>111</v>
      </c>
      <c r="AA28" s="1353">
        <f t="shared" si="3"/>
        <v>1</v>
      </c>
      <c r="AB28" s="1353">
        <f t="shared" si="4"/>
        <v>1</v>
      </c>
      <c r="AC28" s="1353">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3"/>
      <c r="M29" s="914"/>
      <c r="N29" s="914"/>
      <c r="O29" s="922"/>
      <c r="P29" s="3743" t="s">
        <v>1696</v>
      </c>
      <c r="Q29" s="1352" t="str">
        <f t="shared" si="11"/>
        <v>建筑类型</v>
      </c>
      <c r="R29" s="705" t="s">
        <v>14</v>
      </c>
      <c r="S29" s="706">
        <f t="shared" si="12"/>
        <v>100</v>
      </c>
      <c r="T29" s="705" t="s">
        <v>14</v>
      </c>
      <c r="U29" s="706">
        <f t="shared" si="13"/>
        <v>100</v>
      </c>
      <c r="V29" s="705" t="s">
        <v>14</v>
      </c>
      <c r="W29" s="706">
        <f t="shared" si="14"/>
        <v>100</v>
      </c>
      <c r="X29" s="1355"/>
      <c r="Y29" s="372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4"/>
      <c r="Q30" s="707" t="str">
        <f t="shared" si="11"/>
        <v>项目建筑规模</v>
      </c>
      <c r="R30" s="708" t="s">
        <v>14</v>
      </c>
      <c r="S30" s="709" t="e">
        <f t="shared" si="12"/>
        <v>#N/A</v>
      </c>
      <c r="T30" s="708" t="s">
        <v>14</v>
      </c>
      <c r="U30" s="709" t="e">
        <f t="shared" si="13"/>
        <v>#N/A</v>
      </c>
      <c r="V30" s="708" t="s">
        <v>14</v>
      </c>
      <c r="W30" s="709" t="e">
        <f t="shared" si="14"/>
        <v>#N/A</v>
      </c>
      <c r="X30" s="710"/>
      <c r="Y30" s="372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4"/>
      <c r="Q31" s="1352" t="str">
        <f t="shared" si="11"/>
        <v>建筑结构</v>
      </c>
      <c r="R31" s="705" t="s">
        <v>14</v>
      </c>
      <c r="S31" s="706">
        <f t="shared" si="12"/>
        <v>100</v>
      </c>
      <c r="T31" s="705" t="s">
        <v>14</v>
      </c>
      <c r="U31" s="706">
        <f t="shared" si="13"/>
        <v>100</v>
      </c>
      <c r="V31" s="705" t="s">
        <v>14</v>
      </c>
      <c r="W31" s="706">
        <f t="shared" si="14"/>
        <v>100</v>
      </c>
      <c r="X31" s="1355"/>
      <c r="Y31" s="372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4"/>
      <c r="Q32" s="1352" t="str">
        <f t="shared" si="11"/>
        <v>公共部分装修</v>
      </c>
      <c r="R32" s="705" t="s">
        <v>14</v>
      </c>
      <c r="S32" s="706">
        <f t="shared" si="12"/>
        <v>100</v>
      </c>
      <c r="T32" s="705" t="s">
        <v>14</v>
      </c>
      <c r="U32" s="706">
        <f t="shared" si="13"/>
        <v>100</v>
      </c>
      <c r="V32" s="705" t="s">
        <v>14</v>
      </c>
      <c r="W32" s="706">
        <f t="shared" si="14"/>
        <v>100</v>
      </c>
      <c r="X32" s="1355"/>
      <c r="Y32" s="372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4"/>
      <c r="Q33" s="1352" t="str">
        <f t="shared" si="11"/>
        <v>成新度</v>
      </c>
      <c r="R33" s="705" t="s">
        <v>14</v>
      </c>
      <c r="S33" s="706" t="e">
        <f t="shared" si="12"/>
        <v>#N/A</v>
      </c>
      <c r="T33" s="705" t="s">
        <v>14</v>
      </c>
      <c r="U33" s="706" t="e">
        <f t="shared" si="13"/>
        <v>#N/A</v>
      </c>
      <c r="V33" s="705" t="s">
        <v>14</v>
      </c>
      <c r="W33" s="706" t="e">
        <f t="shared" si="14"/>
        <v>#N/A</v>
      </c>
      <c r="X33" s="1355"/>
      <c r="Y33" s="372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4"/>
      <c r="Q34" s="1343" t="str">
        <f t="shared" si="11"/>
        <v>物业管理</v>
      </c>
      <c r="R34" s="701" t="s">
        <v>14</v>
      </c>
      <c r="S34" s="702">
        <f t="shared" si="12"/>
        <v>100</v>
      </c>
      <c r="T34" s="701" t="s">
        <v>14</v>
      </c>
      <c r="U34" s="702">
        <f t="shared" si="13"/>
        <v>100</v>
      </c>
      <c r="V34" s="701" t="s">
        <v>14</v>
      </c>
      <c r="W34" s="702">
        <f t="shared" si="14"/>
        <v>100</v>
      </c>
      <c r="X34" s="703"/>
      <c r="Y34" s="372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4" t="s">
        <v>1696</v>
      </c>
      <c r="Q35" s="1352" t="str">
        <f t="shared" si="11"/>
        <v>市政基础设施</v>
      </c>
      <c r="R35" s="705" t="s">
        <v>14</v>
      </c>
      <c r="S35" s="706">
        <f t="shared" si="12"/>
        <v>100</v>
      </c>
      <c r="T35" s="705" t="s">
        <v>14</v>
      </c>
      <c r="U35" s="706">
        <f t="shared" si="13"/>
        <v>100</v>
      </c>
      <c r="V35" s="705" t="s">
        <v>14</v>
      </c>
      <c r="W35" s="706">
        <f t="shared" si="14"/>
        <v>100</v>
      </c>
      <c r="X35" s="1355"/>
      <c r="Y35" s="372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4"/>
      <c r="Q36" s="1352" t="str">
        <f t="shared" si="11"/>
        <v>内部装修</v>
      </c>
      <c r="R36" s="705" t="s">
        <v>14</v>
      </c>
      <c r="S36" s="706">
        <f t="shared" si="12"/>
        <v>100</v>
      </c>
      <c r="T36" s="705" t="s">
        <v>14</v>
      </c>
      <c r="U36" s="706">
        <f t="shared" si="13"/>
        <v>100</v>
      </c>
      <c r="V36" s="705" t="s">
        <v>14</v>
      </c>
      <c r="W36" s="706">
        <f t="shared" si="14"/>
        <v>100</v>
      </c>
      <c r="X36" s="1355"/>
      <c r="Y36" s="372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4"/>
      <c r="Q37" s="1352" t="str">
        <f t="shared" si="11"/>
        <v>内部装修状况</v>
      </c>
      <c r="R37" s="705" t="s">
        <v>14</v>
      </c>
      <c r="S37" s="706">
        <f t="shared" si="12"/>
        <v>100</v>
      </c>
      <c r="T37" s="705" t="s">
        <v>14</v>
      </c>
      <c r="U37" s="706">
        <f t="shared" si="13"/>
        <v>100</v>
      </c>
      <c r="V37" s="705" t="s">
        <v>14</v>
      </c>
      <c r="W37" s="706">
        <f t="shared" si="14"/>
        <v>100</v>
      </c>
      <c r="X37" s="1355"/>
      <c r="Y37" s="372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4"/>
      <c r="Q38" s="707">
        <f t="shared" si="11"/>
        <v>111</v>
      </c>
      <c r="R38" s="708" t="s">
        <v>14</v>
      </c>
      <c r="S38" s="709">
        <f t="shared" si="12"/>
        <v>100</v>
      </c>
      <c r="T38" s="708" t="s">
        <v>14</v>
      </c>
      <c r="U38" s="709">
        <f t="shared" si="13"/>
        <v>100</v>
      </c>
      <c r="V38" s="708" t="s">
        <v>14</v>
      </c>
      <c r="W38" s="709">
        <f t="shared" si="14"/>
        <v>100</v>
      </c>
      <c r="X38" s="710"/>
      <c r="Y38" s="372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4"/>
      <c r="Q39" s="1352">
        <f t="shared" si="11"/>
        <v>111</v>
      </c>
      <c r="R39" s="705" t="s">
        <v>14</v>
      </c>
      <c r="S39" s="706">
        <f t="shared" si="12"/>
        <v>100</v>
      </c>
      <c r="T39" s="705" t="s">
        <v>14</v>
      </c>
      <c r="U39" s="706">
        <f t="shared" si="13"/>
        <v>100</v>
      </c>
      <c r="V39" s="705" t="s">
        <v>14</v>
      </c>
      <c r="W39" s="706">
        <f t="shared" si="14"/>
        <v>100</v>
      </c>
      <c r="X39" s="1355"/>
      <c r="Y39" s="3724"/>
      <c r="Z39" s="1356">
        <f t="shared" si="15"/>
        <v>111</v>
      </c>
      <c r="AA39" s="1353">
        <f t="shared" si="3"/>
        <v>1</v>
      </c>
      <c r="AB39" s="1353">
        <f t="shared" si="4"/>
        <v>1</v>
      </c>
      <c r="AC39" s="1353">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5"/>
      <c r="Q40" s="1352">
        <f t="shared" si="11"/>
        <v>111</v>
      </c>
      <c r="R40" s="705" t="s">
        <v>14</v>
      </c>
      <c r="S40" s="706">
        <f t="shared" si="12"/>
        <v>100</v>
      </c>
      <c r="T40" s="705" t="s">
        <v>14</v>
      </c>
      <c r="U40" s="706">
        <f t="shared" si="13"/>
        <v>100</v>
      </c>
      <c r="V40" s="705" t="s">
        <v>14</v>
      </c>
      <c r="W40" s="706">
        <f t="shared" si="14"/>
        <v>100</v>
      </c>
      <c r="X40" s="1355"/>
      <c r="Y40" s="372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7" t="str">
        <f>A41</f>
        <v>成交单价（元/平方米）</v>
      </c>
      <c r="Q41" s="3717"/>
      <c r="R41" s="3718">
        <f>E41</f>
        <v>0</v>
      </c>
      <c r="S41" s="3718"/>
      <c r="T41" s="3718">
        <f>G41</f>
        <v>0</v>
      </c>
      <c r="U41" s="3718"/>
      <c r="V41" s="3718">
        <f>I41</f>
        <v>0</v>
      </c>
      <c r="W41" s="3718"/>
      <c r="X41" s="690"/>
      <c r="Y41" s="712"/>
      <c r="Z41" s="690"/>
      <c r="AA41" s="690"/>
      <c r="AB41" s="690"/>
      <c r="AC41" s="690"/>
    </row>
    <row r="42" spans="1:29" ht="15.75" thickBot="1">
      <c r="A42" s="437" t="s">
        <v>1793</v>
      </c>
      <c r="B42" s="438"/>
      <c r="C42" s="1160" t="e">
        <f>R43</f>
        <v>#DIV/0!</v>
      </c>
      <c r="D42" s="2314" t="s">
        <v>2138</v>
      </c>
      <c r="E42" s="1161" t="e">
        <f>R42</f>
        <v>#DIV/0!</v>
      </c>
      <c r="F42" s="2315"/>
      <c r="G42" s="1160" t="e">
        <f>T42</f>
        <v>#DIV/0!</v>
      </c>
      <c r="H42" s="2315"/>
      <c r="I42" s="1161" t="e">
        <f>V42</f>
        <v>#DIV/0!</v>
      </c>
      <c r="J42" s="2315"/>
      <c r="K42" s="2317">
        <f>F42+H42+J42</f>
        <v>0</v>
      </c>
      <c r="L42" s="926"/>
      <c r="M42" s="927"/>
      <c r="N42" s="914"/>
      <c r="O42" s="927"/>
      <c r="P42" s="3717" t="str">
        <f>A42</f>
        <v>比较价值（元/平方米）</v>
      </c>
      <c r="Q42" s="3717"/>
      <c r="R42" s="3718" t="e">
        <f>IF(F1="售价",ROUND(PRODUCT(R41,AA7:AA40),0),ROUND(PRODUCT(R41,AA7:AA40),1))</f>
        <v>#DIV/0!</v>
      </c>
      <c r="S42" s="3718"/>
      <c r="T42" s="3718" t="e">
        <f>IF(F1="售价",ROUND(PRODUCT(T41,AB7:AB40),0),ROUND(PRODUCT(T41,AB7:AB40),1))</f>
        <v>#DIV/0!</v>
      </c>
      <c r="U42" s="3718"/>
      <c r="V42" s="3718" t="e">
        <f>IF(F1="售价",ROUND(PRODUCT(V41,AC7:AC40),0),ROUND(PRODUCT(V41,AC7:AC40),1))</f>
        <v>#DIV/0!</v>
      </c>
      <c r="W42" s="371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4" t="str">
        <f>A43</f>
        <v>估价对象XX用房的比较价值（楼面单价，元/平方米）</v>
      </c>
      <c r="Q43" s="3715"/>
      <c r="R43" s="3716" t="e">
        <f>IF(F1="售价",ROUND(IF(D42="简单平均",AVERAGE(R42:V42),R42*F42+T42*H42+V42*J42),0),ROUND(IF(D42="简单平均",AVERAGE(R42:V42),R42*F42+T42*H42+V42*J42),1))</f>
        <v>#DIV/0!</v>
      </c>
      <c r="S43" s="3716"/>
      <c r="T43" s="3716"/>
      <c r="U43" s="3716"/>
      <c r="V43" s="3716"/>
      <c r="W43" s="3716"/>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2023-9</v>
      </c>
      <c r="D52" s="1185">
        <f>EDATE(C52,-1)</f>
        <v>45139</v>
      </c>
      <c r="E52" s="1185">
        <f t="shared" ref="E52:O52" si="16">EDATE(D52,-1)</f>
        <v>45108</v>
      </c>
      <c r="F52" s="1185">
        <f t="shared" si="16"/>
        <v>45078</v>
      </c>
      <c r="G52" s="1185">
        <f t="shared" si="16"/>
        <v>45047</v>
      </c>
      <c r="H52" s="1185">
        <f t="shared" si="16"/>
        <v>45017</v>
      </c>
      <c r="I52" s="1185">
        <f t="shared" si="16"/>
        <v>44986</v>
      </c>
      <c r="J52" s="1185">
        <f t="shared" si="16"/>
        <v>44958</v>
      </c>
      <c r="K52" s="1185">
        <f t="shared" si="16"/>
        <v>44927</v>
      </c>
      <c r="L52" s="1185">
        <f t="shared" si="16"/>
        <v>44896</v>
      </c>
      <c r="M52" s="1185">
        <f t="shared" si="16"/>
        <v>44866</v>
      </c>
      <c r="N52" s="1185">
        <f t="shared" si="16"/>
        <v>44835</v>
      </c>
      <c r="O52" s="1185">
        <f t="shared" si="16"/>
        <v>44805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5"/>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5"/>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29"/>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1"/>
      <c r="M4" s="2712"/>
      <c r="N4" s="2712"/>
      <c r="O4" s="2712"/>
      <c r="P4" s="3704" t="s">
        <v>1775</v>
      </c>
      <c r="Q4" s="3705"/>
      <c r="R4" s="3686" t="s">
        <v>1771</v>
      </c>
      <c r="S4" s="3687"/>
      <c r="T4" s="3686" t="s">
        <v>1772</v>
      </c>
      <c r="U4" s="3687"/>
      <c r="V4" s="3712" t="s">
        <v>1773</v>
      </c>
      <c r="W4" s="3712"/>
      <c r="X4" s="1355"/>
      <c r="Y4" s="3686" t="s">
        <v>1775</v>
      </c>
      <c r="Z4" s="3687"/>
      <c r="AA4" s="3681" t="s">
        <v>1771</v>
      </c>
      <c r="AB4" s="3682" t="s">
        <v>1772</v>
      </c>
      <c r="AC4" s="3681" t="s">
        <v>1773</v>
      </c>
    </row>
    <row r="5" spans="1:29" ht="15">
      <c r="A5" s="358"/>
      <c r="B5" s="359"/>
      <c r="C5" s="3696" t="s">
        <v>1673</v>
      </c>
      <c r="D5" s="3693"/>
      <c r="E5" s="3690" t="s">
        <v>1674</v>
      </c>
      <c r="F5" s="3691"/>
      <c r="G5" s="3696" t="s">
        <v>1675</v>
      </c>
      <c r="H5" s="3693"/>
      <c r="I5" s="3696" t="s">
        <v>1676</v>
      </c>
      <c r="J5" s="3693"/>
      <c r="K5" s="559"/>
      <c r="L5" s="2711"/>
      <c r="M5" s="2712"/>
      <c r="N5" s="2712"/>
      <c r="O5" s="2712"/>
      <c r="P5" s="3706"/>
      <c r="Q5" s="3707"/>
      <c r="R5" s="3688"/>
      <c r="S5" s="3689"/>
      <c r="T5" s="3688"/>
      <c r="U5" s="3689"/>
      <c r="V5" s="3712"/>
      <c r="W5" s="3712"/>
      <c r="X5" s="1355"/>
      <c r="Y5" s="3688"/>
      <c r="Z5" s="3689"/>
      <c r="AA5" s="3682"/>
      <c r="AB5" s="3682"/>
      <c r="AC5" s="3682"/>
    </row>
    <row r="6" spans="1:29" ht="15.75" thickBot="1">
      <c r="A6" s="360"/>
      <c r="B6" s="361"/>
      <c r="C6" s="3694" t="s">
        <v>1677</v>
      </c>
      <c r="D6" s="3695"/>
      <c r="E6" s="3697" t="s">
        <v>1677</v>
      </c>
      <c r="F6" s="3698"/>
      <c r="G6" s="3694" t="s">
        <v>1677</v>
      </c>
      <c r="H6" s="3695"/>
      <c r="I6" s="3694" t="s">
        <v>1677</v>
      </c>
      <c r="J6" s="3695"/>
      <c r="K6" s="559" t="s">
        <v>1678</v>
      </c>
      <c r="L6" s="2711"/>
      <c r="M6" s="2712"/>
      <c r="N6" s="2712"/>
      <c r="O6" s="2712"/>
      <c r="P6" s="3708"/>
      <c r="Q6" s="3709"/>
      <c r="R6" s="3688"/>
      <c r="S6" s="3689"/>
      <c r="T6" s="3710"/>
      <c r="U6" s="3711"/>
      <c r="V6" s="3712"/>
      <c r="W6" s="3712"/>
      <c r="X6" s="1355"/>
      <c r="Y6" s="3710"/>
      <c r="Z6" s="3711"/>
      <c r="AA6" s="3683"/>
      <c r="AB6" s="3683"/>
      <c r="AC6" s="3683"/>
    </row>
    <row r="7" spans="1:29" s="108" customFormat="1" ht="15.75" thickBot="1">
      <c r="A7" s="362" t="s">
        <v>1679</v>
      </c>
      <c r="B7" s="363"/>
      <c r="C7" s="364">
        <f>'数据-取费表'!B2</f>
        <v>45189</v>
      </c>
      <c r="D7" s="365">
        <v>100</v>
      </c>
      <c r="E7" s="366"/>
      <c r="F7" s="367">
        <f>SUMIF(48:48,YEAR(E7)&amp;"-"&amp;MONTH(E7),49:49)</f>
        <v>0</v>
      </c>
      <c r="G7" s="366"/>
      <c r="H7" s="365">
        <f>SUMIF(48:48,YEAR(G7)&amp;"-"&amp;MONTH(G7),49:49)</f>
        <v>0</v>
      </c>
      <c r="I7" s="366"/>
      <c r="J7" s="365">
        <f>SUMIF(48:48,YEAR(I7)&amp;"-"&amp;MONTH(I7),49:49)</f>
        <v>0</v>
      </c>
      <c r="K7" s="560"/>
      <c r="L7" s="2713"/>
      <c r="M7" s="2714"/>
      <c r="N7" s="2714"/>
      <c r="O7" s="2714"/>
      <c r="P7" s="3684" t="s">
        <v>1680</v>
      </c>
      <c r="Q7" s="3713"/>
      <c r="R7" s="701" t="s">
        <v>14</v>
      </c>
      <c r="S7" s="702">
        <f t="shared" ref="S7:S14" si="0">F7</f>
        <v>0</v>
      </c>
      <c r="T7" s="701" t="s">
        <v>14</v>
      </c>
      <c r="U7" s="702">
        <f t="shared" ref="U7:U14" si="1">H7</f>
        <v>0</v>
      </c>
      <c r="V7" s="701" t="s">
        <v>14</v>
      </c>
      <c r="W7" s="702">
        <f t="shared" ref="W7:W14"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684" t="s">
        <v>1683</v>
      </c>
      <c r="Q8" s="3685"/>
      <c r="R8" s="701" t="s">
        <v>14</v>
      </c>
      <c r="S8" s="702">
        <f t="shared" si="0"/>
        <v>100</v>
      </c>
      <c r="T8" s="701" t="s">
        <v>14</v>
      </c>
      <c r="U8" s="702">
        <f t="shared" si="1"/>
        <v>100</v>
      </c>
      <c r="V8" s="701" t="s">
        <v>14</v>
      </c>
      <c r="W8" s="702">
        <f t="shared" si="2"/>
        <v>100</v>
      </c>
      <c r="X8" s="703"/>
      <c r="Y8" s="3684" t="s">
        <v>1683</v>
      </c>
      <c r="Z8" s="368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17" t="s">
        <v>1686</v>
      </c>
      <c r="Q9" s="1343" t="str">
        <f t="shared" ref="Q9:Q14" si="6">B9</f>
        <v>用途</v>
      </c>
      <c r="R9" s="701" t="s">
        <v>14</v>
      </c>
      <c r="S9" s="702">
        <f t="shared" si="0"/>
        <v>100</v>
      </c>
      <c r="T9" s="701" t="s">
        <v>14</v>
      </c>
      <c r="U9" s="702">
        <f t="shared" si="1"/>
        <v>100</v>
      </c>
      <c r="V9" s="701" t="s">
        <v>14</v>
      </c>
      <c r="W9" s="702">
        <f t="shared" si="2"/>
        <v>100</v>
      </c>
      <c r="X9" s="703"/>
      <c r="Y9" s="3628"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17"/>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17"/>
      <c r="Q11" s="1343">
        <f t="shared" si="6"/>
        <v>111</v>
      </c>
      <c r="R11" s="701" t="s">
        <v>14</v>
      </c>
      <c r="S11" s="702">
        <f t="shared" si="0"/>
        <v>100</v>
      </c>
      <c r="T11" s="701" t="s">
        <v>14</v>
      </c>
      <c r="U11" s="702">
        <f t="shared" si="1"/>
        <v>100</v>
      </c>
      <c r="V11" s="701" t="s">
        <v>14</v>
      </c>
      <c r="W11" s="702">
        <f t="shared" si="2"/>
        <v>100</v>
      </c>
      <c r="X11" s="703"/>
      <c r="Y11" s="362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17"/>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17"/>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14">
      <c r="A14" s="355" t="s">
        <v>1690</v>
      </c>
      <c r="B14" s="577" t="s">
        <v>1833</v>
      </c>
      <c r="C14" s="1968" t="str">
        <f>IF(B1="工业",估价对象房地状况!G4,估价对象房地状况!C6)</f>
        <v>周边有F2、F13、F36、F41、616、833路等多条公交线路经过并设站，距离地铁房山线良乡南关约2公里，交通较便捷。</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19" t="s">
        <v>1691</v>
      </c>
      <c r="Q14" s="1352" t="str">
        <f t="shared" si="6"/>
        <v>交通便捷度</v>
      </c>
      <c r="R14" s="705" t="s">
        <v>14</v>
      </c>
      <c r="S14" s="706">
        <f t="shared" si="0"/>
        <v>100</v>
      </c>
      <c r="T14" s="705" t="s">
        <v>14</v>
      </c>
      <c r="U14" s="706">
        <f t="shared" si="1"/>
        <v>100</v>
      </c>
      <c r="V14" s="705" t="s">
        <v>14</v>
      </c>
      <c r="W14" s="706">
        <f t="shared" si="2"/>
        <v>100</v>
      </c>
      <c r="X14" s="1355"/>
      <c r="Y14" s="371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8"/>
      <c r="M15" s="2712"/>
      <c r="N15" s="2712"/>
      <c r="O15" s="2712"/>
      <c r="P15" s="3720"/>
      <c r="Q15" s="1352"/>
      <c r="R15" s="705"/>
      <c r="S15" s="706"/>
      <c r="T15" s="705"/>
      <c r="U15" s="706"/>
      <c r="V15" s="705"/>
      <c r="W15" s="706"/>
      <c r="X15" s="1355"/>
      <c r="Y15" s="3720"/>
      <c r="Z15" s="1356"/>
      <c r="AA15" s="1353">
        <v>1</v>
      </c>
      <c r="AB15" s="1353">
        <v>1</v>
      </c>
      <c r="AC15" s="1353">
        <v>1</v>
      </c>
    </row>
    <row r="16" spans="1:29" ht="256.5">
      <c r="A16" s="358"/>
      <c r="B16" s="579" t="s">
        <v>1812</v>
      </c>
      <c r="C16" s="1899" t="str">
        <f>IF(B1="工业",估价对象房地状况!G5,估价对象房地状况!C7)</f>
        <v>周边有华冠购物中心、龙湖房山天街、永辉超市等商业项目；有中国建设银行、中国工商银行、北京农商银行等金融机构；有房山区妇幼保健院、北京仁德医院、良乡医院等医疗机构，有良乡第二中学、良乡第三小学、北师大良乡附中、良乡幼儿园等教育机构；公共配套设施齐备度较好</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20"/>
      <c r="Q16" s="1352" t="str">
        <f>B16</f>
        <v>公共配套设施</v>
      </c>
      <c r="R16" s="705" t="s">
        <v>14</v>
      </c>
      <c r="S16" s="706">
        <f>F16</f>
        <v>100</v>
      </c>
      <c r="T16" s="705" t="s">
        <v>14</v>
      </c>
      <c r="U16" s="706">
        <f>H16</f>
        <v>100</v>
      </c>
      <c r="V16" s="705" t="s">
        <v>14</v>
      </c>
      <c r="W16" s="706">
        <f>J16</f>
        <v>100</v>
      </c>
      <c r="X16" s="1355"/>
      <c r="Y16" s="3720"/>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18"/>
      <c r="M17" s="2712"/>
      <c r="N17" s="2712"/>
      <c r="O17" s="2712"/>
      <c r="P17" s="3720"/>
      <c r="Q17" s="1352"/>
      <c r="R17" s="705"/>
      <c r="S17" s="706"/>
      <c r="T17" s="705"/>
      <c r="U17" s="706"/>
      <c r="V17" s="705"/>
      <c r="W17" s="706"/>
      <c r="X17" s="1355"/>
      <c r="Y17" s="3720"/>
      <c r="Z17" s="1356"/>
      <c r="AA17" s="1353">
        <v>1</v>
      </c>
      <c r="AB17" s="1353">
        <v>1</v>
      </c>
      <c r="AC17" s="1353">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20"/>
      <c r="Q18" s="1352" t="str">
        <f>B18</f>
        <v>基础设施水平</v>
      </c>
      <c r="R18" s="705" t="s">
        <v>14</v>
      </c>
      <c r="S18" s="706">
        <f>F18</f>
        <v>100</v>
      </c>
      <c r="T18" s="705" t="s">
        <v>14</v>
      </c>
      <c r="U18" s="706">
        <f>H18</f>
        <v>100</v>
      </c>
      <c r="V18" s="705" t="s">
        <v>14</v>
      </c>
      <c r="W18" s="706">
        <f>J18</f>
        <v>100</v>
      </c>
      <c r="X18" s="1355"/>
      <c r="Y18" s="3720"/>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18"/>
      <c r="M19" s="2712"/>
      <c r="N19" s="2712"/>
      <c r="O19" s="2712"/>
      <c r="P19" s="3720"/>
      <c r="Q19" s="1352"/>
      <c r="R19" s="705"/>
      <c r="S19" s="706"/>
      <c r="T19" s="705"/>
      <c r="U19" s="706"/>
      <c r="V19" s="705"/>
      <c r="W19" s="706"/>
      <c r="X19" s="1355"/>
      <c r="Y19" s="3720"/>
      <c r="Z19" s="1356"/>
      <c r="AA19" s="1353">
        <v>1</v>
      </c>
      <c r="AB19" s="1353">
        <v>1</v>
      </c>
      <c r="AC19" s="1353">
        <v>1</v>
      </c>
    </row>
    <row r="20" spans="1:29" ht="99.75">
      <c r="A20" s="358"/>
      <c r="B20" s="579" t="s">
        <v>1834</v>
      </c>
      <c r="C20" s="1899" t="str">
        <f>IF(B1="工业",估价对象房地状况!G7,估价对象房地状况!C9)</f>
        <v>估价对象周边有刺猬河、北潞园健身公园、房山区良乡体育中心等自然人文景观，总体自然人文环境较好。</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20"/>
      <c r="Q20" s="1352" t="str">
        <f>B20</f>
        <v>自然及人文环境</v>
      </c>
      <c r="R20" s="705" t="s">
        <v>14</v>
      </c>
      <c r="S20" s="706">
        <f>F20</f>
        <v>100</v>
      </c>
      <c r="T20" s="705" t="s">
        <v>14</v>
      </c>
      <c r="U20" s="706">
        <f>H20</f>
        <v>100</v>
      </c>
      <c r="V20" s="705" t="s">
        <v>14</v>
      </c>
      <c r="W20" s="706">
        <f>J20</f>
        <v>100</v>
      </c>
      <c r="X20" s="1355"/>
      <c r="Y20" s="372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8"/>
      <c r="M21" s="2712"/>
      <c r="N21" s="2712"/>
      <c r="O21" s="2712"/>
      <c r="P21" s="3720"/>
      <c r="Q21" s="1352"/>
      <c r="R21" s="705"/>
      <c r="S21" s="706"/>
      <c r="T21" s="705"/>
      <c r="U21" s="706"/>
      <c r="V21" s="705"/>
      <c r="W21" s="706"/>
      <c r="X21" s="1355"/>
      <c r="Y21" s="372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20"/>
      <c r="Q22" s="1352" t="str">
        <f>B22</f>
        <v>楼层</v>
      </c>
      <c r="R22" s="705" t="s">
        <v>14</v>
      </c>
      <c r="S22" s="706">
        <f>F22</f>
        <v>100</v>
      </c>
      <c r="T22" s="705" t="s">
        <v>14</v>
      </c>
      <c r="U22" s="706">
        <f>H22</f>
        <v>100</v>
      </c>
      <c r="V22" s="705" t="s">
        <v>14</v>
      </c>
      <c r="W22" s="706">
        <f>J22</f>
        <v>100</v>
      </c>
      <c r="X22" s="1355"/>
      <c r="Y22" s="372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20"/>
      <c r="Q23" s="1352">
        <f>B23</f>
        <v>111</v>
      </c>
      <c r="R23" s="705" t="s">
        <v>14</v>
      </c>
      <c r="S23" s="706">
        <f>F23</f>
        <v>100</v>
      </c>
      <c r="T23" s="705" t="s">
        <v>14</v>
      </c>
      <c r="U23" s="706">
        <f>H23</f>
        <v>100</v>
      </c>
      <c r="V23" s="705" t="s">
        <v>14</v>
      </c>
      <c r="W23" s="706">
        <f>J23</f>
        <v>100</v>
      </c>
      <c r="X23" s="1355"/>
      <c r="Y23" s="372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20"/>
      <c r="Q24" s="1352">
        <f t="shared" ref="Q24:Q36" si="11">B24</f>
        <v>111</v>
      </c>
      <c r="R24" s="705" t="s">
        <v>14</v>
      </c>
      <c r="S24" s="706">
        <f>F24</f>
        <v>100</v>
      </c>
      <c r="T24" s="705" t="s">
        <v>14</v>
      </c>
      <c r="U24" s="706">
        <f>H24</f>
        <v>100</v>
      </c>
      <c r="V24" s="705" t="s">
        <v>14</v>
      </c>
      <c r="W24" s="706">
        <f>J24</f>
        <v>100</v>
      </c>
      <c r="X24" s="1355"/>
      <c r="Y24" s="372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20"/>
      <c r="Q25" s="1343">
        <f t="shared" si="11"/>
        <v>111</v>
      </c>
      <c r="R25" s="701" t="s">
        <v>14</v>
      </c>
      <c r="S25" s="702">
        <f>F25</f>
        <v>100</v>
      </c>
      <c r="T25" s="701" t="s">
        <v>14</v>
      </c>
      <c r="U25" s="702">
        <f>H25</f>
        <v>100</v>
      </c>
      <c r="V25" s="701" t="s">
        <v>14</v>
      </c>
      <c r="W25" s="702">
        <f>J25</f>
        <v>100</v>
      </c>
      <c r="X25" s="703"/>
      <c r="Y25" s="3720"/>
      <c r="Z25" s="52">
        <f>Q25</f>
        <v>111</v>
      </c>
      <c r="AA25" s="1353">
        <f>D25/F25</f>
        <v>1</v>
      </c>
      <c r="AB25" s="1353">
        <f>D25/H25</f>
        <v>1</v>
      </c>
      <c r="AC25" s="1353">
        <f>D25/J25</f>
        <v>1</v>
      </c>
    </row>
    <row r="26" spans="1:29" ht="28.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4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24"/>
      <c r="Q27" s="707" t="str">
        <f t="shared" si="11"/>
        <v>项目停车位配比</v>
      </c>
      <c r="R27" s="708" t="s">
        <v>14</v>
      </c>
      <c r="S27" s="709">
        <f t="shared" si="12"/>
        <v>100</v>
      </c>
      <c r="T27" s="708" t="s">
        <v>14</v>
      </c>
      <c r="U27" s="709">
        <f t="shared" si="13"/>
        <v>100</v>
      </c>
      <c r="V27" s="708" t="s">
        <v>14</v>
      </c>
      <c r="W27" s="709">
        <f t="shared" si="14"/>
        <v>100</v>
      </c>
      <c r="X27" s="710"/>
      <c r="Y27" s="372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24"/>
      <c r="Q28" s="1352" t="str">
        <f t="shared" si="11"/>
        <v>公共部分装修</v>
      </c>
      <c r="R28" s="705" t="s">
        <v>14</v>
      </c>
      <c r="S28" s="706">
        <f t="shared" si="12"/>
        <v>100</v>
      </c>
      <c r="T28" s="705" t="s">
        <v>14</v>
      </c>
      <c r="U28" s="706">
        <f t="shared" si="13"/>
        <v>100</v>
      </c>
      <c r="V28" s="705" t="s">
        <v>14</v>
      </c>
      <c r="W28" s="706">
        <f t="shared" si="14"/>
        <v>100</v>
      </c>
      <c r="X28" s="1355"/>
      <c r="Y28" s="372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24"/>
      <c r="Q29" s="1352" t="str">
        <f t="shared" si="11"/>
        <v>成新率</v>
      </c>
      <c r="R29" s="705" t="s">
        <v>14</v>
      </c>
      <c r="S29" s="706" t="e">
        <f t="shared" si="12"/>
        <v>#N/A</v>
      </c>
      <c r="T29" s="705" t="s">
        <v>14</v>
      </c>
      <c r="U29" s="706" t="e">
        <f t="shared" si="13"/>
        <v>#N/A</v>
      </c>
      <c r="V29" s="705" t="s">
        <v>14</v>
      </c>
      <c r="W29" s="706" t="e">
        <f t="shared" si="14"/>
        <v>#N/A</v>
      </c>
      <c r="X29" s="1355"/>
      <c r="Y29" s="372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24"/>
      <c r="Q30" s="1352" t="str">
        <f t="shared" si="11"/>
        <v>物业等级</v>
      </c>
      <c r="R30" s="705" t="s">
        <v>14</v>
      </c>
      <c r="S30" s="706">
        <f t="shared" si="12"/>
        <v>100</v>
      </c>
      <c r="T30" s="705" t="s">
        <v>14</v>
      </c>
      <c r="U30" s="706">
        <f t="shared" si="13"/>
        <v>100</v>
      </c>
      <c r="V30" s="705" t="s">
        <v>14</v>
      </c>
      <c r="W30" s="706">
        <f t="shared" si="14"/>
        <v>100</v>
      </c>
      <c r="X30" s="1355"/>
      <c r="Y30" s="372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24"/>
      <c r="Q31" s="1343" t="str">
        <f t="shared" si="11"/>
        <v>停车位面积</v>
      </c>
      <c r="R31" s="701" t="s">
        <v>14</v>
      </c>
      <c r="S31" s="702" t="e">
        <f t="shared" si="12"/>
        <v>#N/A</v>
      </c>
      <c r="T31" s="701" t="s">
        <v>14</v>
      </c>
      <c r="U31" s="702" t="e">
        <f t="shared" si="13"/>
        <v>#N/A</v>
      </c>
      <c r="V31" s="701" t="s">
        <v>14</v>
      </c>
      <c r="W31" s="702" t="e">
        <f t="shared" si="14"/>
        <v>#N/A</v>
      </c>
      <c r="X31" s="703"/>
      <c r="Y31" s="372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24" t="s">
        <v>1696</v>
      </c>
      <c r="Q32" s="1352" t="str">
        <f t="shared" si="11"/>
        <v>车位类型</v>
      </c>
      <c r="R32" s="705" t="s">
        <v>14</v>
      </c>
      <c r="S32" s="706">
        <f t="shared" si="12"/>
        <v>100</v>
      </c>
      <c r="T32" s="705" t="s">
        <v>14</v>
      </c>
      <c r="U32" s="706">
        <f t="shared" si="13"/>
        <v>100</v>
      </c>
      <c r="V32" s="705" t="s">
        <v>14</v>
      </c>
      <c r="W32" s="706">
        <f t="shared" si="14"/>
        <v>100</v>
      </c>
      <c r="X32" s="1355"/>
      <c r="Y32" s="372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24"/>
      <c r="Q33" s="1352" t="str">
        <f t="shared" si="11"/>
        <v>是否直接入户</v>
      </c>
      <c r="R33" s="705" t="s">
        <v>14</v>
      </c>
      <c r="S33" s="706">
        <f t="shared" si="12"/>
        <v>100</v>
      </c>
      <c r="T33" s="705" t="s">
        <v>14</v>
      </c>
      <c r="U33" s="706">
        <f t="shared" si="13"/>
        <v>100</v>
      </c>
      <c r="V33" s="705" t="s">
        <v>14</v>
      </c>
      <c r="W33" s="706">
        <f t="shared" si="14"/>
        <v>100</v>
      </c>
      <c r="X33" s="1355"/>
      <c r="Y33" s="372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24"/>
      <c r="Q34" s="1352">
        <f t="shared" si="11"/>
        <v>111</v>
      </c>
      <c r="R34" s="705" t="s">
        <v>14</v>
      </c>
      <c r="S34" s="706">
        <f t="shared" si="12"/>
        <v>100</v>
      </c>
      <c r="T34" s="705" t="s">
        <v>14</v>
      </c>
      <c r="U34" s="706">
        <f t="shared" si="13"/>
        <v>100</v>
      </c>
      <c r="V34" s="705" t="s">
        <v>14</v>
      </c>
      <c r="W34" s="706">
        <f t="shared" si="14"/>
        <v>100</v>
      </c>
      <c r="X34" s="1355"/>
      <c r="Y34" s="372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24"/>
      <c r="Q35" s="707">
        <f t="shared" si="11"/>
        <v>111</v>
      </c>
      <c r="R35" s="708" t="s">
        <v>14</v>
      </c>
      <c r="S35" s="709">
        <f t="shared" si="12"/>
        <v>100</v>
      </c>
      <c r="T35" s="708" t="s">
        <v>14</v>
      </c>
      <c r="U35" s="709">
        <f t="shared" si="13"/>
        <v>100</v>
      </c>
      <c r="V35" s="708" t="s">
        <v>14</v>
      </c>
      <c r="W35" s="709">
        <f t="shared" si="14"/>
        <v>100</v>
      </c>
      <c r="X35" s="710"/>
      <c r="Y35" s="372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24"/>
      <c r="Q36" s="1352">
        <f t="shared" si="11"/>
        <v>111</v>
      </c>
      <c r="R36" s="705" t="s">
        <v>14</v>
      </c>
      <c r="S36" s="706">
        <f t="shared" si="12"/>
        <v>100</v>
      </c>
      <c r="T36" s="705" t="s">
        <v>14</v>
      </c>
      <c r="U36" s="706">
        <f t="shared" si="13"/>
        <v>100</v>
      </c>
      <c r="V36" s="705" t="s">
        <v>14</v>
      </c>
      <c r="W36" s="706">
        <f t="shared" si="14"/>
        <v>100</v>
      </c>
      <c r="X36" s="1355"/>
      <c r="Y36" s="3724"/>
      <c r="Z36" s="1356">
        <f t="shared" si="15"/>
        <v>111</v>
      </c>
      <c r="AA36" s="1353">
        <f t="shared" si="3"/>
        <v>1</v>
      </c>
      <c r="AB36" s="1353">
        <f t="shared" si="4"/>
        <v>1</v>
      </c>
      <c r="AC36" s="1353">
        <f t="shared" si="5"/>
        <v>1</v>
      </c>
    </row>
    <row r="37" spans="1:29" ht="15">
      <c r="A37" s="430" t="s">
        <v>1844</v>
      </c>
      <c r="B37" s="1970" t="s">
        <v>3356</v>
      </c>
      <c r="C37" s="1154" t="s">
        <v>0</v>
      </c>
      <c r="D37" s="1155"/>
      <c r="E37" s="1156"/>
      <c r="F37" s="1157"/>
      <c r="G37" s="1158"/>
      <c r="H37" s="1159"/>
      <c r="I37" s="1156"/>
      <c r="J37" s="1159"/>
      <c r="K37" s="568"/>
      <c r="L37" s="2720"/>
      <c r="M37" s="2721"/>
      <c r="N37" s="2712"/>
      <c r="O37" s="2721"/>
      <c r="P37" s="3717" t="str">
        <f>A37</f>
        <v>成交单价</v>
      </c>
      <c r="Q37" s="3717"/>
      <c r="R37" s="3718">
        <f>E37</f>
        <v>0</v>
      </c>
      <c r="S37" s="3718"/>
      <c r="T37" s="3718">
        <f>G37</f>
        <v>0</v>
      </c>
      <c r="U37" s="3718"/>
      <c r="V37" s="3718">
        <f>I37</f>
        <v>0</v>
      </c>
      <c r="W37" s="3718"/>
      <c r="X37" s="690"/>
      <c r="Y37" s="712"/>
      <c r="Z37" s="690"/>
      <c r="AA37" s="690"/>
      <c r="AB37" s="690"/>
      <c r="AC37" s="690"/>
    </row>
    <row r="38" spans="1:29" ht="15.75" thickBot="1">
      <c r="A38" s="437" t="s">
        <v>1845</v>
      </c>
      <c r="B38" s="438" t="str">
        <f>B37</f>
        <v>元/平方米</v>
      </c>
      <c r="C38" s="1160" t="e">
        <f>R39</f>
        <v>#DIV/0!</v>
      </c>
      <c r="D38" s="2314" t="s">
        <v>2138</v>
      </c>
      <c r="E38" s="1161" t="e">
        <f>R38</f>
        <v>#DIV/0!</v>
      </c>
      <c r="F38" s="2315"/>
      <c r="G38" s="1160" t="e">
        <f>T38</f>
        <v>#DIV/0!</v>
      </c>
      <c r="H38" s="2315"/>
      <c r="I38" s="1161" t="e">
        <f>V38</f>
        <v>#DIV/0!</v>
      </c>
      <c r="J38" s="2315"/>
      <c r="K38" s="2317">
        <f>F38+H38+J38</f>
        <v>0</v>
      </c>
      <c r="L38" s="2720"/>
      <c r="M38" s="2721"/>
      <c r="N38" s="2721"/>
      <c r="O38" s="2721"/>
      <c r="P38" s="3717" t="str">
        <f>A38</f>
        <v>比较价值（元/平方米）</v>
      </c>
      <c r="Q38" s="3717"/>
      <c r="R38" s="3718" t="e">
        <f>IF(F1="售价",ROUND(PRODUCT(R37,AA7:AA36),0),ROUND(PRODUCT(R37,AA7:AA36),1))</f>
        <v>#DIV/0!</v>
      </c>
      <c r="S38" s="3718"/>
      <c r="T38" s="3718" t="e">
        <f>IF(F1="售价",ROUND(PRODUCT(T37,AB7:AB36),0),ROUND(PRODUCT(T37,AB7:AB36),1))</f>
        <v>#DIV/0!</v>
      </c>
      <c r="U38" s="3718"/>
      <c r="V38" s="3718" t="e">
        <f>IF(F1="售价",ROUND(PRODUCT(V37,AC7:AC36),0),ROUND(PRODUCT(V37,AC7:AC36),1))</f>
        <v>#DIV/0!</v>
      </c>
      <c r="W38" s="371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0"/>
      <c r="M39" s="2721"/>
      <c r="N39" s="2721"/>
      <c r="O39" s="2721"/>
      <c r="P39" s="3714" t="str">
        <f>A39</f>
        <v>估价对象XX用房的比较价值（楼面单价，元/平方米）</v>
      </c>
      <c r="Q39" s="3715"/>
      <c r="R39" s="3744" t="e">
        <f>IF(F1="售价",ROUND(IF(D38="简单平均",AVERAGE(R38:W38),R38*F38+T38*H38+V38*J38),0),ROUND(IF(D38="简单平均",AVERAGE(R38:V38),R38*F38+T38*H38+V38*J38),1))</f>
        <v>#DIV/0!</v>
      </c>
      <c r="S39" s="3744"/>
      <c r="T39" s="3744"/>
      <c r="U39" s="3744"/>
      <c r="V39" s="3744"/>
      <c r="W39" s="3744"/>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4" t="str">
        <f>YEAR(C7)&amp;"-"&amp;MONTH(C7)</f>
        <v>2023-9</v>
      </c>
      <c r="D48" s="1185">
        <f>EDATE(C48,-1)</f>
        <v>45139</v>
      </c>
      <c r="E48" s="1185">
        <f t="shared" ref="E48:O48" si="16">EDATE(D48,-1)</f>
        <v>45108</v>
      </c>
      <c r="F48" s="1185">
        <f t="shared" si="16"/>
        <v>45078</v>
      </c>
      <c r="G48" s="1185">
        <f t="shared" si="16"/>
        <v>45047</v>
      </c>
      <c r="H48" s="1185">
        <f t="shared" si="16"/>
        <v>45017</v>
      </c>
      <c r="I48" s="1185">
        <f t="shared" si="16"/>
        <v>44986</v>
      </c>
      <c r="J48" s="1185">
        <f t="shared" si="16"/>
        <v>44958</v>
      </c>
      <c r="K48" s="1185">
        <f t="shared" si="16"/>
        <v>44927</v>
      </c>
      <c r="L48" s="1185">
        <f t="shared" si="16"/>
        <v>44896</v>
      </c>
      <c r="M48" s="1185">
        <f t="shared" si="16"/>
        <v>44866</v>
      </c>
      <c r="N48" s="1185">
        <f t="shared" si="16"/>
        <v>44835</v>
      </c>
      <c r="O48" s="1185">
        <f t="shared" si="16"/>
        <v>44805</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估价对象为房地产，为所有。根据《国有土地使用证》[]，估价对象（分摊）出让国有建设用地使用权面积为0平方米，建筑面积为90.08平方米。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估价对象为房地产,属开发建设的，该项目尚在开发建设中。根据《国有土地使用证》[]，估价对象（分摊）出让国有建设用地使用权面积为0平方米，规划建筑面积为90.08平方米。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2023年9月20日（评估专业人员实地查勘之日）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1"/>
      <c r="M4" s="2712"/>
      <c r="N4" s="2712"/>
      <c r="O4" s="2712"/>
      <c r="P4" s="3704" t="s">
        <v>1775</v>
      </c>
      <c r="Q4" s="3705"/>
      <c r="R4" s="3686" t="s">
        <v>1771</v>
      </c>
      <c r="S4" s="3687"/>
      <c r="T4" s="3686" t="s">
        <v>1772</v>
      </c>
      <c r="U4" s="3687"/>
      <c r="V4" s="3712" t="s">
        <v>1773</v>
      </c>
      <c r="W4" s="3712"/>
      <c r="X4" s="1355"/>
      <c r="Y4" s="3686" t="s">
        <v>1775</v>
      </c>
      <c r="Z4" s="3687"/>
      <c r="AA4" s="3681" t="s">
        <v>1771</v>
      </c>
      <c r="AB4" s="3682" t="s">
        <v>1772</v>
      </c>
      <c r="AC4" s="3681" t="s">
        <v>1773</v>
      </c>
    </row>
    <row r="5" spans="1:29" ht="15">
      <c r="A5" s="358"/>
      <c r="B5" s="359"/>
      <c r="C5" s="3696" t="s">
        <v>1673</v>
      </c>
      <c r="D5" s="3693"/>
      <c r="E5" s="3690" t="s">
        <v>1674</v>
      </c>
      <c r="F5" s="3691"/>
      <c r="G5" s="3696" t="s">
        <v>1675</v>
      </c>
      <c r="H5" s="3693"/>
      <c r="I5" s="3696" t="s">
        <v>1676</v>
      </c>
      <c r="J5" s="3693"/>
      <c r="K5" s="559"/>
      <c r="L5" s="2711"/>
      <c r="M5" s="2712"/>
      <c r="N5" s="2712"/>
      <c r="O5" s="2712"/>
      <c r="P5" s="3706"/>
      <c r="Q5" s="3707"/>
      <c r="R5" s="3688"/>
      <c r="S5" s="3689"/>
      <c r="T5" s="3688"/>
      <c r="U5" s="3689"/>
      <c r="V5" s="3712"/>
      <c r="W5" s="3712"/>
      <c r="X5" s="1355"/>
      <c r="Y5" s="3688"/>
      <c r="Z5" s="3689"/>
      <c r="AA5" s="3682"/>
      <c r="AB5" s="3682"/>
      <c r="AC5" s="3682"/>
    </row>
    <row r="6" spans="1:29" ht="15.75" thickBot="1">
      <c r="A6" s="360"/>
      <c r="B6" s="361"/>
      <c r="C6" s="3694" t="s">
        <v>1677</v>
      </c>
      <c r="D6" s="3695"/>
      <c r="E6" s="3697" t="s">
        <v>1677</v>
      </c>
      <c r="F6" s="3698"/>
      <c r="G6" s="3694" t="s">
        <v>1677</v>
      </c>
      <c r="H6" s="3695"/>
      <c r="I6" s="3694" t="s">
        <v>1677</v>
      </c>
      <c r="J6" s="3695"/>
      <c r="K6" s="559" t="s">
        <v>1678</v>
      </c>
      <c r="L6" s="2711"/>
      <c r="M6" s="2712"/>
      <c r="N6" s="2712"/>
      <c r="O6" s="2712"/>
      <c r="P6" s="3708"/>
      <c r="Q6" s="3709"/>
      <c r="R6" s="3688"/>
      <c r="S6" s="3689"/>
      <c r="T6" s="3710"/>
      <c r="U6" s="3711"/>
      <c r="V6" s="3712"/>
      <c r="W6" s="3712"/>
      <c r="X6" s="1355"/>
      <c r="Y6" s="3710"/>
      <c r="Z6" s="3711"/>
      <c r="AA6" s="3683"/>
      <c r="AB6" s="3683"/>
      <c r="AC6" s="3683"/>
    </row>
    <row r="7" spans="1:29" s="108" customFormat="1" ht="15.75" thickBot="1">
      <c r="A7" s="362" t="s">
        <v>1679</v>
      </c>
      <c r="B7" s="363"/>
      <c r="C7" s="364">
        <f>'数据-取费表'!B2</f>
        <v>45189</v>
      </c>
      <c r="D7" s="365">
        <v>100</v>
      </c>
      <c r="E7" s="366"/>
      <c r="F7" s="367">
        <f>SUMIF(46:46,YEAR(E7)&amp;"-"&amp;MONTH(E7),47:47)</f>
        <v>0</v>
      </c>
      <c r="G7" s="1971"/>
      <c r="H7" s="365">
        <f>SUMIF(46:46,YEAR(G7)&amp;"-"&amp;MONTH(G7),47:47)</f>
        <v>0</v>
      </c>
      <c r="I7" s="366"/>
      <c r="J7" s="365">
        <f>SUMIF(46:46,YEAR(I7)&amp;"-"&amp;MONTH(I7),47:47)</f>
        <v>0</v>
      </c>
      <c r="K7" s="560"/>
      <c r="L7" s="2713"/>
      <c r="M7" s="2714"/>
      <c r="N7" s="2714"/>
      <c r="O7" s="2714"/>
      <c r="P7" s="3684" t="s">
        <v>1680</v>
      </c>
      <c r="Q7" s="3713"/>
      <c r="R7" s="701" t="s">
        <v>14</v>
      </c>
      <c r="S7" s="702">
        <f t="shared" ref="S7:S14" si="0">F7</f>
        <v>0</v>
      </c>
      <c r="T7" s="701" t="s">
        <v>14</v>
      </c>
      <c r="U7" s="702">
        <f t="shared" ref="U7:U14" si="1">H7</f>
        <v>0</v>
      </c>
      <c r="V7" s="701" t="s">
        <v>14</v>
      </c>
      <c r="W7" s="702">
        <f t="shared" ref="W7:W14"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684" t="s">
        <v>1683</v>
      </c>
      <c r="Q8" s="3685"/>
      <c r="R8" s="701" t="s">
        <v>14</v>
      </c>
      <c r="S8" s="702">
        <f t="shared" si="0"/>
        <v>100</v>
      </c>
      <c r="T8" s="701" t="s">
        <v>14</v>
      </c>
      <c r="U8" s="702">
        <f t="shared" si="1"/>
        <v>100</v>
      </c>
      <c r="V8" s="701" t="s">
        <v>14</v>
      </c>
      <c r="W8" s="702">
        <f t="shared" si="2"/>
        <v>100</v>
      </c>
      <c r="X8" s="703"/>
      <c r="Y8" s="3684" t="s">
        <v>1683</v>
      </c>
      <c r="Z8" s="368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17" t="s">
        <v>1686</v>
      </c>
      <c r="Q9" s="1343" t="str">
        <f t="shared" ref="Q9:Q14" si="6">B9</f>
        <v>用途</v>
      </c>
      <c r="R9" s="701" t="s">
        <v>14</v>
      </c>
      <c r="S9" s="702">
        <f t="shared" si="0"/>
        <v>100</v>
      </c>
      <c r="T9" s="701" t="s">
        <v>14</v>
      </c>
      <c r="U9" s="702">
        <f t="shared" si="1"/>
        <v>100</v>
      </c>
      <c r="V9" s="701" t="s">
        <v>14</v>
      </c>
      <c r="W9" s="702">
        <f t="shared" si="2"/>
        <v>100</v>
      </c>
      <c r="X9" s="703"/>
      <c r="Y9" s="3628"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17"/>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17"/>
      <c r="Q11" s="1343">
        <f t="shared" si="6"/>
        <v>111</v>
      </c>
      <c r="R11" s="701" t="s">
        <v>14</v>
      </c>
      <c r="S11" s="702">
        <f t="shared" si="0"/>
        <v>100</v>
      </c>
      <c r="T11" s="701" t="s">
        <v>14</v>
      </c>
      <c r="U11" s="702">
        <f t="shared" si="1"/>
        <v>100</v>
      </c>
      <c r="V11" s="701" t="s">
        <v>14</v>
      </c>
      <c r="W11" s="702">
        <f t="shared" si="2"/>
        <v>100</v>
      </c>
      <c r="X11" s="703"/>
      <c r="Y11" s="3628"/>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17"/>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2"/>
      <c r="H13" s="389">
        <f>SUMIF(59:59,G13,60:60)-SUMIF(59:59,C13,60:60)+100</f>
        <v>100</v>
      </c>
      <c r="I13" s="420"/>
      <c r="J13" s="386">
        <f>SUMIF(59:59,I13,60:60)-SUMIF(59:59,C13,60:60)+100</f>
        <v>100</v>
      </c>
      <c r="K13" s="562"/>
      <c r="L13" s="2718"/>
      <c r="M13" s="2712"/>
      <c r="N13" s="2712"/>
      <c r="O13" s="2770"/>
      <c r="P13" s="3717"/>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14">
      <c r="A14" s="391" t="s">
        <v>1690</v>
      </c>
      <c r="B14" s="61" t="s">
        <v>1833</v>
      </c>
      <c r="C14" s="1968" t="str">
        <f>IF(B1="工业",估价对象房地状况!G4,估价对象房地状况!C6)</f>
        <v>周边有F2、F13、F36、F41、616、833路等多条公交线路经过并设站，距离地铁房山线良乡南关约2公里，交通较便捷。</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19" t="s">
        <v>1691</v>
      </c>
      <c r="Q14" s="1352" t="str">
        <f t="shared" si="6"/>
        <v>交通便捷度</v>
      </c>
      <c r="R14" s="705" t="s">
        <v>14</v>
      </c>
      <c r="S14" s="706">
        <f t="shared" si="0"/>
        <v>100</v>
      </c>
      <c r="T14" s="705" t="s">
        <v>14</v>
      </c>
      <c r="U14" s="706">
        <f t="shared" si="1"/>
        <v>100</v>
      </c>
      <c r="V14" s="705" t="s">
        <v>14</v>
      </c>
      <c r="W14" s="706">
        <f t="shared" si="2"/>
        <v>100</v>
      </c>
      <c r="X14" s="1355"/>
      <c r="Y14" s="371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8"/>
      <c r="M15" s="2712"/>
      <c r="N15" s="2712"/>
      <c r="O15" s="2770"/>
      <c r="P15" s="3720"/>
      <c r="Q15" s="1352"/>
      <c r="R15" s="705"/>
      <c r="S15" s="706"/>
      <c r="T15" s="705"/>
      <c r="U15" s="706"/>
      <c r="V15" s="705"/>
      <c r="W15" s="706"/>
      <c r="X15" s="1355"/>
      <c r="Y15" s="3720"/>
      <c r="Z15" s="1356"/>
      <c r="AA15" s="1353">
        <v>1</v>
      </c>
      <c r="AB15" s="1353">
        <v>1</v>
      </c>
      <c r="AC15" s="1353">
        <v>1</v>
      </c>
    </row>
    <row r="16" spans="1:29" ht="256.5">
      <c r="A16" s="379"/>
      <c r="B16" s="402" t="s">
        <v>1812</v>
      </c>
      <c r="C16" s="1899" t="str">
        <f>IF(B1="工业",估价对象房地状况!G5,估价对象房地状况!C7)</f>
        <v>周边有华冠购物中心、龙湖房山天街、永辉超市等商业项目；有中国建设银行、中国工商银行、北京农商银行等金融机构；有房山区妇幼保健院、北京仁德医院、良乡医院等医疗机构，有良乡第二中学、良乡第三小学、北师大良乡附中、良乡幼儿园等教育机构；公共配套设施齐备度较好</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20"/>
      <c r="Q16" s="1352" t="str">
        <f>B16</f>
        <v>公共配套设施</v>
      </c>
      <c r="R16" s="705" t="s">
        <v>14</v>
      </c>
      <c r="S16" s="706">
        <f>F16</f>
        <v>100</v>
      </c>
      <c r="T16" s="705" t="s">
        <v>14</v>
      </c>
      <c r="U16" s="706">
        <f>H16</f>
        <v>100</v>
      </c>
      <c r="V16" s="705" t="s">
        <v>14</v>
      </c>
      <c r="W16" s="706">
        <f>J16</f>
        <v>100</v>
      </c>
      <c r="X16" s="1355"/>
      <c r="Y16" s="3720"/>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18"/>
      <c r="M17" s="2712"/>
      <c r="N17" s="2712"/>
      <c r="O17" s="2770"/>
      <c r="P17" s="3720"/>
      <c r="Q17" s="1352"/>
      <c r="R17" s="705"/>
      <c r="S17" s="706"/>
      <c r="T17" s="705"/>
      <c r="U17" s="706"/>
      <c r="V17" s="705"/>
      <c r="W17" s="706"/>
      <c r="X17" s="1355"/>
      <c r="Y17" s="3720"/>
      <c r="Z17" s="1356"/>
      <c r="AA17" s="1353">
        <v>1</v>
      </c>
      <c r="AB17" s="1353">
        <v>1</v>
      </c>
      <c r="AC17" s="1353">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20"/>
      <c r="Q18" s="1352" t="str">
        <f>B18</f>
        <v>基础设施水平</v>
      </c>
      <c r="R18" s="705" t="s">
        <v>14</v>
      </c>
      <c r="S18" s="706">
        <f>F18</f>
        <v>100</v>
      </c>
      <c r="T18" s="705" t="s">
        <v>14</v>
      </c>
      <c r="U18" s="706">
        <f>H18</f>
        <v>100</v>
      </c>
      <c r="V18" s="705" t="s">
        <v>14</v>
      </c>
      <c r="W18" s="706">
        <f>J18</f>
        <v>100</v>
      </c>
      <c r="X18" s="1355"/>
      <c r="Y18" s="3720"/>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18"/>
      <c r="M19" s="2712"/>
      <c r="N19" s="2712"/>
      <c r="O19" s="2770"/>
      <c r="P19" s="3720"/>
      <c r="Q19" s="1352"/>
      <c r="R19" s="705"/>
      <c r="S19" s="706"/>
      <c r="T19" s="705"/>
      <c r="U19" s="706"/>
      <c r="V19" s="705"/>
      <c r="W19" s="706"/>
      <c r="X19" s="1355"/>
      <c r="Y19" s="3720"/>
      <c r="Z19" s="1356"/>
      <c r="AA19" s="1353">
        <v>1</v>
      </c>
      <c r="AB19" s="1353">
        <v>1</v>
      </c>
      <c r="AC19" s="1353">
        <v>1</v>
      </c>
    </row>
    <row r="20" spans="1:29" ht="99.75">
      <c r="A20" s="379"/>
      <c r="B20" s="402" t="s">
        <v>1834</v>
      </c>
      <c r="C20" s="1899" t="str">
        <f>IF(B1="工业",估价对象房地状况!G7,估价对象房地状况!C9)</f>
        <v>估价对象周边有刺猬河、北潞园健身公园、房山区良乡体育中心等自然人文景观，总体自然人文环境较好。</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20"/>
      <c r="Q20" s="1352" t="str">
        <f>B20</f>
        <v>自然及人文环境</v>
      </c>
      <c r="R20" s="705" t="s">
        <v>14</v>
      </c>
      <c r="S20" s="706">
        <f>F20</f>
        <v>100</v>
      </c>
      <c r="T20" s="705" t="s">
        <v>14</v>
      </c>
      <c r="U20" s="706">
        <f>H20</f>
        <v>100</v>
      </c>
      <c r="V20" s="705" t="s">
        <v>14</v>
      </c>
      <c r="W20" s="706">
        <f>J20</f>
        <v>100</v>
      </c>
      <c r="X20" s="1355"/>
      <c r="Y20" s="372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8"/>
      <c r="M21" s="2712"/>
      <c r="N21" s="2712"/>
      <c r="O21" s="2770"/>
      <c r="P21" s="3720"/>
      <c r="Q21" s="1352"/>
      <c r="R21" s="705"/>
      <c r="S21" s="706"/>
      <c r="T21" s="705"/>
      <c r="U21" s="706"/>
      <c r="V21" s="705"/>
      <c r="W21" s="706"/>
      <c r="X21" s="1355"/>
      <c r="Y21" s="372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20"/>
      <c r="Q22" s="1352" t="str">
        <f>B22</f>
        <v>楼层</v>
      </c>
      <c r="R22" s="705" t="s">
        <v>14</v>
      </c>
      <c r="S22" s="706">
        <f>F22</f>
        <v>100</v>
      </c>
      <c r="T22" s="705" t="s">
        <v>14</v>
      </c>
      <c r="U22" s="706">
        <f>H22</f>
        <v>100</v>
      </c>
      <c r="V22" s="705" t="s">
        <v>14</v>
      </c>
      <c r="W22" s="706">
        <f>J22</f>
        <v>100</v>
      </c>
      <c r="X22" s="1355"/>
      <c r="Y22" s="3720"/>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20"/>
      <c r="Q23" s="1352">
        <f>B23</f>
        <v>111</v>
      </c>
      <c r="R23" s="705" t="s">
        <v>14</v>
      </c>
      <c r="S23" s="706">
        <f>F23</f>
        <v>100</v>
      </c>
      <c r="T23" s="705" t="s">
        <v>14</v>
      </c>
      <c r="U23" s="706">
        <f>H23</f>
        <v>100</v>
      </c>
      <c r="V23" s="705" t="s">
        <v>14</v>
      </c>
      <c r="W23" s="706">
        <f>J23</f>
        <v>100</v>
      </c>
      <c r="X23" s="1355"/>
      <c r="Y23" s="3720"/>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20"/>
      <c r="Q24" s="1352">
        <f t="shared" ref="Q24:Q34" si="11">B24</f>
        <v>111</v>
      </c>
      <c r="R24" s="705" t="s">
        <v>14</v>
      </c>
      <c r="S24" s="706">
        <f>F24</f>
        <v>100</v>
      </c>
      <c r="T24" s="705" t="s">
        <v>14</v>
      </c>
      <c r="U24" s="706">
        <f>H24</f>
        <v>100</v>
      </c>
      <c r="V24" s="705" t="s">
        <v>14</v>
      </c>
      <c r="W24" s="706">
        <f>J24</f>
        <v>100</v>
      </c>
      <c r="X24" s="1355"/>
      <c r="Y24" s="3720"/>
      <c r="Z24" s="1356">
        <f>Q24</f>
        <v>111</v>
      </c>
      <c r="AA24" s="1353">
        <f t="shared" si="3"/>
        <v>1</v>
      </c>
      <c r="AB24" s="1353">
        <f t="shared" si="4"/>
        <v>1</v>
      </c>
      <c r="AC24" s="1353">
        <f t="shared" si="5"/>
        <v>1</v>
      </c>
    </row>
    <row r="25" spans="1:29" s="108" customFormat="1" ht="15.75" thickBot="1">
      <c r="A25" s="382"/>
      <c r="B25" s="1892">
        <v>111</v>
      </c>
      <c r="C25" s="1973"/>
      <c r="D25" s="613">
        <v>100</v>
      </c>
      <c r="E25" s="1973"/>
      <c r="F25" s="614">
        <f>SUMIF(75:75,E25,76:76)-SUMIF(75:75,C25,76:76)+100</f>
        <v>100</v>
      </c>
      <c r="G25" s="1973"/>
      <c r="H25" s="613">
        <f>SUMIF(75:75,G25,76:76)-SUMIF(75:75,C25,76:76)+100</f>
        <v>100</v>
      </c>
      <c r="I25" s="1973"/>
      <c r="J25" s="613">
        <f>SUMIF(75:75,I25,76:76)-SUMIF(75:75,C25,76:76)+100</f>
        <v>100</v>
      </c>
      <c r="K25" s="562"/>
      <c r="L25" s="2713"/>
      <c r="M25" s="2714"/>
      <c r="N25" s="2714"/>
      <c r="O25" s="2768"/>
      <c r="P25" s="3720"/>
      <c r="Q25" s="1343">
        <f t="shared" si="11"/>
        <v>111</v>
      </c>
      <c r="R25" s="701" t="s">
        <v>14</v>
      </c>
      <c r="S25" s="702">
        <f>F25</f>
        <v>100</v>
      </c>
      <c r="T25" s="701" t="s">
        <v>14</v>
      </c>
      <c r="U25" s="702">
        <f>H25</f>
        <v>100</v>
      </c>
      <c r="V25" s="701" t="s">
        <v>14</v>
      </c>
      <c r="W25" s="702">
        <f>J25</f>
        <v>100</v>
      </c>
      <c r="X25" s="703"/>
      <c r="Y25" s="3720"/>
      <c r="Z25" s="52">
        <f>Q25</f>
        <v>111</v>
      </c>
      <c r="AA25" s="1353">
        <f>D25/F25</f>
        <v>1</v>
      </c>
      <c r="AB25" s="1353">
        <f>D25/H25</f>
        <v>1</v>
      </c>
      <c r="AC25" s="1353">
        <f>D25/J25</f>
        <v>1</v>
      </c>
    </row>
    <row r="26" spans="1:29" ht="28.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8"/>
      <c r="M26" s="2712"/>
      <c r="N26" s="2712"/>
      <c r="O26" s="2770"/>
      <c r="P26" s="374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24"/>
      <c r="Q27" s="707" t="str">
        <f t="shared" si="11"/>
        <v>成新率</v>
      </c>
      <c r="R27" s="708" t="s">
        <v>14</v>
      </c>
      <c r="S27" s="709" t="e">
        <f t="shared" si="12"/>
        <v>#N/A</v>
      </c>
      <c r="T27" s="708" t="s">
        <v>14</v>
      </c>
      <c r="U27" s="709" t="e">
        <f t="shared" si="13"/>
        <v>#N/A</v>
      </c>
      <c r="V27" s="708" t="s">
        <v>14</v>
      </c>
      <c r="W27" s="709" t="e">
        <f t="shared" si="14"/>
        <v>#N/A</v>
      </c>
      <c r="X27" s="710"/>
      <c r="Y27" s="372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24"/>
      <c r="Q28" s="1352" t="str">
        <f t="shared" si="11"/>
        <v>物业等级</v>
      </c>
      <c r="R28" s="705" t="s">
        <v>14</v>
      </c>
      <c r="S28" s="706">
        <f t="shared" si="12"/>
        <v>100</v>
      </c>
      <c r="T28" s="705" t="s">
        <v>14</v>
      </c>
      <c r="U28" s="706">
        <f t="shared" si="13"/>
        <v>100</v>
      </c>
      <c r="V28" s="705" t="s">
        <v>14</v>
      </c>
      <c r="W28" s="706">
        <f t="shared" si="14"/>
        <v>100</v>
      </c>
      <c r="X28" s="1355"/>
      <c r="Y28" s="372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24"/>
      <c r="Q29" s="1352" t="str">
        <f t="shared" si="11"/>
        <v>有无电梯</v>
      </c>
      <c r="R29" s="705" t="s">
        <v>14</v>
      </c>
      <c r="S29" s="706">
        <f t="shared" si="12"/>
        <v>100</v>
      </c>
      <c r="T29" s="705" t="s">
        <v>14</v>
      </c>
      <c r="U29" s="706">
        <f t="shared" si="13"/>
        <v>100</v>
      </c>
      <c r="V29" s="705" t="s">
        <v>14</v>
      </c>
      <c r="W29" s="706">
        <f t="shared" si="14"/>
        <v>100</v>
      </c>
      <c r="X29" s="1355"/>
      <c r="Y29" s="372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24"/>
      <c r="Q30" s="1352" t="str">
        <f t="shared" si="11"/>
        <v>建筑面积</v>
      </c>
      <c r="R30" s="705" t="s">
        <v>14</v>
      </c>
      <c r="S30" s="706" t="e">
        <f t="shared" si="12"/>
        <v>#N/A</v>
      </c>
      <c r="T30" s="705" t="s">
        <v>14</v>
      </c>
      <c r="U30" s="706" t="e">
        <f t="shared" si="13"/>
        <v>#N/A</v>
      </c>
      <c r="V30" s="705" t="s">
        <v>14</v>
      </c>
      <c r="W30" s="706" t="e">
        <f t="shared" si="14"/>
        <v>#N/A</v>
      </c>
      <c r="X30" s="1355"/>
      <c r="Y30" s="372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24"/>
      <c r="Q31" s="1343" t="str">
        <f t="shared" si="11"/>
        <v>是否封闭</v>
      </c>
      <c r="R31" s="701" t="s">
        <v>14</v>
      </c>
      <c r="S31" s="702">
        <f t="shared" si="12"/>
        <v>100</v>
      </c>
      <c r="T31" s="701" t="s">
        <v>14</v>
      </c>
      <c r="U31" s="702">
        <f t="shared" si="13"/>
        <v>100</v>
      </c>
      <c r="V31" s="701" t="s">
        <v>14</v>
      </c>
      <c r="W31" s="702">
        <f t="shared" si="14"/>
        <v>100</v>
      </c>
      <c r="X31" s="703"/>
      <c r="Y31" s="3724"/>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24" t="s">
        <v>1696</v>
      </c>
      <c r="Q32" s="1352">
        <f t="shared" si="11"/>
        <v>111</v>
      </c>
      <c r="R32" s="705" t="s">
        <v>14</v>
      </c>
      <c r="S32" s="706">
        <f t="shared" si="12"/>
        <v>100</v>
      </c>
      <c r="T32" s="705" t="s">
        <v>14</v>
      </c>
      <c r="U32" s="706">
        <f t="shared" si="13"/>
        <v>100</v>
      </c>
      <c r="V32" s="705" t="s">
        <v>14</v>
      </c>
      <c r="W32" s="706">
        <f t="shared" si="14"/>
        <v>100</v>
      </c>
      <c r="X32" s="1355"/>
      <c r="Y32" s="3724" t="s">
        <v>1696</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24"/>
      <c r="Q33" s="1352">
        <f t="shared" si="11"/>
        <v>111</v>
      </c>
      <c r="R33" s="705" t="s">
        <v>14</v>
      </c>
      <c r="S33" s="706">
        <f t="shared" si="12"/>
        <v>100</v>
      </c>
      <c r="T33" s="705" t="s">
        <v>14</v>
      </c>
      <c r="U33" s="706">
        <f t="shared" si="13"/>
        <v>100</v>
      </c>
      <c r="V33" s="705" t="s">
        <v>14</v>
      </c>
      <c r="W33" s="706">
        <f t="shared" si="14"/>
        <v>100</v>
      </c>
      <c r="X33" s="1355"/>
      <c r="Y33" s="3724"/>
      <c r="Z33" s="1356">
        <f t="shared" si="15"/>
        <v>111</v>
      </c>
      <c r="AA33" s="1353">
        <f t="shared" si="3"/>
        <v>1</v>
      </c>
      <c r="AB33" s="1353">
        <f t="shared" si="4"/>
        <v>1</v>
      </c>
      <c r="AC33" s="1353">
        <f t="shared" si="5"/>
        <v>1</v>
      </c>
    </row>
    <row r="34" spans="1:30" ht="15.75" thickBot="1">
      <c r="A34" s="429"/>
      <c r="B34" s="1894">
        <v>111</v>
      </c>
      <c r="C34" s="388"/>
      <c r="D34" s="389">
        <v>100</v>
      </c>
      <c r="E34" s="1972"/>
      <c r="F34" s="390">
        <f>SUMIF(95:95,E34,96:96)-SUMIF(95:95,C34,96:96)+100</f>
        <v>100</v>
      </c>
      <c r="G34" s="1972"/>
      <c r="H34" s="389">
        <f>SUMIF(95:95,G34,96:96)-SUMIF(95:95,C34,96:96)+100</f>
        <v>100</v>
      </c>
      <c r="I34" s="1972"/>
      <c r="J34" s="389">
        <f>SUMIF(95:95,I34,96:96)-SUMIF(95:95,C34,96:96)+100</f>
        <v>100</v>
      </c>
      <c r="K34" s="562"/>
      <c r="L34" s="2718"/>
      <c r="M34" s="2712"/>
      <c r="N34" s="2712"/>
      <c r="O34" s="2770"/>
      <c r="P34" s="3724"/>
      <c r="Q34" s="1352">
        <f t="shared" si="11"/>
        <v>111</v>
      </c>
      <c r="R34" s="705" t="s">
        <v>14</v>
      </c>
      <c r="S34" s="706">
        <f t="shared" si="12"/>
        <v>100</v>
      </c>
      <c r="T34" s="705" t="s">
        <v>14</v>
      </c>
      <c r="U34" s="706">
        <f t="shared" si="13"/>
        <v>100</v>
      </c>
      <c r="V34" s="705" t="s">
        <v>14</v>
      </c>
      <c r="W34" s="706">
        <f t="shared" si="14"/>
        <v>100</v>
      </c>
      <c r="X34" s="1355"/>
      <c r="Y34" s="372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0"/>
      <c r="M35" s="2721"/>
      <c r="N35" s="2712"/>
      <c r="O35" s="2721"/>
      <c r="P35" s="3717" t="str">
        <f>A35</f>
        <v>成交单价（元/平方米）</v>
      </c>
      <c r="Q35" s="3717"/>
      <c r="R35" s="3718">
        <f>E35</f>
        <v>0</v>
      </c>
      <c r="S35" s="3718"/>
      <c r="T35" s="3718">
        <f>G35</f>
        <v>0</v>
      </c>
      <c r="U35" s="3718"/>
      <c r="V35" s="3718">
        <f>I35</f>
        <v>0</v>
      </c>
      <c r="W35" s="3718"/>
      <c r="X35" s="690"/>
      <c r="Y35" s="712"/>
      <c r="Z35" s="690"/>
      <c r="AA35" s="690"/>
      <c r="AB35" s="690"/>
      <c r="AC35" s="690"/>
    </row>
    <row r="36" spans="1:30" ht="15.75" thickBot="1">
      <c r="A36" s="437" t="s">
        <v>1793</v>
      </c>
      <c r="B36" s="438"/>
      <c r="C36" s="1160" t="e">
        <f>R37</f>
        <v>#DIV/0!</v>
      </c>
      <c r="D36" s="2314" t="s">
        <v>2138</v>
      </c>
      <c r="E36" s="1161" t="e">
        <f>R36</f>
        <v>#DIV/0!</v>
      </c>
      <c r="F36" s="2315"/>
      <c r="G36" s="1160" t="e">
        <f>T36</f>
        <v>#DIV/0!</v>
      </c>
      <c r="H36" s="2315"/>
      <c r="I36" s="1161" t="e">
        <f>V36</f>
        <v>#DIV/0!</v>
      </c>
      <c r="J36" s="2315"/>
      <c r="K36" s="2317">
        <f>F36+H36+J36</f>
        <v>0</v>
      </c>
      <c r="L36" s="2720"/>
      <c r="M36" s="2721"/>
      <c r="N36" s="2712"/>
      <c r="O36" s="2721"/>
      <c r="P36" s="3717" t="str">
        <f>A36</f>
        <v>比较价值（元/平方米）</v>
      </c>
      <c r="Q36" s="3717"/>
      <c r="R36" s="3718" t="e">
        <f>IF(F1="售价",ROUND(PRODUCT(R35,AA7:AA34),0),ROUND(PRODUCT(R35,AA7:AA34),1))</f>
        <v>#DIV/0!</v>
      </c>
      <c r="S36" s="3718"/>
      <c r="T36" s="3718" t="e">
        <f>IF(F1="售价",ROUND(PRODUCT(T35,AB7:AB34),0),ROUND(PRODUCT(T35,AB7:AB34),1))</f>
        <v>#DIV/0!</v>
      </c>
      <c r="U36" s="3718"/>
      <c r="V36" s="3718" t="e">
        <f>IF(F1="售价",ROUND(PRODUCT(V35,AC7:AC34),0),ROUND(PRODUCT(V35,AC7:AC34),1))</f>
        <v>#DIV/0!</v>
      </c>
      <c r="W36" s="371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0"/>
      <c r="M37" s="2721"/>
      <c r="N37" s="2721"/>
      <c r="O37" s="2721"/>
      <c r="P37" s="3714" t="str">
        <f>A37</f>
        <v>估价对象XX用房的比较价值（楼面单价，元/平方米）</v>
      </c>
      <c r="Q37" s="3715"/>
      <c r="R37" s="3744" t="e">
        <f>IF(F1="售价",ROUND(IF(D36="简单平均",AVERAGE(R36:W36),R36*F36+T36*H36+V36*J36),0),ROUND(IF(D36="简单平均",AVERAGE(R36:V36),R36*F36+T36*H36+V36*J36),1))</f>
        <v>#DIV/0!</v>
      </c>
      <c r="S37" s="3744"/>
      <c r="T37" s="3744"/>
      <c r="U37" s="3744"/>
      <c r="V37" s="3744"/>
      <c r="W37" s="3744"/>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4" t="str">
        <f>YEAR(C7)&amp;"-"&amp;MONTH(C7)</f>
        <v>2023-9</v>
      </c>
      <c r="D46" s="1185">
        <f>EDATE(C46,-1)</f>
        <v>45139</v>
      </c>
      <c r="E46" s="1185">
        <f t="shared" ref="E46:O46" si="16">EDATE(D46,-1)</f>
        <v>45108</v>
      </c>
      <c r="F46" s="1185">
        <f t="shared" si="16"/>
        <v>45078</v>
      </c>
      <c r="G46" s="1185">
        <f t="shared" si="16"/>
        <v>45047</v>
      </c>
      <c r="H46" s="1185">
        <f t="shared" si="16"/>
        <v>45017</v>
      </c>
      <c r="I46" s="1185">
        <f t="shared" si="16"/>
        <v>44986</v>
      </c>
      <c r="J46" s="1185">
        <f t="shared" si="16"/>
        <v>44958</v>
      </c>
      <c r="K46" s="1185">
        <f t="shared" si="16"/>
        <v>44927</v>
      </c>
      <c r="L46" s="1185">
        <f t="shared" si="16"/>
        <v>44896</v>
      </c>
      <c r="M46" s="1185">
        <f t="shared" si="16"/>
        <v>44866</v>
      </c>
      <c r="N46" s="1185">
        <f t="shared" si="16"/>
        <v>44835</v>
      </c>
      <c r="O46" s="1185">
        <f t="shared" si="16"/>
        <v>44805</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3">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700" t="s">
        <v>1770</v>
      </c>
      <c r="D4" s="3701"/>
      <c r="E4" s="3702" t="s">
        <v>1771</v>
      </c>
      <c r="F4" s="3703"/>
      <c r="G4" s="3700" t="s">
        <v>1772</v>
      </c>
      <c r="H4" s="3701"/>
      <c r="I4" s="3700" t="s">
        <v>1773</v>
      </c>
      <c r="J4" s="3701"/>
      <c r="K4" s="559" t="s">
        <v>1774</v>
      </c>
      <c r="L4" s="2711"/>
      <c r="M4" s="2712"/>
      <c r="N4" s="2712"/>
      <c r="O4" s="2712"/>
      <c r="P4" s="3704" t="s">
        <v>1775</v>
      </c>
      <c r="Q4" s="3705"/>
      <c r="R4" s="3686" t="s">
        <v>1771</v>
      </c>
      <c r="S4" s="3687"/>
      <c r="T4" s="3686" t="s">
        <v>1772</v>
      </c>
      <c r="U4" s="3687"/>
      <c r="V4" s="3712" t="s">
        <v>1773</v>
      </c>
      <c r="W4" s="3712"/>
      <c r="X4" s="1355"/>
      <c r="Y4" s="3686" t="s">
        <v>1775</v>
      </c>
      <c r="Z4" s="3687"/>
      <c r="AA4" s="3681" t="s">
        <v>1771</v>
      </c>
      <c r="AB4" s="3682" t="s">
        <v>1772</v>
      </c>
      <c r="AC4" s="3681" t="s">
        <v>1773</v>
      </c>
    </row>
    <row r="5" spans="1:30" ht="15">
      <c r="A5" s="358"/>
      <c r="B5" s="359"/>
      <c r="C5" s="3696" t="s">
        <v>1673</v>
      </c>
      <c r="D5" s="3693"/>
      <c r="E5" s="3690" t="s">
        <v>1674</v>
      </c>
      <c r="F5" s="3691"/>
      <c r="G5" s="3696" t="s">
        <v>1675</v>
      </c>
      <c r="H5" s="3693"/>
      <c r="I5" s="3696" t="s">
        <v>1676</v>
      </c>
      <c r="J5" s="3693"/>
      <c r="K5" s="559"/>
      <c r="L5" s="2711"/>
      <c r="M5" s="2712"/>
      <c r="N5" s="2712"/>
      <c r="O5" s="2712"/>
      <c r="P5" s="3706"/>
      <c r="Q5" s="3707"/>
      <c r="R5" s="3688"/>
      <c r="S5" s="3689"/>
      <c r="T5" s="3688"/>
      <c r="U5" s="3689"/>
      <c r="V5" s="3712"/>
      <c r="W5" s="3712"/>
      <c r="X5" s="1355"/>
      <c r="Y5" s="3688"/>
      <c r="Z5" s="3689"/>
      <c r="AA5" s="3682"/>
      <c r="AB5" s="3682"/>
      <c r="AC5" s="3682"/>
    </row>
    <row r="6" spans="1:30" ht="15.75" thickBot="1">
      <c r="A6" s="360"/>
      <c r="B6" s="361"/>
      <c r="C6" s="3694" t="s">
        <v>1677</v>
      </c>
      <c r="D6" s="3695"/>
      <c r="E6" s="3697" t="s">
        <v>1677</v>
      </c>
      <c r="F6" s="3698"/>
      <c r="G6" s="3694" t="s">
        <v>1677</v>
      </c>
      <c r="H6" s="3695"/>
      <c r="I6" s="3694" t="s">
        <v>1677</v>
      </c>
      <c r="J6" s="3695"/>
      <c r="K6" s="559" t="s">
        <v>1678</v>
      </c>
      <c r="L6" s="2711"/>
      <c r="M6" s="2712"/>
      <c r="N6" s="2712"/>
      <c r="O6" s="2712"/>
      <c r="P6" s="3708"/>
      <c r="Q6" s="3709"/>
      <c r="R6" s="3688"/>
      <c r="S6" s="3689"/>
      <c r="T6" s="3710"/>
      <c r="U6" s="3711"/>
      <c r="V6" s="3712"/>
      <c r="W6" s="3712"/>
      <c r="X6" s="1355"/>
      <c r="Y6" s="3710"/>
      <c r="Z6" s="3711"/>
      <c r="AA6" s="3683"/>
      <c r="AB6" s="3683"/>
      <c r="AC6" s="3683"/>
    </row>
    <row r="7" spans="1:30" s="108" customFormat="1" ht="15.75" thickBot="1">
      <c r="A7" s="362" t="s">
        <v>1679</v>
      </c>
      <c r="B7" s="363"/>
      <c r="C7" s="364">
        <f>'数据-取费表'!B2</f>
        <v>45189</v>
      </c>
      <c r="D7" s="365">
        <v>100</v>
      </c>
      <c r="E7" s="366"/>
      <c r="F7" s="367">
        <f>SUMIF(69:69,YEAR(E7)&amp;"-"&amp;INT((MONTH(E7)+2)/3),70:70)</f>
        <v>0</v>
      </c>
      <c r="G7" s="1971"/>
      <c r="H7" s="365">
        <f>SUMIF(69:69,YEAR(G7)&amp;"-"&amp;INT((MONTH(G7)+2)/3),70:70)</f>
        <v>0</v>
      </c>
      <c r="I7" s="1971"/>
      <c r="J7" s="365">
        <f>SUMIF(69:69,YEAR(I7)&amp;"-"&amp;INT((MONTH(I7)+2)/3),70:70)</f>
        <v>0</v>
      </c>
      <c r="K7" s="560"/>
      <c r="L7" s="2713"/>
      <c r="M7" s="2714"/>
      <c r="N7" s="2714"/>
      <c r="O7" s="2714"/>
      <c r="P7" s="3684" t="s">
        <v>1680</v>
      </c>
      <c r="Q7" s="3713"/>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684" t="s">
        <v>1683</v>
      </c>
      <c r="Q8" s="3685"/>
      <c r="R8" s="701" t="s">
        <v>14</v>
      </c>
      <c r="S8" s="702">
        <f t="shared" si="0"/>
        <v>0</v>
      </c>
      <c r="T8" s="701" t="s">
        <v>14</v>
      </c>
      <c r="U8" s="702">
        <f t="shared" si="1"/>
        <v>0</v>
      </c>
      <c r="V8" s="701" t="s">
        <v>14</v>
      </c>
      <c r="W8" s="702">
        <f t="shared" si="2"/>
        <v>0</v>
      </c>
      <c r="X8" s="703"/>
      <c r="Y8" s="3684" t="s">
        <v>1683</v>
      </c>
      <c r="Z8" s="3685"/>
      <c r="AA8" s="704" t="e">
        <f t="shared" ref="AA8:AA45" si="3">D8/F8</f>
        <v>#DIV/0!</v>
      </c>
      <c r="AB8" s="704" t="e">
        <f t="shared" ref="AB8:AB45" si="4">D8/H8</f>
        <v>#DIV/0!</v>
      </c>
      <c r="AC8" s="704"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3"/>
      <c r="M9" s="2714"/>
      <c r="N9" s="2714"/>
      <c r="O9" s="2768"/>
      <c r="P9" s="3717"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20"/>
      <c r="L10" s="2715"/>
      <c r="M10" s="2716"/>
      <c r="N10" s="2716"/>
      <c r="O10" s="2769"/>
      <c r="P10" s="3717"/>
      <c r="Q10" s="1343" t="str">
        <f t="shared" si="6"/>
        <v>土地使用年限（年）</v>
      </c>
      <c r="R10" s="701" t="s">
        <v>14</v>
      </c>
      <c r="S10" s="702">
        <f t="shared" si="0"/>
        <v>110</v>
      </c>
      <c r="T10" s="701" t="s">
        <v>14</v>
      </c>
      <c r="U10" s="702">
        <f t="shared" si="1"/>
        <v>110</v>
      </c>
      <c r="V10" s="701" t="s">
        <v>14</v>
      </c>
      <c r="W10" s="702">
        <f t="shared" si="2"/>
        <v>110</v>
      </c>
      <c r="X10" s="703"/>
      <c r="Y10" s="3628"/>
      <c r="Z10" s="52" t="str">
        <f t="shared" si="7"/>
        <v>土地使用年限（年）</v>
      </c>
      <c r="AA10" s="704">
        <f t="shared" si="3"/>
        <v>0.90909090909090906</v>
      </c>
      <c r="AB10" s="704">
        <f t="shared" si="4"/>
        <v>0.90909090909090906</v>
      </c>
      <c r="AC10" s="704">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717"/>
      <c r="Q11" s="1343"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17"/>
      <c r="Q12" s="1343" t="str">
        <f t="shared" si="6"/>
        <v>配建</v>
      </c>
      <c r="R12" s="701" t="s">
        <v>14</v>
      </c>
      <c r="S12" s="702">
        <f t="shared" si="0"/>
        <v>100</v>
      </c>
      <c r="T12" s="701" t="s">
        <v>14</v>
      </c>
      <c r="U12" s="702">
        <f t="shared" si="1"/>
        <v>100</v>
      </c>
      <c r="V12" s="701" t="s">
        <v>14</v>
      </c>
      <c r="W12" s="702">
        <f t="shared" si="2"/>
        <v>100</v>
      </c>
      <c r="X12" s="703"/>
      <c r="Y12" s="3628"/>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17"/>
      <c r="Q13" s="1343">
        <f t="shared" si="6"/>
        <v>111</v>
      </c>
      <c r="R13" s="701" t="s">
        <v>14</v>
      </c>
      <c r="S13" s="702">
        <f t="shared" si="0"/>
        <v>100</v>
      </c>
      <c r="T13" s="701" t="s">
        <v>14</v>
      </c>
      <c r="U13" s="702">
        <f t="shared" si="1"/>
        <v>100</v>
      </c>
      <c r="V13" s="701" t="s">
        <v>14</v>
      </c>
      <c r="W13" s="702">
        <f t="shared" si="2"/>
        <v>100</v>
      </c>
      <c r="X13" s="703"/>
      <c r="Y13" s="3628"/>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17"/>
      <c r="Q14" s="1343">
        <f t="shared" si="6"/>
        <v>111</v>
      </c>
      <c r="R14" s="701" t="s">
        <v>14</v>
      </c>
      <c r="S14" s="702">
        <f t="shared" si="0"/>
        <v>100</v>
      </c>
      <c r="T14" s="701" t="s">
        <v>14</v>
      </c>
      <c r="U14" s="702">
        <f t="shared" si="1"/>
        <v>100</v>
      </c>
      <c r="V14" s="701" t="s">
        <v>14</v>
      </c>
      <c r="W14" s="702">
        <f t="shared" si="2"/>
        <v>100</v>
      </c>
      <c r="X14" s="703"/>
      <c r="Y14" s="3628"/>
      <c r="Z14" s="52">
        <f t="shared" si="7"/>
        <v>111</v>
      </c>
      <c r="AA14" s="704">
        <f>D14/F14</f>
        <v>1</v>
      </c>
      <c r="AB14" s="704">
        <f>D14/H14</f>
        <v>1</v>
      </c>
      <c r="AC14" s="704">
        <f>D14/J14</f>
        <v>1</v>
      </c>
    </row>
    <row r="15" spans="1:30" ht="71.25">
      <c r="A15" s="391" t="s">
        <v>1690</v>
      </c>
      <c r="B15" s="61" t="s">
        <v>1257</v>
      </c>
      <c r="C15" s="1895" t="str">
        <f>估价对象房地状况!C15</f>
        <v>周边有西潞园小区、北潞园小区、拱辰星园等住宅项目，住宅社区成熟度一般。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19" t="s">
        <v>1691</v>
      </c>
      <c r="Q15" s="1352" t="str">
        <f t="shared" si="6"/>
        <v>居住社区成熟度</v>
      </c>
      <c r="R15" s="705" t="s">
        <v>14</v>
      </c>
      <c r="S15" s="706">
        <f t="shared" si="0"/>
        <v>100</v>
      </c>
      <c r="T15" s="705" t="s">
        <v>14</v>
      </c>
      <c r="U15" s="706">
        <f t="shared" si="1"/>
        <v>100</v>
      </c>
      <c r="V15" s="705" t="s">
        <v>14</v>
      </c>
      <c r="W15" s="706">
        <f t="shared" si="2"/>
        <v>100</v>
      </c>
      <c r="X15" s="1355"/>
      <c r="Y15" s="3719" t="s">
        <v>1691</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18"/>
      <c r="M16" s="2712"/>
      <c r="N16" s="2712"/>
      <c r="O16" s="2770"/>
      <c r="P16" s="3720"/>
      <c r="Q16" s="1352"/>
      <c r="R16" s="705"/>
      <c r="S16" s="706"/>
      <c r="T16" s="705"/>
      <c r="U16" s="706"/>
      <c r="V16" s="705"/>
      <c r="W16" s="706"/>
      <c r="X16" s="1355"/>
      <c r="Y16" s="3720"/>
      <c r="Z16" s="1356"/>
      <c r="AA16" s="1353">
        <v>1</v>
      </c>
      <c r="AB16" s="1353">
        <v>1</v>
      </c>
      <c r="AC16" s="1353">
        <v>1</v>
      </c>
    </row>
    <row r="17" spans="1:29" ht="71.25">
      <c r="A17" s="379"/>
      <c r="B17" s="402" t="s">
        <v>1777</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20"/>
      <c r="Q17" s="1352" t="str">
        <f>B17</f>
        <v>商业繁华度</v>
      </c>
      <c r="R17" s="705" t="s">
        <v>14</v>
      </c>
      <c r="S17" s="706">
        <f>F17</f>
        <v>100</v>
      </c>
      <c r="T17" s="705" t="s">
        <v>14</v>
      </c>
      <c r="U17" s="706">
        <f>H17</f>
        <v>100</v>
      </c>
      <c r="V17" s="705" t="s">
        <v>14</v>
      </c>
      <c r="W17" s="706">
        <f>J17</f>
        <v>100</v>
      </c>
      <c r="X17" s="1355"/>
      <c r="Y17" s="3720"/>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18"/>
      <c r="M18" s="2712"/>
      <c r="N18" s="2712"/>
      <c r="O18" s="2770"/>
      <c r="P18" s="3720"/>
      <c r="Q18" s="1352"/>
      <c r="R18" s="705"/>
      <c r="S18" s="706"/>
      <c r="T18" s="705"/>
      <c r="U18" s="706"/>
      <c r="V18" s="705"/>
      <c r="W18" s="706"/>
      <c r="X18" s="1355"/>
      <c r="Y18" s="3720"/>
      <c r="Z18" s="1356"/>
      <c r="AA18" s="1353">
        <v>1</v>
      </c>
      <c r="AB18" s="1353">
        <v>1</v>
      </c>
      <c r="AC18" s="1353">
        <v>1</v>
      </c>
    </row>
    <row r="19" spans="1:29" ht="71.25">
      <c r="A19" s="379"/>
      <c r="B19" s="402" t="s">
        <v>1811</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20"/>
      <c r="Q19" s="1352" t="str">
        <f>B19</f>
        <v>办公集聚程度</v>
      </c>
      <c r="R19" s="705" t="s">
        <v>14</v>
      </c>
      <c r="S19" s="706">
        <f>F19</f>
        <v>100</v>
      </c>
      <c r="T19" s="705" t="s">
        <v>14</v>
      </c>
      <c r="U19" s="706">
        <f>H19</f>
        <v>100</v>
      </c>
      <c r="V19" s="705" t="s">
        <v>14</v>
      </c>
      <c r="W19" s="706">
        <f>J19</f>
        <v>100</v>
      </c>
      <c r="X19" s="1355"/>
      <c r="Y19" s="3720"/>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18"/>
      <c r="M20" s="2712"/>
      <c r="N20" s="2712"/>
      <c r="O20" s="2770"/>
      <c r="P20" s="3720"/>
      <c r="Q20" s="1352"/>
      <c r="R20" s="705"/>
      <c r="S20" s="706"/>
      <c r="T20" s="705"/>
      <c r="U20" s="706"/>
      <c r="V20" s="705"/>
      <c r="W20" s="706"/>
      <c r="X20" s="1355"/>
      <c r="Y20" s="3720"/>
      <c r="Z20" s="1356"/>
      <c r="AA20" s="1353">
        <v>1</v>
      </c>
      <c r="AB20" s="1353">
        <v>1</v>
      </c>
      <c r="AC20" s="1353">
        <v>1</v>
      </c>
    </row>
    <row r="21" spans="1:29" ht="114">
      <c r="A21" s="379"/>
      <c r="B21" s="402" t="s">
        <v>1833</v>
      </c>
      <c r="C21" s="1899" t="str">
        <f>估价对象房地状况!C18</f>
        <v>周边有F2、F13、F36、F41、616、833路等多条公交线路经过并设站，距离地铁房山线良乡南关约2公里，交通较便捷。</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20"/>
      <c r="Q21" s="1352" t="str">
        <f>B21</f>
        <v>交通便捷度</v>
      </c>
      <c r="R21" s="705" t="s">
        <v>14</v>
      </c>
      <c r="S21" s="706">
        <f>F21</f>
        <v>100</v>
      </c>
      <c r="T21" s="705" t="s">
        <v>14</v>
      </c>
      <c r="U21" s="706">
        <f>H21</f>
        <v>100</v>
      </c>
      <c r="V21" s="705" t="s">
        <v>14</v>
      </c>
      <c r="W21" s="706">
        <f>J21</f>
        <v>100</v>
      </c>
      <c r="X21" s="1355"/>
      <c r="Y21" s="3720"/>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18"/>
      <c r="M22" s="2712"/>
      <c r="N22" s="2712"/>
      <c r="O22" s="2770"/>
      <c r="P22" s="3720"/>
      <c r="Q22" s="1352"/>
      <c r="R22" s="705"/>
      <c r="S22" s="706"/>
      <c r="T22" s="705"/>
      <c r="U22" s="706"/>
      <c r="V22" s="705"/>
      <c r="W22" s="706"/>
      <c r="X22" s="1355"/>
      <c r="Y22" s="372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20"/>
      <c r="Q23" s="1352" t="str">
        <f t="shared" ref="Q23:Q37" si="8">B23</f>
        <v>区域土地利用方向</v>
      </c>
      <c r="R23" s="705" t="s">
        <v>14</v>
      </c>
      <c r="S23" s="706">
        <f>F23</f>
        <v>100</v>
      </c>
      <c r="T23" s="705" t="s">
        <v>14</v>
      </c>
      <c r="U23" s="706">
        <f>H23</f>
        <v>100</v>
      </c>
      <c r="V23" s="705" t="s">
        <v>14</v>
      </c>
      <c r="W23" s="706">
        <f>J23</f>
        <v>100</v>
      </c>
      <c r="X23" s="1355"/>
      <c r="Y23" s="3720"/>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18"/>
      <c r="M24" s="2712"/>
      <c r="N24" s="2712"/>
      <c r="O24" s="2770"/>
      <c r="P24" s="3720"/>
      <c r="Q24" s="1352"/>
      <c r="R24" s="705"/>
      <c r="S24" s="706"/>
      <c r="T24" s="705"/>
      <c r="U24" s="706"/>
      <c r="V24" s="705"/>
      <c r="W24" s="706"/>
      <c r="X24" s="1355"/>
      <c r="Y24" s="3720"/>
      <c r="Z24" s="1356"/>
      <c r="AA24" s="1353"/>
      <c r="AB24" s="1353"/>
      <c r="AC24" s="1353"/>
    </row>
    <row r="25" spans="1:29" ht="99.75">
      <c r="A25" s="358"/>
      <c r="B25" s="1131" t="s">
        <v>1872</v>
      </c>
      <c r="C25" s="1952" t="str">
        <f>估价对象房地状况!C20</f>
        <v>估价对象周边有刺猬河、北潞园健身公园、房山区良乡体育中心等自然人文景观，总体自然人文环境较好。</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20"/>
      <c r="Q25" s="1352" t="str">
        <f t="shared" si="8"/>
        <v>自然及人文环境状况</v>
      </c>
      <c r="R25" s="705" t="s">
        <v>14</v>
      </c>
      <c r="S25" s="706">
        <f>F25</f>
        <v>100</v>
      </c>
      <c r="T25" s="705" t="s">
        <v>14</v>
      </c>
      <c r="U25" s="706">
        <f>H25</f>
        <v>100</v>
      </c>
      <c r="V25" s="705" t="s">
        <v>14</v>
      </c>
      <c r="W25" s="706">
        <f>J25</f>
        <v>100</v>
      </c>
      <c r="X25" s="1355"/>
      <c r="Y25" s="3720"/>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18"/>
      <c r="M26" s="2712"/>
      <c r="N26" s="2712"/>
      <c r="O26" s="2770"/>
      <c r="P26" s="3720"/>
      <c r="Q26" s="1352"/>
      <c r="R26" s="705"/>
      <c r="S26" s="706"/>
      <c r="T26" s="705"/>
      <c r="U26" s="706"/>
      <c r="V26" s="705"/>
      <c r="W26" s="706"/>
      <c r="X26" s="1355"/>
      <c r="Y26" s="3720"/>
      <c r="Z26" s="1356"/>
      <c r="AA26" s="1353">
        <v>1</v>
      </c>
      <c r="AB26" s="1353">
        <v>1</v>
      </c>
      <c r="AC26" s="1353">
        <v>1</v>
      </c>
    </row>
    <row r="27" spans="1:29" s="108" customFormat="1" ht="256.5">
      <c r="A27" s="597"/>
      <c r="B27" s="1131" t="s">
        <v>1778</v>
      </c>
      <c r="C27" s="1899" t="str">
        <f>估价对象房地状况!C21</f>
        <v>周边有华冠购物中心、龙湖房山天街、永辉超市等商业项目；有中国建设银行、中国工商银行、北京农商银行等金融机构；有房山区妇幼保健院、北京仁德医院、良乡医院等医疗机构，有良乡第二中学、良乡第三小学、北师大良乡附中、良乡幼儿园等教育机构；公共配套设施齐备度较好</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20"/>
      <c r="Q27" s="1343" t="str">
        <f t="shared" si="8"/>
        <v>公共配套设施</v>
      </c>
      <c r="R27" s="701" t="s">
        <v>14</v>
      </c>
      <c r="S27" s="702">
        <f>F27</f>
        <v>100</v>
      </c>
      <c r="T27" s="701" t="s">
        <v>14</v>
      </c>
      <c r="U27" s="702">
        <f>H27</f>
        <v>100</v>
      </c>
      <c r="V27" s="701" t="s">
        <v>14</v>
      </c>
      <c r="W27" s="702">
        <f>J27</f>
        <v>100</v>
      </c>
      <c r="X27" s="703"/>
      <c r="Y27" s="3720"/>
      <c r="Z27" s="52" t="str">
        <f>Q27</f>
        <v>公共配套设施</v>
      </c>
      <c r="AA27" s="1353">
        <f>D27/F27</f>
        <v>1</v>
      </c>
      <c r="AB27" s="1353">
        <f>D27/H27</f>
        <v>1</v>
      </c>
      <c r="AC27" s="1353">
        <f>D27/J27</f>
        <v>1</v>
      </c>
    </row>
    <row r="28" spans="1:29" s="108" customFormat="1" ht="15">
      <c r="A28" s="597"/>
      <c r="B28" s="407"/>
      <c r="C28" s="1975"/>
      <c r="D28" s="399"/>
      <c r="E28" s="1903"/>
      <c r="F28" s="399"/>
      <c r="G28" s="1903"/>
      <c r="H28" s="399"/>
      <c r="I28" s="398"/>
      <c r="J28" s="399"/>
      <c r="K28" s="620"/>
      <c r="L28" s="2713"/>
      <c r="M28" s="2714"/>
      <c r="N28" s="2714"/>
      <c r="O28" s="2768"/>
      <c r="P28" s="3720"/>
      <c r="Q28" s="1343"/>
      <c r="R28" s="701"/>
      <c r="S28" s="702"/>
      <c r="T28" s="701"/>
      <c r="U28" s="702"/>
      <c r="V28" s="701"/>
      <c r="W28" s="702"/>
      <c r="X28" s="703"/>
      <c r="Y28" s="3720"/>
      <c r="Z28" s="52"/>
      <c r="AA28" s="1353">
        <v>1</v>
      </c>
      <c r="AB28" s="1353">
        <v>1</v>
      </c>
      <c r="AC28" s="1353">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20"/>
      <c r="Q29" s="1343" t="str">
        <f t="shared" ref="Q29" si="9">B29</f>
        <v>基础设施水平</v>
      </c>
      <c r="R29" s="701" t="s">
        <v>14</v>
      </c>
      <c r="S29" s="702">
        <f>F29</f>
        <v>100</v>
      </c>
      <c r="T29" s="701" t="s">
        <v>14</v>
      </c>
      <c r="U29" s="702">
        <f>H29</f>
        <v>100</v>
      </c>
      <c r="V29" s="701" t="s">
        <v>14</v>
      </c>
      <c r="W29" s="702">
        <f>J29</f>
        <v>100</v>
      </c>
      <c r="X29" s="703"/>
      <c r="Y29" s="3720"/>
      <c r="Z29" s="52" t="str">
        <f>Q29</f>
        <v>基础设施水平</v>
      </c>
      <c r="AA29" s="1353">
        <f>D29/F29</f>
        <v>1</v>
      </c>
      <c r="AB29" s="1353">
        <f>D29/H29</f>
        <v>1</v>
      </c>
      <c r="AC29" s="1353">
        <f>D29/J29</f>
        <v>1</v>
      </c>
    </row>
    <row r="30" spans="1:29" s="108" customFormat="1" ht="15">
      <c r="A30" s="597"/>
      <c r="B30" s="407"/>
      <c r="C30" s="1975"/>
      <c r="D30" s="399"/>
      <c r="E30" s="1976"/>
      <c r="F30" s="399"/>
      <c r="G30" s="1976"/>
      <c r="H30" s="399"/>
      <c r="I30" s="1976"/>
      <c r="J30" s="399"/>
      <c r="K30" s="620"/>
      <c r="L30" s="2713"/>
      <c r="M30" s="2714"/>
      <c r="N30" s="2714"/>
      <c r="O30" s="2768"/>
      <c r="P30" s="3720"/>
      <c r="Q30" s="1343"/>
      <c r="R30" s="701"/>
      <c r="S30" s="702"/>
      <c r="T30" s="701"/>
      <c r="U30" s="702"/>
      <c r="V30" s="701"/>
      <c r="W30" s="702"/>
      <c r="X30" s="703"/>
      <c r="Y30" s="372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2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20"/>
      <c r="Q32" s="1352" t="str">
        <f t="shared" si="8"/>
        <v>毗邻道路的类型与等级</v>
      </c>
      <c r="R32" s="705" t="s">
        <v>14</v>
      </c>
      <c r="S32" s="706">
        <f t="shared" si="10"/>
        <v>100</v>
      </c>
      <c r="T32" s="705" t="s">
        <v>14</v>
      </c>
      <c r="U32" s="706">
        <f t="shared" si="11"/>
        <v>100</v>
      </c>
      <c r="V32" s="705" t="s">
        <v>14</v>
      </c>
      <c r="W32" s="706">
        <f t="shared" si="12"/>
        <v>100</v>
      </c>
      <c r="X32" s="1355"/>
      <c r="Y32" s="3720"/>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18"/>
      <c r="M33" s="2712"/>
      <c r="N33" s="2712"/>
      <c r="O33" s="2770"/>
      <c r="P33" s="3720"/>
      <c r="Q33" s="1352"/>
      <c r="R33" s="705"/>
      <c r="S33" s="706"/>
      <c r="T33" s="705"/>
      <c r="U33" s="706"/>
      <c r="V33" s="705"/>
      <c r="W33" s="706"/>
      <c r="X33" s="1355"/>
      <c r="Y33" s="372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20"/>
      <c r="Q34" s="1352" t="str">
        <f t="shared" si="8"/>
        <v>土地级别</v>
      </c>
      <c r="R34" s="705" t="s">
        <v>14</v>
      </c>
      <c r="S34" s="706">
        <f t="shared" si="10"/>
        <v>100</v>
      </c>
      <c r="T34" s="705" t="s">
        <v>14</v>
      </c>
      <c r="U34" s="706">
        <f t="shared" si="11"/>
        <v>100</v>
      </c>
      <c r="V34" s="705" t="s">
        <v>14</v>
      </c>
      <c r="W34" s="706">
        <f t="shared" si="12"/>
        <v>100</v>
      </c>
      <c r="X34" s="1355"/>
      <c r="Y34" s="372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20"/>
      <c r="Q35" s="1352">
        <f t="shared" si="8"/>
        <v>111</v>
      </c>
      <c r="R35" s="705" t="s">
        <v>14</v>
      </c>
      <c r="S35" s="706">
        <f t="shared" si="10"/>
        <v>100</v>
      </c>
      <c r="T35" s="705" t="s">
        <v>14</v>
      </c>
      <c r="U35" s="706">
        <f t="shared" si="11"/>
        <v>100</v>
      </c>
      <c r="V35" s="705" t="s">
        <v>14</v>
      </c>
      <c r="W35" s="706">
        <f t="shared" si="12"/>
        <v>100</v>
      </c>
      <c r="X35" s="1355"/>
      <c r="Y35" s="372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43" t="s">
        <v>1696</v>
      </c>
      <c r="Q36" s="1352">
        <f t="shared" si="8"/>
        <v>111</v>
      </c>
      <c r="R36" s="705" t="s">
        <v>14</v>
      </c>
      <c r="S36" s="706">
        <f t="shared" si="10"/>
        <v>100</v>
      </c>
      <c r="T36" s="705" t="s">
        <v>14</v>
      </c>
      <c r="U36" s="706">
        <f t="shared" si="11"/>
        <v>100</v>
      </c>
      <c r="V36" s="705" t="s">
        <v>14</v>
      </c>
      <c r="W36" s="706">
        <f t="shared" si="12"/>
        <v>100</v>
      </c>
      <c r="X36" s="1355"/>
      <c r="Y36" s="372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24"/>
      <c r="Q37" s="1352">
        <f t="shared" si="8"/>
        <v>111</v>
      </c>
      <c r="R37" s="708" t="s">
        <v>14</v>
      </c>
      <c r="S37" s="709">
        <f t="shared" si="10"/>
        <v>100</v>
      </c>
      <c r="T37" s="708" t="s">
        <v>14</v>
      </c>
      <c r="U37" s="709">
        <f t="shared" si="11"/>
        <v>100</v>
      </c>
      <c r="V37" s="708" t="s">
        <v>14</v>
      </c>
      <c r="W37" s="709">
        <f t="shared" si="12"/>
        <v>100</v>
      </c>
      <c r="X37" s="710"/>
      <c r="Y37" s="372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24"/>
      <c r="Q38" s="1352" t="str">
        <f>B38</f>
        <v>宗地面积</v>
      </c>
      <c r="R38" s="705" t="s">
        <v>14</v>
      </c>
      <c r="S38" s="706" t="e">
        <f t="shared" si="10"/>
        <v>#N/A</v>
      </c>
      <c r="T38" s="705" t="s">
        <v>14</v>
      </c>
      <c r="U38" s="706" t="e">
        <f t="shared" si="11"/>
        <v>#N/A</v>
      </c>
      <c r="V38" s="705" t="s">
        <v>14</v>
      </c>
      <c r="W38" s="706" t="e">
        <f t="shared" si="12"/>
        <v>#N/A</v>
      </c>
      <c r="X38" s="1355"/>
      <c r="Y38" s="3724"/>
      <c r="Z38" s="1356" t="str">
        <f t="shared" si="13"/>
        <v>宗地面积</v>
      </c>
      <c r="AA38" s="1353" t="e">
        <f t="shared" si="3"/>
        <v>#N/A</v>
      </c>
      <c r="AB38" s="1353" t="e">
        <f t="shared" si="4"/>
        <v>#N/A</v>
      </c>
      <c r="AC38" s="1353"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8"/>
      <c r="M39" s="2712"/>
      <c r="N39" s="2712"/>
      <c r="O39" s="2770"/>
      <c r="P39" s="3724"/>
      <c r="Q39" s="1352" t="str">
        <f t="shared" ref="Q39:Q45" si="14">B39</f>
        <v>宗地形状</v>
      </c>
      <c r="R39" s="705" t="s">
        <v>14</v>
      </c>
      <c r="S39" s="706">
        <f t="shared" si="10"/>
        <v>100</v>
      </c>
      <c r="T39" s="705" t="s">
        <v>14</v>
      </c>
      <c r="U39" s="706">
        <f t="shared" si="11"/>
        <v>100</v>
      </c>
      <c r="V39" s="705" t="s">
        <v>14</v>
      </c>
      <c r="W39" s="706">
        <f t="shared" si="12"/>
        <v>100</v>
      </c>
      <c r="X39" s="1355"/>
      <c r="Y39" s="3724"/>
      <c r="Z39" s="1356" t="str">
        <f t="shared" si="13"/>
        <v>宗地形状</v>
      </c>
      <c r="AA39" s="1353">
        <f t="shared" si="3"/>
        <v>1</v>
      </c>
      <c r="AB39" s="1353">
        <f t="shared" si="4"/>
        <v>1</v>
      </c>
      <c r="AC39" s="1353">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8"/>
      <c r="M40" s="2712"/>
      <c r="N40" s="2712"/>
      <c r="O40" s="2770"/>
      <c r="P40" s="3724"/>
      <c r="Q40" s="1352" t="str">
        <f t="shared" si="14"/>
        <v>临街宽度及深度</v>
      </c>
      <c r="R40" s="705" t="s">
        <v>14</v>
      </c>
      <c r="S40" s="706">
        <f t="shared" si="10"/>
        <v>100</v>
      </c>
      <c r="T40" s="705" t="s">
        <v>14</v>
      </c>
      <c r="U40" s="706">
        <f t="shared" si="11"/>
        <v>100</v>
      </c>
      <c r="V40" s="705" t="s">
        <v>14</v>
      </c>
      <c r="W40" s="706">
        <f t="shared" si="12"/>
        <v>100</v>
      </c>
      <c r="X40" s="1355"/>
      <c r="Y40" s="3724"/>
      <c r="Z40" s="1356" t="str">
        <f t="shared" si="13"/>
        <v>临街宽度及深度</v>
      </c>
      <c r="AA40" s="1353">
        <f t="shared" si="3"/>
        <v>1</v>
      </c>
      <c r="AB40" s="1353">
        <f t="shared" si="4"/>
        <v>1</v>
      </c>
      <c r="AC40" s="1353">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3"/>
      <c r="M41" s="2714"/>
      <c r="N41" s="2714"/>
      <c r="O41" s="2768"/>
      <c r="P41" s="3724"/>
      <c r="Q41" s="1352" t="str">
        <f t="shared" si="14"/>
        <v>宗地开发程度</v>
      </c>
      <c r="R41" s="701" t="s">
        <v>14</v>
      </c>
      <c r="S41" s="702">
        <f t="shared" si="10"/>
        <v>100</v>
      </c>
      <c r="T41" s="701" t="s">
        <v>14</v>
      </c>
      <c r="U41" s="702">
        <f t="shared" si="11"/>
        <v>100</v>
      </c>
      <c r="V41" s="701" t="s">
        <v>14</v>
      </c>
      <c r="W41" s="702">
        <f t="shared" si="12"/>
        <v>100</v>
      </c>
      <c r="X41" s="703"/>
      <c r="Y41" s="3724"/>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8"/>
      <c r="M42" s="2712"/>
      <c r="N42" s="2712"/>
      <c r="O42" s="2770"/>
      <c r="P42" s="3724" t="s">
        <v>1696</v>
      </c>
      <c r="Q42" s="1352" t="str">
        <f t="shared" si="14"/>
        <v>工程地质条件</v>
      </c>
      <c r="R42" s="705" t="s">
        <v>14</v>
      </c>
      <c r="S42" s="706">
        <f t="shared" si="10"/>
        <v>100</v>
      </c>
      <c r="T42" s="705" t="s">
        <v>14</v>
      </c>
      <c r="U42" s="706">
        <f t="shared" si="11"/>
        <v>100</v>
      </c>
      <c r="V42" s="705" t="s">
        <v>14</v>
      </c>
      <c r="W42" s="706">
        <f t="shared" si="12"/>
        <v>100</v>
      </c>
      <c r="X42" s="1355"/>
      <c r="Y42" s="372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24"/>
      <c r="Q43" s="1352">
        <f t="shared" si="14"/>
        <v>111</v>
      </c>
      <c r="R43" s="705" t="s">
        <v>14</v>
      </c>
      <c r="S43" s="706">
        <f t="shared" si="10"/>
        <v>100</v>
      </c>
      <c r="T43" s="705" t="s">
        <v>14</v>
      </c>
      <c r="U43" s="706">
        <f t="shared" si="11"/>
        <v>100</v>
      </c>
      <c r="V43" s="705" t="s">
        <v>14</v>
      </c>
      <c r="W43" s="706">
        <f t="shared" si="12"/>
        <v>100</v>
      </c>
      <c r="X43" s="1355"/>
      <c r="Y43" s="372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24"/>
      <c r="Q44" s="1352">
        <f t="shared" si="14"/>
        <v>111</v>
      </c>
      <c r="R44" s="705" t="s">
        <v>14</v>
      </c>
      <c r="S44" s="706">
        <f t="shared" si="10"/>
        <v>100</v>
      </c>
      <c r="T44" s="705" t="s">
        <v>14</v>
      </c>
      <c r="U44" s="706">
        <f t="shared" si="11"/>
        <v>100</v>
      </c>
      <c r="V44" s="705" t="s">
        <v>14</v>
      </c>
      <c r="W44" s="706">
        <f t="shared" si="12"/>
        <v>100</v>
      </c>
      <c r="X44" s="1355"/>
      <c r="Y44" s="3724"/>
      <c r="Z44" s="1356">
        <f t="shared" si="13"/>
        <v>111</v>
      </c>
      <c r="AA44" s="1353">
        <f t="shared" si="3"/>
        <v>1</v>
      </c>
      <c r="AB44" s="1353">
        <f t="shared" si="4"/>
        <v>1</v>
      </c>
      <c r="AC44" s="1353">
        <f t="shared" si="5"/>
        <v>1</v>
      </c>
    </row>
    <row r="45" spans="1:29" s="422" customFormat="1" ht="15.75" thickBot="1">
      <c r="A45" s="419"/>
      <c r="B45" s="1134">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24"/>
      <c r="Q45" s="1352">
        <f t="shared" si="14"/>
        <v>111</v>
      </c>
      <c r="R45" s="708" t="s">
        <v>14</v>
      </c>
      <c r="S45" s="709">
        <f t="shared" si="10"/>
        <v>100</v>
      </c>
      <c r="T45" s="708" t="s">
        <v>14</v>
      </c>
      <c r="U45" s="709">
        <f t="shared" si="11"/>
        <v>100</v>
      </c>
      <c r="V45" s="708" t="s">
        <v>14</v>
      </c>
      <c r="W45" s="709">
        <f t="shared" si="12"/>
        <v>100</v>
      </c>
      <c r="X45" s="710"/>
      <c r="Y45" s="3724"/>
      <c r="Z45" s="711">
        <f t="shared" si="13"/>
        <v>111</v>
      </c>
      <c r="AA45" s="1353">
        <f t="shared" si="3"/>
        <v>1</v>
      </c>
      <c r="AB45" s="1353">
        <f t="shared" si="4"/>
        <v>1</v>
      </c>
      <c r="AC45" s="1353">
        <f t="shared" si="5"/>
        <v>1</v>
      </c>
    </row>
    <row r="46" spans="1:29" ht="15">
      <c r="A46" s="430" t="s">
        <v>1844</v>
      </c>
      <c r="B46" s="1979" t="s">
        <v>1879</v>
      </c>
      <c r="C46" s="630" t="s">
        <v>0</v>
      </c>
      <c r="D46" s="432"/>
      <c r="E46" s="433"/>
      <c r="F46" s="434"/>
      <c r="G46" s="435"/>
      <c r="H46" s="436"/>
      <c r="I46" s="433"/>
      <c r="J46" s="436"/>
      <c r="K46" s="714"/>
      <c r="L46" s="2720"/>
      <c r="M46" s="2721"/>
      <c r="N46" s="2712"/>
      <c r="O46" s="2721"/>
      <c r="P46" s="3717" t="str">
        <f>A46</f>
        <v>成交单价</v>
      </c>
      <c r="Q46" s="3717"/>
      <c r="R46" s="3712">
        <f>E46</f>
        <v>0</v>
      </c>
      <c r="S46" s="3712"/>
      <c r="T46" s="3712">
        <f>G46</f>
        <v>0</v>
      </c>
      <c r="U46" s="3712"/>
      <c r="V46" s="3712">
        <f>I46</f>
        <v>0</v>
      </c>
      <c r="W46" s="3712"/>
      <c r="X46" s="690"/>
      <c r="Y46" s="712"/>
      <c r="Z46" s="690"/>
      <c r="AA46" s="690"/>
      <c r="AB46" s="690"/>
      <c r="AC46" s="690"/>
    </row>
    <row r="47" spans="1:29" ht="15.75" thickBot="1">
      <c r="A47" s="437" t="s">
        <v>1793</v>
      </c>
      <c r="B47" s="631"/>
      <c r="C47" s="440" t="e">
        <f>R48</f>
        <v>#DIV/0!</v>
      </c>
      <c r="D47" s="2314" t="s">
        <v>2138</v>
      </c>
      <c r="E47" s="440" t="e">
        <f>R47</f>
        <v>#DIV/0!</v>
      </c>
      <c r="F47" s="2315"/>
      <c r="G47" s="439" t="e">
        <f>T47</f>
        <v>#DIV/0!</v>
      </c>
      <c r="H47" s="2315"/>
      <c r="I47" s="440" t="e">
        <f>V47</f>
        <v>#DIV/0!</v>
      </c>
      <c r="J47" s="2315"/>
      <c r="K47" s="2317">
        <f>F47+H47+J47</f>
        <v>0</v>
      </c>
      <c r="L47" s="2720"/>
      <c r="M47" s="2721"/>
      <c r="N47" s="2721"/>
      <c r="O47" s="2721"/>
      <c r="P47" s="3717" t="str">
        <f>A47</f>
        <v>比较价值（元/平方米）</v>
      </c>
      <c r="Q47" s="3717"/>
      <c r="R47" s="3745" t="e">
        <f>ROUND(PRODUCT(R46,AA7:AA45),0)</f>
        <v>#DIV/0!</v>
      </c>
      <c r="S47" s="3745"/>
      <c r="T47" s="3745" t="e">
        <f>ROUND(PRODUCT(T46,AB7:AB45),0)</f>
        <v>#DIV/0!</v>
      </c>
      <c r="U47" s="3745"/>
      <c r="V47" s="3745" t="e">
        <f>ROUND(PRODUCT(V46,AC7:AC45),0)</f>
        <v>#DIV/0!</v>
      </c>
      <c r="W47" s="374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0"/>
      <c r="M48" s="2721"/>
      <c r="N48" s="2721"/>
      <c r="O48" s="2721"/>
      <c r="P48" s="3714" t="str">
        <f>A48</f>
        <v>估价对象XX用房的比较价值（楼面单价，元/平方米）</v>
      </c>
      <c r="Q48" s="3715"/>
      <c r="R48" s="3746" t="e">
        <f>ROUND(IF(D47="简单平均",AVERAGE(R47:W47),R47*F47+T47*H47+V47*J47),0)</f>
        <v>#DIV/0!</v>
      </c>
      <c r="S48" s="3746"/>
      <c r="T48" s="3746"/>
      <c r="U48" s="3746"/>
      <c r="V48" s="3746"/>
      <c r="W48" s="3746"/>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0" t="s">
        <v>1883</v>
      </c>
      <c r="D55" s="1981" t="s">
        <v>1884</v>
      </c>
      <c r="E55" s="634" t="s">
        <v>1885</v>
      </c>
      <c r="F55" s="890" t="s">
        <v>1886</v>
      </c>
      <c r="G55" s="3700" t="s">
        <v>1887</v>
      </c>
      <c r="H55" s="3747"/>
      <c r="I55" s="135" t="s">
        <v>1888</v>
      </c>
      <c r="J55" s="1982">
        <f>项目基本情况!F35</f>
        <v>0</v>
      </c>
      <c r="K55" s="1983"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4">
        <v>1</v>
      </c>
      <c r="E56" s="638">
        <f>'数据-汇总表'!E8+'数据-汇总表'!E9</f>
        <v>90.08</v>
      </c>
      <c r="F56" s="886" t="e">
        <f t="shared" ref="F56:F64" si="15">ROUND(B56*E56/10000,0)</f>
        <v>#DIV/0!</v>
      </c>
      <c r="G56" s="3699"/>
      <c r="H56" s="3717"/>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5">
        <v>0.25</v>
      </c>
      <c r="E57" s="642"/>
      <c r="F57" s="886" t="e">
        <f t="shared" si="15"/>
        <v>#DIV/0!</v>
      </c>
      <c r="G57" s="3002" t="s">
        <v>1892</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5">
        <v>0.25</v>
      </c>
      <c r="E58" s="642"/>
      <c r="F58" s="886" t="e">
        <f t="shared" si="15"/>
        <v>#DIV/0!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5">
        <v>0.25</v>
      </c>
      <c r="E59" s="642"/>
      <c r="F59" s="886" t="e">
        <f t="shared" si="15"/>
        <v>#DIV/0!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5">
        <v>0.25</v>
      </c>
      <c r="E60" s="217">
        <f>'数据-汇总表'!E11</f>
        <v>0</v>
      </c>
      <c r="F60" s="886" t="e">
        <f t="shared" si="15"/>
        <v>#DIV/0!</v>
      </c>
      <c r="G60" s="1984" t="s">
        <v>1896</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0.15</v>
      </c>
      <c r="D62" s="945">
        <v>0.25</v>
      </c>
      <c r="E62" s="217">
        <f>'数据-汇总表'!E13</f>
        <v>0</v>
      </c>
      <c r="F62" s="886" t="e">
        <f t="shared" si="15"/>
        <v>#DIV/0!</v>
      </c>
      <c r="G62" s="892" t="s">
        <v>1900</v>
      </c>
      <c r="H62" s="887" t="str">
        <f>IF(G62="商业",项目基本情况!B37,IF(G62="办公",项目基本情况!C37,IF(G62="住宅",项目基本情况!D37,项目基本情况!E37)))</f>
        <v>七级</v>
      </c>
      <c r="I62" s="891">
        <f>SUMIF(修正!A57:A68,H62,修正!G57:G68)</f>
        <v>0.15</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5">
        <v>0.25</v>
      </c>
      <c r="E63" s="217">
        <f>'数据-汇总表'!E14</f>
        <v>0</v>
      </c>
      <c r="F63" s="886" t="e">
        <f t="shared" si="15"/>
        <v>#DIV/0!</v>
      </c>
      <c r="G63" s="1984" t="s">
        <v>1892</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v>
      </c>
      <c r="D64" s="945">
        <v>0.25</v>
      </c>
      <c r="E64" s="217">
        <f>'数据-汇总表'!E15</f>
        <v>0</v>
      </c>
      <c r="F64" s="886" t="e">
        <f t="shared" si="15"/>
        <v>#DIV/0!</v>
      </c>
      <c r="G64" s="1985" t="s">
        <v>1896</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90.08</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2023-9-1</v>
      </c>
      <c r="D67" s="692">
        <f>EDATE(C67,-3)</f>
        <v>45078</v>
      </c>
      <c r="E67" s="692">
        <f>EDATE(D67,-3)</f>
        <v>44986</v>
      </c>
      <c r="F67" s="692">
        <f t="shared" ref="F67:O67" si="18">EDATE(E67,-3)</f>
        <v>44896</v>
      </c>
      <c r="G67" s="692">
        <f t="shared" si="18"/>
        <v>44805</v>
      </c>
      <c r="H67" s="692">
        <f t="shared" si="18"/>
        <v>44713</v>
      </c>
      <c r="I67" s="692">
        <f t="shared" si="18"/>
        <v>44621</v>
      </c>
      <c r="J67" s="692">
        <f t="shared" si="18"/>
        <v>44531</v>
      </c>
      <c r="K67" s="692">
        <f t="shared" si="18"/>
        <v>44440</v>
      </c>
      <c r="L67" s="692">
        <f t="shared" si="18"/>
        <v>44348</v>
      </c>
      <c r="M67" s="692">
        <f t="shared" si="18"/>
        <v>44256</v>
      </c>
      <c r="N67" s="692">
        <f t="shared" si="18"/>
        <v>44166</v>
      </c>
      <c r="O67" s="692">
        <f t="shared" si="18"/>
        <v>44075</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6"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2"/>
      <c r="Q69" s="2737"/>
      <c r="R69" s="2737"/>
      <c r="S69" s="2737"/>
      <c r="T69" s="2737"/>
      <c r="U69" s="2737"/>
      <c r="V69" s="2737"/>
      <c r="W69" s="2737"/>
      <c r="X69" s="2737"/>
      <c r="Y69" s="2737"/>
      <c r="Z69" s="2737"/>
      <c r="AA69" s="2737"/>
      <c r="AB69" s="2737"/>
      <c r="AC69" s="2737"/>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1"/>
      <c r="M4" s="2712"/>
      <c r="N4" s="2712"/>
      <c r="O4" s="2712"/>
      <c r="P4" s="3704" t="s">
        <v>1775</v>
      </c>
      <c r="Q4" s="3705"/>
      <c r="R4" s="3686" t="s">
        <v>1771</v>
      </c>
      <c r="S4" s="3687"/>
      <c r="T4" s="3686" t="s">
        <v>1772</v>
      </c>
      <c r="U4" s="3687"/>
      <c r="V4" s="3712" t="s">
        <v>1773</v>
      </c>
      <c r="W4" s="3712"/>
      <c r="X4" s="1355"/>
      <c r="Y4" s="3686" t="s">
        <v>1775</v>
      </c>
      <c r="Z4" s="3687"/>
      <c r="AA4" s="3681" t="s">
        <v>1771</v>
      </c>
      <c r="AB4" s="3682" t="s">
        <v>1772</v>
      </c>
      <c r="AC4" s="3681" t="s">
        <v>1773</v>
      </c>
    </row>
    <row r="5" spans="1:29" ht="15">
      <c r="A5" s="358"/>
      <c r="B5" s="359"/>
      <c r="C5" s="3696" t="s">
        <v>1673</v>
      </c>
      <c r="D5" s="3693"/>
      <c r="E5" s="3690" t="s">
        <v>1674</v>
      </c>
      <c r="F5" s="3691"/>
      <c r="G5" s="3696" t="s">
        <v>1675</v>
      </c>
      <c r="H5" s="3693"/>
      <c r="I5" s="3696" t="s">
        <v>1676</v>
      </c>
      <c r="J5" s="3693"/>
      <c r="K5" s="559"/>
      <c r="L5" s="2711"/>
      <c r="M5" s="2712"/>
      <c r="N5" s="2712"/>
      <c r="O5" s="2712"/>
      <c r="P5" s="3706"/>
      <c r="Q5" s="3707"/>
      <c r="R5" s="3688"/>
      <c r="S5" s="3689"/>
      <c r="T5" s="3688"/>
      <c r="U5" s="3689"/>
      <c r="V5" s="3712"/>
      <c r="W5" s="3712"/>
      <c r="X5" s="1355"/>
      <c r="Y5" s="3688"/>
      <c r="Z5" s="3689"/>
      <c r="AA5" s="3682"/>
      <c r="AB5" s="3682"/>
      <c r="AC5" s="3682"/>
    </row>
    <row r="6" spans="1:29" ht="15.75" thickBot="1">
      <c r="A6" s="360"/>
      <c r="B6" s="361"/>
      <c r="C6" s="3748" t="s">
        <v>1919</v>
      </c>
      <c r="D6" s="3749"/>
      <c r="E6" s="3750" t="s">
        <v>1919</v>
      </c>
      <c r="F6" s="3751"/>
      <c r="G6" s="3748" t="s">
        <v>1919</v>
      </c>
      <c r="H6" s="3749"/>
      <c r="I6" s="3748" t="s">
        <v>1919</v>
      </c>
      <c r="J6" s="3749"/>
      <c r="K6" s="559" t="s">
        <v>1678</v>
      </c>
      <c r="L6" s="2711"/>
      <c r="M6" s="2712"/>
      <c r="N6" s="2712"/>
      <c r="O6" s="2712"/>
      <c r="P6" s="3708"/>
      <c r="Q6" s="3709"/>
      <c r="R6" s="3688"/>
      <c r="S6" s="3689"/>
      <c r="T6" s="3710"/>
      <c r="U6" s="3711"/>
      <c r="V6" s="3712"/>
      <c r="W6" s="3712"/>
      <c r="X6" s="1355"/>
      <c r="Y6" s="3710"/>
      <c r="Z6" s="3711"/>
      <c r="AA6" s="3683"/>
      <c r="AB6" s="3683"/>
      <c r="AC6" s="3683"/>
    </row>
    <row r="7" spans="1:29" s="108" customFormat="1" ht="15.75" thickBot="1">
      <c r="A7" s="362" t="s">
        <v>1679</v>
      </c>
      <c r="B7" s="363"/>
      <c r="C7" s="364">
        <f>'数据-取费表'!B2</f>
        <v>45189</v>
      </c>
      <c r="D7" s="365">
        <v>100</v>
      </c>
      <c r="E7" s="366"/>
      <c r="F7" s="367">
        <f>SUMIF(65:65,YEAR(E7)&amp;"-"&amp;INT((MONTH(E7)+2)/3),66:66)</f>
        <v>0</v>
      </c>
      <c r="G7" s="1971"/>
      <c r="H7" s="365">
        <f>SUMIF(65:65,YEAR(G7)&amp;"-"&amp;INT((MONTH(G7)+2)/3),66:66)</f>
        <v>0</v>
      </c>
      <c r="I7" s="1971"/>
      <c r="J7" s="365">
        <f>SUMIF(65:65,YEAR(I7)&amp;"-"&amp;INT((MONTH(I7)+2)/3),66:66)</f>
        <v>0</v>
      </c>
      <c r="K7" s="560"/>
      <c r="L7" s="2713"/>
      <c r="M7" s="2714"/>
      <c r="N7" s="2714"/>
      <c r="O7" s="2714"/>
      <c r="P7" s="3684" t="s">
        <v>1680</v>
      </c>
      <c r="Q7" s="3713"/>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684" t="s">
        <v>1683</v>
      </c>
      <c r="Q8" s="3685"/>
      <c r="R8" s="701" t="s">
        <v>14</v>
      </c>
      <c r="S8" s="702">
        <f t="shared" si="0"/>
        <v>0</v>
      </c>
      <c r="T8" s="701" t="s">
        <v>14</v>
      </c>
      <c r="U8" s="702">
        <f t="shared" si="1"/>
        <v>0</v>
      </c>
      <c r="V8" s="701" t="s">
        <v>14</v>
      </c>
      <c r="W8" s="702">
        <f t="shared" si="2"/>
        <v>0</v>
      </c>
      <c r="X8" s="703"/>
      <c r="Y8" s="3684" t="s">
        <v>1683</v>
      </c>
      <c r="Z8" s="3685"/>
      <c r="AA8" s="704" t="e">
        <f t="shared" ref="AA8:AA40" si="3">D8/F8</f>
        <v>#DIV/0!</v>
      </c>
      <c r="AB8" s="704" t="e">
        <f t="shared" ref="AB8:AB40" si="4">D8/H8</f>
        <v>#DIV/0!</v>
      </c>
      <c r="AC8" s="704"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3"/>
      <c r="M9" s="2714"/>
      <c r="N9" s="2714"/>
      <c r="O9" s="2768"/>
      <c r="P9" s="3717"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20"/>
      <c r="L10" s="2715"/>
      <c r="M10" s="2716"/>
      <c r="N10" s="2716"/>
      <c r="O10" s="2769"/>
      <c r="P10" s="3717"/>
      <c r="Q10" s="1343" t="str">
        <f t="shared" si="6"/>
        <v>土地使用年限（年）</v>
      </c>
      <c r="R10" s="701" t="s">
        <v>14</v>
      </c>
      <c r="S10" s="702">
        <f t="shared" si="0"/>
        <v>110</v>
      </c>
      <c r="T10" s="701" t="s">
        <v>14</v>
      </c>
      <c r="U10" s="702">
        <f t="shared" si="1"/>
        <v>110</v>
      </c>
      <c r="V10" s="701" t="s">
        <v>14</v>
      </c>
      <c r="W10" s="702">
        <f t="shared" si="2"/>
        <v>110</v>
      </c>
      <c r="X10" s="703"/>
      <c r="Y10" s="3628"/>
      <c r="Z10" s="52" t="str">
        <f t="shared" si="7"/>
        <v>土地使用年限（年）</v>
      </c>
      <c r="AA10" s="704">
        <f t="shared" si="3"/>
        <v>0.90909090909090906</v>
      </c>
      <c r="AB10" s="704">
        <f t="shared" si="4"/>
        <v>0.90909090909090906</v>
      </c>
      <c r="AC10" s="704">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17"/>
      <c r="Q11" s="1343"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17"/>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17"/>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17"/>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57">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19" t="s">
        <v>1691</v>
      </c>
      <c r="Q15" s="1352" t="str">
        <f t="shared" si="6"/>
        <v>产业集聚程度</v>
      </c>
      <c r="R15" s="705" t="s">
        <v>14</v>
      </c>
      <c r="S15" s="706">
        <f t="shared" si="0"/>
        <v>100</v>
      </c>
      <c r="T15" s="705" t="s">
        <v>14</v>
      </c>
      <c r="U15" s="706">
        <f t="shared" si="1"/>
        <v>100</v>
      </c>
      <c r="V15" s="705" t="s">
        <v>14</v>
      </c>
      <c r="W15" s="706">
        <f t="shared" si="2"/>
        <v>100</v>
      </c>
      <c r="X15" s="1355"/>
      <c r="Y15" s="3719" t="s">
        <v>1691</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18"/>
      <c r="M16" s="2712"/>
      <c r="N16" s="2712"/>
      <c r="O16" s="2770"/>
      <c r="P16" s="3720"/>
      <c r="Q16" s="1352"/>
      <c r="R16" s="705"/>
      <c r="S16" s="706"/>
      <c r="T16" s="705"/>
      <c r="U16" s="706"/>
      <c r="V16" s="705"/>
      <c r="W16" s="706"/>
      <c r="X16" s="1355"/>
      <c r="Y16" s="3720"/>
      <c r="Z16" s="1356"/>
      <c r="AA16" s="1353">
        <v>1</v>
      </c>
      <c r="AB16" s="1353">
        <v>1</v>
      </c>
      <c r="AC16" s="1353">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20"/>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18"/>
      <c r="M18" s="2712"/>
      <c r="N18" s="2712"/>
      <c r="O18" s="2770"/>
      <c r="P18" s="3720"/>
      <c r="Q18" s="1352"/>
      <c r="R18" s="705"/>
      <c r="S18" s="706"/>
      <c r="T18" s="705"/>
      <c r="U18" s="706"/>
      <c r="V18" s="705"/>
      <c r="W18" s="706"/>
      <c r="X18" s="1355"/>
      <c r="Y18" s="3720"/>
      <c r="Z18" s="1356"/>
      <c r="AA18" s="1353">
        <v>1</v>
      </c>
      <c r="AB18" s="1353">
        <v>1</v>
      </c>
      <c r="AC18" s="1353">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20"/>
      <c r="Q19" s="1352" t="str">
        <f t="shared" ref="Q19:Q33" si="8">B19</f>
        <v>区域土地利用方向</v>
      </c>
      <c r="R19" s="705" t="s">
        <v>14</v>
      </c>
      <c r="S19" s="706">
        <f>F19</f>
        <v>100</v>
      </c>
      <c r="T19" s="705" t="s">
        <v>14</v>
      </c>
      <c r="U19" s="706">
        <f>H19</f>
        <v>100</v>
      </c>
      <c r="V19" s="705" t="s">
        <v>14</v>
      </c>
      <c r="W19" s="706">
        <f>J19</f>
        <v>100</v>
      </c>
      <c r="X19" s="1355"/>
      <c r="Y19" s="3720"/>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18"/>
      <c r="M20" s="2712"/>
      <c r="N20" s="2712"/>
      <c r="O20" s="2770"/>
      <c r="P20" s="3720"/>
      <c r="Q20" s="1352"/>
      <c r="R20" s="705"/>
      <c r="S20" s="706"/>
      <c r="T20" s="705"/>
      <c r="U20" s="706"/>
      <c r="V20" s="705"/>
      <c r="W20" s="706"/>
      <c r="X20" s="1355"/>
      <c r="Y20" s="3720"/>
      <c r="Z20" s="1356"/>
      <c r="AA20" s="1353"/>
      <c r="AB20" s="1353"/>
      <c r="AC20" s="1353"/>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20"/>
      <c r="Q21" s="1352" t="str">
        <f t="shared" si="8"/>
        <v>环境状况</v>
      </c>
      <c r="R21" s="705" t="s">
        <v>14</v>
      </c>
      <c r="S21" s="706">
        <f>F21</f>
        <v>100</v>
      </c>
      <c r="T21" s="705" t="s">
        <v>14</v>
      </c>
      <c r="U21" s="706">
        <f>H21</f>
        <v>100</v>
      </c>
      <c r="V21" s="705" t="s">
        <v>14</v>
      </c>
      <c r="W21" s="706">
        <f>J21</f>
        <v>100</v>
      </c>
      <c r="X21" s="1355"/>
      <c r="Y21" s="3720"/>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18"/>
      <c r="M22" s="2712"/>
      <c r="N22" s="2712"/>
      <c r="O22" s="2770"/>
      <c r="P22" s="3720"/>
      <c r="Q22" s="1352"/>
      <c r="R22" s="705"/>
      <c r="S22" s="706"/>
      <c r="T22" s="705"/>
      <c r="U22" s="706"/>
      <c r="V22" s="705"/>
      <c r="W22" s="706"/>
      <c r="X22" s="1355"/>
      <c r="Y22" s="3720"/>
      <c r="Z22" s="1356"/>
      <c r="AA22" s="1353">
        <v>1</v>
      </c>
      <c r="AB22" s="1353">
        <v>1</v>
      </c>
      <c r="AC22" s="1353">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20"/>
      <c r="Q23" s="1343" t="str">
        <f t="shared" si="8"/>
        <v>公共配套设施</v>
      </c>
      <c r="R23" s="701" t="s">
        <v>14</v>
      </c>
      <c r="S23" s="702">
        <f>F23</f>
        <v>100</v>
      </c>
      <c r="T23" s="701" t="s">
        <v>14</v>
      </c>
      <c r="U23" s="702">
        <f>H23</f>
        <v>100</v>
      </c>
      <c r="V23" s="701" t="s">
        <v>14</v>
      </c>
      <c r="W23" s="702">
        <f>J23</f>
        <v>100</v>
      </c>
      <c r="X23" s="703"/>
      <c r="Y23" s="3720"/>
      <c r="Z23" s="52" t="str">
        <f>Q23</f>
        <v>公共配套设施</v>
      </c>
      <c r="AA23" s="1353">
        <f>D23/F23</f>
        <v>1</v>
      </c>
      <c r="AB23" s="1353">
        <f>D23/H23</f>
        <v>1</v>
      </c>
      <c r="AC23" s="1353">
        <f>D23/J23</f>
        <v>1</v>
      </c>
    </row>
    <row r="24" spans="1:29" s="108" customFormat="1" ht="15">
      <c r="A24" s="597"/>
      <c r="B24" s="580"/>
      <c r="C24" s="1975"/>
      <c r="D24" s="399"/>
      <c r="E24" s="1903"/>
      <c r="F24" s="399"/>
      <c r="G24" s="1903"/>
      <c r="H24" s="399"/>
      <c r="I24" s="398"/>
      <c r="J24" s="399"/>
      <c r="K24" s="620"/>
      <c r="L24" s="2713"/>
      <c r="M24" s="2714"/>
      <c r="N24" s="2714"/>
      <c r="O24" s="2768"/>
      <c r="P24" s="3720"/>
      <c r="Q24" s="1343"/>
      <c r="R24" s="701"/>
      <c r="S24" s="702"/>
      <c r="T24" s="701"/>
      <c r="U24" s="702"/>
      <c r="V24" s="701"/>
      <c r="W24" s="702"/>
      <c r="X24" s="703"/>
      <c r="Y24" s="3720"/>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20"/>
      <c r="Q25" s="1343" t="str">
        <f t="shared" ref="Q25" si="9">B25</f>
        <v>基础设施水平</v>
      </c>
      <c r="R25" s="701" t="s">
        <v>14</v>
      </c>
      <c r="S25" s="702">
        <f>F25</f>
        <v>100</v>
      </c>
      <c r="T25" s="701" t="s">
        <v>14</v>
      </c>
      <c r="U25" s="702">
        <f>H25</f>
        <v>100</v>
      </c>
      <c r="V25" s="701" t="s">
        <v>14</v>
      </c>
      <c r="W25" s="702">
        <f>J25</f>
        <v>100</v>
      </c>
      <c r="X25" s="703"/>
      <c r="Y25" s="3720"/>
      <c r="Z25" s="52" t="str">
        <f>Q25</f>
        <v>基础设施水平</v>
      </c>
      <c r="AA25" s="1353">
        <f>D25/F25</f>
        <v>1</v>
      </c>
      <c r="AB25" s="1353">
        <f>D25/H25</f>
        <v>1</v>
      </c>
      <c r="AC25" s="1353">
        <f>D25/J25</f>
        <v>1</v>
      </c>
    </row>
    <row r="26" spans="1:29" s="108" customFormat="1" ht="15">
      <c r="A26" s="597"/>
      <c r="B26" s="580"/>
      <c r="C26" s="1975"/>
      <c r="D26" s="399"/>
      <c r="E26" s="1976"/>
      <c r="F26" s="399"/>
      <c r="G26" s="1976"/>
      <c r="H26" s="399"/>
      <c r="I26" s="1976"/>
      <c r="J26" s="399"/>
      <c r="K26" s="620"/>
      <c r="L26" s="2713"/>
      <c r="M26" s="2714"/>
      <c r="N26" s="2714"/>
      <c r="O26" s="2768"/>
      <c r="P26" s="3720"/>
      <c r="Q26" s="1343"/>
      <c r="R26" s="701"/>
      <c r="S26" s="702"/>
      <c r="T26" s="701"/>
      <c r="U26" s="702"/>
      <c r="V26" s="701"/>
      <c r="W26" s="702"/>
      <c r="X26" s="703"/>
      <c r="Y26" s="372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2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0"/>
      <c r="Z27" s="1356" t="str">
        <f t="shared" ref="Z27:Z40" si="13">Q27</f>
        <v>临街状况</v>
      </c>
      <c r="AA27" s="1353">
        <f t="shared" si="3"/>
        <v>1</v>
      </c>
      <c r="AB27" s="1353">
        <f t="shared" si="4"/>
        <v>1</v>
      </c>
      <c r="AC27" s="1353">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20"/>
      <c r="Q28" s="1352" t="str">
        <f t="shared" si="8"/>
        <v>毗邻道路的类型与等级</v>
      </c>
      <c r="R28" s="705" t="s">
        <v>14</v>
      </c>
      <c r="S28" s="706">
        <f t="shared" si="10"/>
        <v>100</v>
      </c>
      <c r="T28" s="705" t="s">
        <v>14</v>
      </c>
      <c r="U28" s="706">
        <f t="shared" si="11"/>
        <v>100</v>
      </c>
      <c r="V28" s="705" t="s">
        <v>14</v>
      </c>
      <c r="W28" s="706">
        <f t="shared" si="12"/>
        <v>100</v>
      </c>
      <c r="X28" s="1355"/>
      <c r="Y28" s="3720"/>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18"/>
      <c r="M29" s="2712"/>
      <c r="N29" s="2712"/>
      <c r="O29" s="2770"/>
      <c r="P29" s="3720"/>
      <c r="Q29" s="1352"/>
      <c r="R29" s="705"/>
      <c r="S29" s="706"/>
      <c r="T29" s="705"/>
      <c r="U29" s="706"/>
      <c r="V29" s="705"/>
      <c r="W29" s="706"/>
      <c r="X29" s="1355"/>
      <c r="Y29" s="372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20"/>
      <c r="Q30" s="1352" t="str">
        <f t="shared" si="8"/>
        <v>土地级别</v>
      </c>
      <c r="R30" s="705" t="s">
        <v>14</v>
      </c>
      <c r="S30" s="706">
        <f t="shared" si="10"/>
        <v>100</v>
      </c>
      <c r="T30" s="705" t="s">
        <v>14</v>
      </c>
      <c r="U30" s="706">
        <f t="shared" si="11"/>
        <v>100</v>
      </c>
      <c r="V30" s="705" t="s">
        <v>14</v>
      </c>
      <c r="W30" s="706">
        <f t="shared" si="12"/>
        <v>100</v>
      </c>
      <c r="X30" s="1355"/>
      <c r="Y30" s="3720"/>
      <c r="Z30" s="1356" t="str">
        <f t="shared" si="13"/>
        <v>土地级别</v>
      </c>
      <c r="AA30" s="1353">
        <f t="shared" si="3"/>
        <v>1</v>
      </c>
      <c r="AB30" s="1353">
        <f t="shared" si="4"/>
        <v>1</v>
      </c>
      <c r="AC30" s="1353">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20"/>
      <c r="Q31" s="1352">
        <f t="shared" si="8"/>
        <v>111</v>
      </c>
      <c r="R31" s="705" t="s">
        <v>14</v>
      </c>
      <c r="S31" s="706">
        <f t="shared" si="10"/>
        <v>100</v>
      </c>
      <c r="T31" s="705" t="s">
        <v>14</v>
      </c>
      <c r="U31" s="706">
        <f t="shared" si="11"/>
        <v>100</v>
      </c>
      <c r="V31" s="705" t="s">
        <v>14</v>
      </c>
      <c r="W31" s="706">
        <f t="shared" si="12"/>
        <v>100</v>
      </c>
      <c r="X31" s="1355"/>
      <c r="Y31" s="3720"/>
      <c r="Z31" s="1356">
        <f t="shared" si="13"/>
        <v>111</v>
      </c>
      <c r="AA31" s="1353">
        <f t="shared" si="3"/>
        <v>1</v>
      </c>
      <c r="AB31" s="1353">
        <f t="shared" si="4"/>
        <v>1</v>
      </c>
      <c r="AC31" s="1353">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43" t="s">
        <v>1696</v>
      </c>
      <c r="Q32" s="1352">
        <f t="shared" si="8"/>
        <v>111</v>
      </c>
      <c r="R32" s="705" t="s">
        <v>14</v>
      </c>
      <c r="S32" s="706">
        <f t="shared" si="10"/>
        <v>100</v>
      </c>
      <c r="T32" s="705" t="s">
        <v>14</v>
      </c>
      <c r="U32" s="706">
        <f t="shared" si="11"/>
        <v>100</v>
      </c>
      <c r="V32" s="705" t="s">
        <v>14</v>
      </c>
      <c r="W32" s="706">
        <f t="shared" si="12"/>
        <v>100</v>
      </c>
      <c r="X32" s="1355"/>
      <c r="Y32" s="3724" t="s">
        <v>1696</v>
      </c>
      <c r="Z32" s="1356">
        <f t="shared" si="13"/>
        <v>111</v>
      </c>
      <c r="AA32" s="1353">
        <f t="shared" si="3"/>
        <v>1</v>
      </c>
      <c r="AB32" s="1353">
        <f t="shared" si="4"/>
        <v>1</v>
      </c>
      <c r="AC32" s="1353">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24"/>
      <c r="Q33" s="1352">
        <f t="shared" si="8"/>
        <v>111</v>
      </c>
      <c r="R33" s="708" t="s">
        <v>14</v>
      </c>
      <c r="S33" s="709">
        <f t="shared" si="10"/>
        <v>100</v>
      </c>
      <c r="T33" s="708" t="s">
        <v>14</v>
      </c>
      <c r="U33" s="709">
        <f t="shared" si="11"/>
        <v>100</v>
      </c>
      <c r="V33" s="708" t="s">
        <v>14</v>
      </c>
      <c r="W33" s="709">
        <f t="shared" si="12"/>
        <v>100</v>
      </c>
      <c r="X33" s="710"/>
      <c r="Y33" s="372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24"/>
      <c r="Q34" s="1352" t="str">
        <f>B34</f>
        <v>宗地面积</v>
      </c>
      <c r="R34" s="705" t="s">
        <v>14</v>
      </c>
      <c r="S34" s="706" t="e">
        <f t="shared" si="10"/>
        <v>#N/A</v>
      </c>
      <c r="T34" s="705" t="s">
        <v>14</v>
      </c>
      <c r="U34" s="706" t="e">
        <f t="shared" si="11"/>
        <v>#N/A</v>
      </c>
      <c r="V34" s="705" t="s">
        <v>14</v>
      </c>
      <c r="W34" s="706" t="e">
        <f t="shared" si="12"/>
        <v>#N/A</v>
      </c>
      <c r="X34" s="1355"/>
      <c r="Y34" s="3724"/>
      <c r="Z34" s="1356" t="str">
        <f t="shared" si="13"/>
        <v>宗地面积</v>
      </c>
      <c r="AA34" s="1353" t="e">
        <f t="shared" si="3"/>
        <v>#N/A</v>
      </c>
      <c r="AB34" s="1353" t="e">
        <f t="shared" si="4"/>
        <v>#N/A</v>
      </c>
      <c r="AC34" s="1353"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8"/>
      <c r="M35" s="2712"/>
      <c r="N35" s="2712"/>
      <c r="O35" s="2770"/>
      <c r="P35" s="3724"/>
      <c r="Q35" s="1352" t="str">
        <f t="shared" ref="Q35:Q40" si="14">B35</f>
        <v>宗地形状</v>
      </c>
      <c r="R35" s="705" t="s">
        <v>14</v>
      </c>
      <c r="S35" s="706">
        <f t="shared" si="10"/>
        <v>100</v>
      </c>
      <c r="T35" s="705" t="s">
        <v>14</v>
      </c>
      <c r="U35" s="706">
        <f t="shared" si="11"/>
        <v>100</v>
      </c>
      <c r="V35" s="705" t="s">
        <v>14</v>
      </c>
      <c r="W35" s="706">
        <f t="shared" si="12"/>
        <v>100</v>
      </c>
      <c r="X35" s="1355"/>
      <c r="Y35" s="3724"/>
      <c r="Z35" s="1356" t="str">
        <f t="shared" si="13"/>
        <v>宗地形状</v>
      </c>
      <c r="AA35" s="1353">
        <f t="shared" si="3"/>
        <v>1</v>
      </c>
      <c r="AB35" s="1353">
        <f t="shared" si="4"/>
        <v>1</v>
      </c>
      <c r="AC35" s="1353">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3"/>
      <c r="M36" s="2714"/>
      <c r="N36" s="2714"/>
      <c r="O36" s="2768"/>
      <c r="P36" s="3724"/>
      <c r="Q36" s="1352" t="str">
        <f t="shared" si="14"/>
        <v>宗地开发程度</v>
      </c>
      <c r="R36" s="701" t="s">
        <v>14</v>
      </c>
      <c r="S36" s="702">
        <f t="shared" si="10"/>
        <v>100</v>
      </c>
      <c r="T36" s="701" t="s">
        <v>14</v>
      </c>
      <c r="U36" s="702">
        <f t="shared" si="11"/>
        <v>100</v>
      </c>
      <c r="V36" s="701" t="s">
        <v>14</v>
      </c>
      <c r="W36" s="702">
        <f t="shared" si="12"/>
        <v>100</v>
      </c>
      <c r="X36" s="703"/>
      <c r="Y36" s="3724"/>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8"/>
      <c r="M37" s="2712"/>
      <c r="N37" s="2712"/>
      <c r="O37" s="2770"/>
      <c r="P37" s="3724" t="s">
        <v>1696</v>
      </c>
      <c r="Q37" s="1352" t="str">
        <f t="shared" si="14"/>
        <v>工程地质条件</v>
      </c>
      <c r="R37" s="705" t="s">
        <v>14</v>
      </c>
      <c r="S37" s="706">
        <f t="shared" si="10"/>
        <v>100</v>
      </c>
      <c r="T37" s="705" t="s">
        <v>14</v>
      </c>
      <c r="U37" s="706">
        <f t="shared" si="11"/>
        <v>100</v>
      </c>
      <c r="V37" s="705" t="s">
        <v>14</v>
      </c>
      <c r="W37" s="706">
        <f t="shared" si="12"/>
        <v>100</v>
      </c>
      <c r="X37" s="1355"/>
      <c r="Y37" s="372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24"/>
      <c r="Q38" s="1352">
        <f t="shared" si="14"/>
        <v>111</v>
      </c>
      <c r="R38" s="705" t="s">
        <v>14</v>
      </c>
      <c r="S38" s="706">
        <f t="shared" si="10"/>
        <v>100</v>
      </c>
      <c r="T38" s="705" t="s">
        <v>14</v>
      </c>
      <c r="U38" s="706">
        <f t="shared" si="11"/>
        <v>100</v>
      </c>
      <c r="V38" s="705" t="s">
        <v>14</v>
      </c>
      <c r="W38" s="706">
        <f t="shared" si="12"/>
        <v>100</v>
      </c>
      <c r="X38" s="1355"/>
      <c r="Y38" s="372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24"/>
      <c r="Q39" s="1352">
        <f t="shared" si="14"/>
        <v>111</v>
      </c>
      <c r="R39" s="705" t="s">
        <v>14</v>
      </c>
      <c r="S39" s="706">
        <f t="shared" si="10"/>
        <v>100</v>
      </c>
      <c r="T39" s="705" t="s">
        <v>14</v>
      </c>
      <c r="U39" s="706">
        <f t="shared" si="11"/>
        <v>100</v>
      </c>
      <c r="V39" s="705" t="s">
        <v>14</v>
      </c>
      <c r="W39" s="706">
        <f t="shared" si="12"/>
        <v>100</v>
      </c>
      <c r="X39" s="1355"/>
      <c r="Y39" s="3724"/>
      <c r="Z39" s="1356">
        <f t="shared" si="13"/>
        <v>111</v>
      </c>
      <c r="AA39" s="1353">
        <f t="shared" si="3"/>
        <v>1</v>
      </c>
      <c r="AB39" s="1353">
        <f t="shared" si="4"/>
        <v>1</v>
      </c>
      <c r="AC39" s="1353">
        <f t="shared" si="5"/>
        <v>1</v>
      </c>
    </row>
    <row r="40" spans="1:31" s="422" customFormat="1" ht="15.75" thickBot="1">
      <c r="A40" s="419"/>
      <c r="B40" s="1134">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24"/>
      <c r="Q40" s="1352">
        <f t="shared" si="14"/>
        <v>111</v>
      </c>
      <c r="R40" s="708" t="s">
        <v>14</v>
      </c>
      <c r="S40" s="709">
        <f t="shared" si="10"/>
        <v>100</v>
      </c>
      <c r="T40" s="708" t="s">
        <v>14</v>
      </c>
      <c r="U40" s="709">
        <f t="shared" si="11"/>
        <v>100</v>
      </c>
      <c r="V40" s="708" t="s">
        <v>14</v>
      </c>
      <c r="W40" s="709">
        <f t="shared" si="12"/>
        <v>100</v>
      </c>
      <c r="X40" s="710"/>
      <c r="Y40" s="3724"/>
      <c r="Z40" s="711">
        <f t="shared" si="13"/>
        <v>111</v>
      </c>
      <c r="AA40" s="1353">
        <f t="shared" si="3"/>
        <v>1</v>
      </c>
      <c r="AB40" s="1353">
        <f t="shared" si="4"/>
        <v>1</v>
      </c>
      <c r="AC40" s="1353">
        <f t="shared" si="5"/>
        <v>1</v>
      </c>
    </row>
    <row r="41" spans="1:31" ht="15">
      <c r="A41" s="430" t="s">
        <v>1844</v>
      </c>
      <c r="B41" s="1979" t="s">
        <v>1922</v>
      </c>
      <c r="C41" s="630" t="s">
        <v>0</v>
      </c>
      <c r="D41" s="432"/>
      <c r="E41" s="433"/>
      <c r="F41" s="434"/>
      <c r="G41" s="435"/>
      <c r="H41" s="436"/>
      <c r="I41" s="433"/>
      <c r="J41" s="436"/>
      <c r="K41" s="714"/>
      <c r="L41" s="2720"/>
      <c r="M41" s="2712"/>
      <c r="N41" s="2712"/>
      <c r="O41" s="2721"/>
      <c r="P41" s="3717" t="str">
        <f>A41</f>
        <v>成交单价</v>
      </c>
      <c r="Q41" s="3717"/>
      <c r="R41" s="3712">
        <f>E41</f>
        <v>0</v>
      </c>
      <c r="S41" s="3712"/>
      <c r="T41" s="3712">
        <f>G41</f>
        <v>0</v>
      </c>
      <c r="U41" s="3712"/>
      <c r="V41" s="3712">
        <f>I41</f>
        <v>0</v>
      </c>
      <c r="W41" s="3712"/>
      <c r="X41" s="690"/>
      <c r="Y41" s="712"/>
      <c r="Z41" s="690"/>
      <c r="AA41" s="690"/>
      <c r="AB41" s="690"/>
      <c r="AC41" s="690"/>
    </row>
    <row r="42" spans="1:31" ht="15.75" thickBot="1">
      <c r="A42" s="437" t="s">
        <v>1793</v>
      </c>
      <c r="B42" s="631"/>
      <c r="C42" s="440" t="e">
        <f>R43</f>
        <v>#DIV/0!</v>
      </c>
      <c r="D42" s="2314" t="s">
        <v>2138</v>
      </c>
      <c r="E42" s="440" t="e">
        <f>R42</f>
        <v>#DIV/0!</v>
      </c>
      <c r="F42" s="2315"/>
      <c r="G42" s="439" t="e">
        <f>T42</f>
        <v>#DIV/0!</v>
      </c>
      <c r="H42" s="2315"/>
      <c r="I42" s="440" t="e">
        <f>V42</f>
        <v>#DIV/0!</v>
      </c>
      <c r="J42" s="2315"/>
      <c r="K42" s="2317">
        <f>F42+H42+J42</f>
        <v>0</v>
      </c>
      <c r="L42" s="2720"/>
      <c r="M42" s="2712"/>
      <c r="N42" s="2712"/>
      <c r="O42" s="2721"/>
      <c r="P42" s="3717" t="str">
        <f>A42</f>
        <v>比较价值（元/平方米）</v>
      </c>
      <c r="Q42" s="3717"/>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714" t="str">
        <f>A43</f>
        <v>估价对象XX用房的比较价值（楼面单价，元/平方米）</v>
      </c>
      <c r="Q43" s="3715"/>
      <c r="R43" s="3746" t="e">
        <f>ROUND(IF(D42="简单平均",AVERAGE(R42:W42),R42*F42+T42*H42+V42*J42),0)</f>
        <v>#DIV/0!</v>
      </c>
      <c r="S43" s="3746"/>
      <c r="T43" s="3746"/>
      <c r="U43" s="3746"/>
      <c r="V43" s="3746"/>
      <c r="W43" s="3746"/>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80" t="s">
        <v>1883</v>
      </c>
      <c r="D50" s="1981" t="s">
        <v>1884</v>
      </c>
      <c r="E50" s="634" t="s">
        <v>1885</v>
      </c>
      <c r="F50" s="635" t="s">
        <v>1886</v>
      </c>
      <c r="G50" s="3700" t="s">
        <v>1887</v>
      </c>
      <c r="H50" s="3747"/>
      <c r="I50" s="1356" t="s">
        <v>1923</v>
      </c>
      <c r="J50" s="1356">
        <f>项目基本情况!F35</f>
        <v>0</v>
      </c>
      <c r="K50" s="1983"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90.08</v>
      </c>
      <c r="F51" s="639" t="e">
        <f t="shared" ref="F51:F60" si="15">ROUND(B51*E51/10000,0)</f>
        <v>#DIV/0!</v>
      </c>
      <c r="G51" s="3699"/>
      <c r="H51" s="3717"/>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5">
        <v>0.25</v>
      </c>
      <c r="E52" s="642"/>
      <c r="F52" s="639" t="e">
        <f t="shared" si="15"/>
        <v>#DIV/0!</v>
      </c>
      <c r="G52" s="3002" t="s">
        <v>1892</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5">
        <v>0.25</v>
      </c>
      <c r="E53" s="642"/>
      <c r="F53" s="639" t="e">
        <f t="shared" si="15"/>
        <v>#DIV/0!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5">
        <v>0.25</v>
      </c>
      <c r="E54" s="642"/>
      <c r="F54" s="639" t="e">
        <f t="shared" si="15"/>
        <v>#DIV/0!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5">
        <v>0.25</v>
      </c>
      <c r="E56" s="217">
        <f>'数据-汇总表'!E11</f>
        <v>0</v>
      </c>
      <c r="F56" s="639" t="e">
        <f t="shared" si="15"/>
        <v>#DIV/0!</v>
      </c>
      <c r="G56" s="1984" t="s">
        <v>1896</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0.15</v>
      </c>
      <c r="D58" s="945">
        <v>0.25</v>
      </c>
      <c r="E58" s="217">
        <f>'数据-汇总表'!E13</f>
        <v>0</v>
      </c>
      <c r="F58" s="639" t="e">
        <f t="shared" si="15"/>
        <v>#DIV/0!</v>
      </c>
      <c r="G58" s="892" t="s">
        <v>1900</v>
      </c>
      <c r="H58" s="887" t="str">
        <f>IF(G58="商业",项目基本情况!B37,IF(G58="办公",项目基本情况!C37,IF(G58="住宅",项目基本情况!D37,项目基本情况!E37)))</f>
        <v>七级</v>
      </c>
      <c r="I58" s="773">
        <f>SUMIF(修正!A57:A68,H58,修正!G57:G68)</f>
        <v>0.15</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5">
        <v>0.25</v>
      </c>
      <c r="E59" s="217">
        <f>'数据-汇总表'!E14</f>
        <v>0</v>
      </c>
      <c r="F59" s="639" t="e">
        <f t="shared" si="15"/>
        <v>#DIV/0!</v>
      </c>
      <c r="G59" s="1984" t="s">
        <v>1892</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5">
        <v>0.25</v>
      </c>
      <c r="E60" s="217">
        <f>'数据-汇总表'!E15</f>
        <v>0</v>
      </c>
      <c r="F60" s="639" t="e">
        <f t="shared" si="15"/>
        <v>#DIV/0!</v>
      </c>
      <c r="G60" s="1985" t="s">
        <v>1896</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2023-9-1</v>
      </c>
      <c r="D63" s="692">
        <f>EDATE(C63,-3)</f>
        <v>45078</v>
      </c>
      <c r="E63" s="692">
        <f>EDATE(D63,-3)</f>
        <v>44986</v>
      </c>
      <c r="F63" s="692">
        <f t="shared" ref="F63:O63" si="18">EDATE(E63,-3)</f>
        <v>44896</v>
      </c>
      <c r="G63" s="692">
        <f t="shared" si="18"/>
        <v>44805</v>
      </c>
      <c r="H63" s="692">
        <f t="shared" si="18"/>
        <v>44713</v>
      </c>
      <c r="I63" s="692">
        <f t="shared" si="18"/>
        <v>44621</v>
      </c>
      <c r="J63" s="692">
        <f t="shared" si="18"/>
        <v>44531</v>
      </c>
      <c r="K63" s="692">
        <f t="shared" si="18"/>
        <v>44440</v>
      </c>
      <c r="L63" s="692">
        <f t="shared" si="18"/>
        <v>44348</v>
      </c>
      <c r="M63" s="692">
        <f t="shared" si="18"/>
        <v>44256</v>
      </c>
      <c r="N63" s="692">
        <f t="shared" si="18"/>
        <v>44166</v>
      </c>
      <c r="O63" s="692">
        <f t="shared" si="18"/>
        <v>44075</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6"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5" t="s">
        <v>2084</v>
      </c>
      <c r="D1" s="3756"/>
      <c r="E1" s="3756"/>
      <c r="F1" s="3756"/>
      <c r="G1" s="3756"/>
      <c r="H1" s="3756"/>
      <c r="I1" s="3756"/>
      <c r="J1" s="3756"/>
      <c r="K1" s="3756"/>
      <c r="L1" s="3756"/>
      <c r="M1" s="3756"/>
      <c r="N1" s="3756"/>
      <c r="O1" s="3756"/>
      <c r="P1" s="3756"/>
      <c r="Q1" s="3756"/>
      <c r="R1" s="3756"/>
      <c r="S1" s="375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2093</v>
      </c>
      <c r="B17" s="2146"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7"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48"/>
      <c r="E20" s="1341"/>
      <c r="F20" s="983" t="e">
        <f ca="1">SUMIF(INDIRECT("'"&amp;H20&amp;"'"&amp;"!A:A"),"承租人权益价值",INDIRECT("'"&amp;H20&amp;"'"&amp;"!c:c"))</f>
        <v>#REF!</v>
      </c>
      <c r="G20" s="983" t="s">
        <v>2097</v>
      </c>
      <c r="H20" s="2149"/>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4"/>
      <c r="C1" s="2144"/>
      <c r="D1" s="2144"/>
      <c r="E1" s="2144"/>
      <c r="F1" s="2789"/>
      <c r="G1" s="2789"/>
      <c r="H1" s="2789"/>
      <c r="I1" s="2789"/>
      <c r="J1" s="2789"/>
      <c r="K1" s="2789"/>
      <c r="L1" s="2789"/>
      <c r="M1" s="2789"/>
      <c r="N1" s="2789"/>
      <c r="O1" s="2789"/>
      <c r="P1" s="2789"/>
    </row>
    <row r="2" spans="1:16" ht="15.75">
      <c r="A2" s="2142" t="s">
        <v>2073</v>
      </c>
      <c r="B2" s="2598">
        <f ca="1">SUMIF(B6:B13,"&lt;&gt;#ref!",B6:B13)</f>
        <v>115</v>
      </c>
      <c r="C2" s="2142" t="s">
        <v>2074</v>
      </c>
      <c r="D2" s="2142" t="s">
        <v>2075</v>
      </c>
      <c r="E2" s="2608">
        <f ca="1">SUMIF(E6:E13,"&lt;&gt;#ref!",E6:E13)</f>
        <v>90.08</v>
      </c>
      <c r="F2" s="2789"/>
      <c r="G2" s="2789"/>
      <c r="H2" s="2789"/>
      <c r="I2" s="2789"/>
      <c r="J2" s="2789"/>
      <c r="K2" s="2789"/>
      <c r="L2" s="2789"/>
      <c r="M2" s="2789"/>
      <c r="N2" s="2789"/>
      <c r="O2" s="2789"/>
      <c r="P2" s="2789"/>
    </row>
    <row r="3" spans="1:16" ht="15.75">
      <c r="A3" s="2142" t="s">
        <v>2076</v>
      </c>
      <c r="B3" s="2598">
        <f ca="1">ROUND(B2*10000/E2,0)</f>
        <v>12766</v>
      </c>
      <c r="C3" s="2142"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3"/>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115</v>
      </c>
      <c r="C6" s="2142" t="s">
        <v>2074</v>
      </c>
      <c r="D6" s="2789"/>
      <c r="E6" s="2608">
        <f ca="1">SUMIF(INDIRECT("'"&amp;A6&amp;"'"&amp;"!C:C"),"建筑面积",INDIRECT("'"&amp;A6&amp;"'"&amp;"!D:D"))</f>
        <v>90.08</v>
      </c>
      <c r="F6" s="2789"/>
      <c r="G6" s="2789"/>
      <c r="H6" s="2789"/>
      <c r="I6" s="2789"/>
      <c r="J6" s="2789"/>
      <c r="K6" s="2789"/>
      <c r="L6" s="2789"/>
      <c r="M6" s="2789"/>
      <c r="N6" s="2789"/>
      <c r="O6" s="2789"/>
      <c r="P6" s="2789"/>
    </row>
    <row r="7" spans="1:16" ht="15.75">
      <c r="A7" s="2605"/>
      <c r="B7" s="2598" t="e">
        <f ca="1">SUMIF(INDIRECT("'"&amp;A7&amp;"'"&amp;"!A:A"),"总价",INDIRECT("'"&amp;A7&amp;"'"&amp;"!B:B"))</f>
        <v>#REF!</v>
      </c>
      <c r="C7" s="2142"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2"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2"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2"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2"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2"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2"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24" zoomScale="90" zoomScaleNormal="70" zoomScaleSheetLayoutView="9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3382</v>
      </c>
      <c r="C1" s="1859" t="s">
        <v>1563</v>
      </c>
      <c r="D1" s="198"/>
      <c r="E1" s="198"/>
      <c r="F1" s="198"/>
      <c r="G1" s="1126">
        <f>MATCH(B1,'数据-取费表'!A6:A16,0)+5</f>
        <v>6</v>
      </c>
      <c r="H1" s="1061" t="str">
        <f>IF(ISERROR(FIND("住宅",B1)),"非住宅","住宅")</f>
        <v>住宅</v>
      </c>
    </row>
    <row r="2" spans="1:8" s="200" customFormat="1" ht="18" customHeight="1">
      <c r="A2" s="201" t="s">
        <v>1462</v>
      </c>
      <c r="B2" s="3420">
        <f ca="1">ROUND(IF(D2="——",C52/10000,C52/10000-E2),4)</f>
        <v>193.75980000000001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21510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1200840</v>
      </c>
      <c r="D5" s="211" t="s">
        <v>1469</v>
      </c>
      <c r="E5" s="212" t="s">
        <v>1470</v>
      </c>
      <c r="F5" s="212" t="s">
        <v>1471</v>
      </c>
      <c r="G5" s="213"/>
    </row>
    <row r="6" spans="1:8" s="214" customFormat="1" ht="13.5" customHeight="1">
      <c r="A6" s="778" t="s">
        <v>1472</v>
      </c>
      <c r="B6" s="215" t="s">
        <v>1473</v>
      </c>
      <c r="C6" s="216">
        <f>ROUND(基准地价修正!C33*基准地价修正!D33,0)</f>
        <v>1151312</v>
      </c>
      <c r="D6" s="217"/>
      <c r="E6" s="218"/>
      <c r="F6" s="218"/>
      <c r="G6" s="219"/>
    </row>
    <row r="7" spans="1:8" s="214" customFormat="1" ht="13.5" customHeight="1">
      <c r="A7" s="778" t="s">
        <v>1474</v>
      </c>
      <c r="B7" s="215" t="s">
        <v>1475</v>
      </c>
      <c r="C7" s="220">
        <f>ROUND(C6*F7,0)</f>
        <v>35115</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14413</v>
      </c>
      <c r="D8" s="222"/>
      <c r="E8" s="220"/>
      <c r="F8" s="221"/>
      <c r="G8" s="1856" t="s">
        <v>3426</v>
      </c>
    </row>
    <row r="9" spans="1:8" s="214" customFormat="1" ht="13.5" customHeight="1">
      <c r="A9" s="779" t="s">
        <v>355</v>
      </c>
      <c r="B9" s="224" t="s">
        <v>1478</v>
      </c>
      <c r="C9" s="225">
        <f ca="1">ROUND(D9*E9,0)</f>
        <v>14413</v>
      </c>
      <c r="D9" s="845">
        <f ca="1">IF(B1="",'数据-汇总表'!E5,IF(INDIRECT("'数据-取费表'!c"&amp;$G$1)="住宅",INDIRECT("'数据-取费表'!k"&amp;$G$1),0))</f>
        <v>90.08</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90.08</v>
      </c>
      <c r="E19" s="211">
        <f>'数据-取费表'!B31</f>
        <v>200</v>
      </c>
      <c r="F19" s="231"/>
      <c r="G19" s="1856" t="s">
        <v>3427</v>
      </c>
    </row>
    <row r="20" spans="1:7" s="214" customFormat="1" ht="13.5" customHeight="1">
      <c r="A20" s="255" t="s">
        <v>1574</v>
      </c>
      <c r="B20" s="210" t="s">
        <v>1575</v>
      </c>
      <c r="C20" s="232">
        <f ca="1">ROUND((C5+C19)*F20,0)</f>
        <v>12008</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117359</v>
      </c>
      <c r="D22" s="235">
        <f ca="1">C26</f>
        <v>5.0000000000000001E-4</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116789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570</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242570</v>
      </c>
      <c r="D27" s="235">
        <f ca="1">C29</f>
        <v>2E-3</v>
      </c>
      <c r="E27" s="236" t="s">
        <v>1514</v>
      </c>
      <c r="F27" s="246">
        <f ca="1">IF(B1="",'数据-取费表'!Q16,INDIRECT("'数据-取费表'!q"&amp;$G$1))</f>
        <v>0.2</v>
      </c>
      <c r="G27" s="247" t="s">
        <v>1515</v>
      </c>
    </row>
    <row r="28" spans="1:7" s="214" customFormat="1" ht="13.5" customHeight="1">
      <c r="A28" s="780" t="s">
        <v>346</v>
      </c>
      <c r="B28" s="248" t="s">
        <v>1516</v>
      </c>
      <c r="C28" s="249">
        <f ca="1">ROUND((C5+C19+C20)*F27,0)</f>
        <v>242570</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1681935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308524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270240</v>
      </c>
      <c r="D34" s="217"/>
      <c r="E34" s="220"/>
      <c r="F34" s="257"/>
      <c r="G34" s="219"/>
    </row>
    <row r="35" spans="1:7" ht="13.5" customHeight="1">
      <c r="A35" s="780" t="s">
        <v>351</v>
      </c>
      <c r="B35" s="215" t="s">
        <v>1527</v>
      </c>
      <c r="C35" s="220">
        <f ca="1">ROUND(C34*F35,0)</f>
        <v>8107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8107</v>
      </c>
      <c r="D36" s="220"/>
      <c r="E36" s="220"/>
      <c r="F36" s="259">
        <f>'数据-取费表'!B34</f>
        <v>0.03</v>
      </c>
      <c r="G36" s="260" t="s">
        <v>1530</v>
      </c>
    </row>
    <row r="37" spans="1:7" s="258" customFormat="1" ht="13.5" customHeight="1">
      <c r="A37" s="780" t="s">
        <v>353</v>
      </c>
      <c r="B37" s="215" t="s">
        <v>1531</v>
      </c>
      <c r="C37" s="249">
        <f ca="1">ROUND(E37*D37,0)</f>
        <v>18016</v>
      </c>
      <c r="D37" s="217">
        <f ca="1">D19</f>
        <v>90.08</v>
      </c>
      <c r="E37" s="249">
        <f>'数据-取费表'!B35</f>
        <v>200</v>
      </c>
      <c r="F37" s="259"/>
      <c r="G37" s="261"/>
    </row>
    <row r="38" spans="1:7" ht="13.5" customHeight="1">
      <c r="A38" s="780" t="s">
        <v>354</v>
      </c>
      <c r="B38" s="215" t="s">
        <v>1533</v>
      </c>
      <c r="C38" s="220">
        <f ca="1">ROUND(C34*F38,0)</f>
        <v>4054</v>
      </c>
      <c r="D38" s="220"/>
      <c r="E38" s="220"/>
      <c r="F38" s="259">
        <f>'数据-取费表'!B36</f>
        <v>1.4999999999999999E-2</v>
      </c>
      <c r="G38" s="219" t="s">
        <v>1528</v>
      </c>
    </row>
    <row r="39" spans="1:7" s="214" customFormat="1" ht="13.5" customHeight="1">
      <c r="A39" s="255" t="s">
        <v>1534</v>
      </c>
      <c r="B39" s="210" t="s">
        <v>1535</v>
      </c>
      <c r="C39" s="232">
        <f ca="1">ROUND(C33*F20,0)</f>
        <v>3085</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14802</v>
      </c>
      <c r="D41" s="235">
        <f ca="1">C44</f>
        <v>5.0000000000000001E-4</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14655</v>
      </c>
      <c r="D42" s="238"/>
      <c r="E42" s="238"/>
      <c r="F42" s="239"/>
      <c r="G42" s="3652" t="s">
        <v>1591</v>
      </c>
    </row>
    <row r="43" spans="1:7" ht="13.5" customHeight="1">
      <c r="A43" s="780" t="s">
        <v>347</v>
      </c>
      <c r="B43" s="215" t="s">
        <v>1545</v>
      </c>
      <c r="C43" s="238">
        <f ca="1">ROUND(IF('数据-取费表'!B22&lt;=1,C39*F22*'数据-取费表'!B20/2,C39*(POWER((1+F22),'数据-取费表'!B20/2)-1)),0)</f>
        <v>147</v>
      </c>
      <c r="D43" s="238"/>
      <c r="E43" s="238"/>
      <c r="F43" s="239"/>
      <c r="G43" s="3653"/>
    </row>
    <row r="44" spans="1:7" ht="13.5" customHeight="1">
      <c r="A44" s="780" t="s">
        <v>348</v>
      </c>
      <c r="B44" s="215" t="s">
        <v>1546</v>
      </c>
      <c r="C44" s="238">
        <f ca="1">ROUND(IF('数据-取费表'!B22&lt;=1,C40*F22*'数据-取费表'!B20/2,C40*(POWER((1+F22),'数据-取费表'!B20/2)-1)),4)</f>
        <v>5.0000000000000001E-4</v>
      </c>
      <c r="D44" s="238"/>
      <c r="E44" s="238"/>
      <c r="F44" s="239"/>
      <c r="G44" s="3654"/>
    </row>
    <row r="45" spans="1:7" s="214" customFormat="1" ht="13.5" customHeight="1">
      <c r="A45" s="255" t="s">
        <v>1547</v>
      </c>
      <c r="B45" s="244" t="s">
        <v>1513</v>
      </c>
      <c r="C45" s="245">
        <f ca="1">C46</f>
        <v>62322</v>
      </c>
      <c r="D45" s="235">
        <f ca="1">C47</f>
        <v>2E-3</v>
      </c>
      <c r="E45" s="236" t="s">
        <v>1539</v>
      </c>
      <c r="F45" s="246">
        <f ca="1">F27</f>
        <v>0.2</v>
      </c>
      <c r="G45" s="247" t="s">
        <v>1548</v>
      </c>
    </row>
    <row r="46" spans="1:7" s="214" customFormat="1" ht="13.5" customHeight="1">
      <c r="A46" s="780" t="s">
        <v>346</v>
      </c>
      <c r="B46" s="248" t="s">
        <v>1549</v>
      </c>
      <c r="C46" s="249">
        <f ca="1">ROUND((C33+C39)*F27,0)</f>
        <v>62322</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415713</v>
      </c>
      <c r="D49" s="232"/>
      <c r="E49" s="232"/>
      <c r="F49" s="264"/>
      <c r="G49" s="234" t="s">
        <v>1554</v>
      </c>
    </row>
    <row r="50" spans="1:7" s="258" customFormat="1">
      <c r="A50" s="255" t="s">
        <v>1555</v>
      </c>
      <c r="B50" s="210" t="s">
        <v>1556</v>
      </c>
      <c r="C50" s="232"/>
      <c r="D50" s="232"/>
      <c r="E50" s="232"/>
      <c r="F50" s="264">
        <f>IF('数据-取费表'!B24=0,'数据-取费表'!N16,1)</f>
        <v>0.61499999999999999</v>
      </c>
      <c r="G50" s="247"/>
    </row>
    <row r="51" spans="1:7" ht="16.5" customHeight="1">
      <c r="A51" s="255" t="s">
        <v>1558</v>
      </c>
      <c r="B51" s="210" t="s">
        <v>1593</v>
      </c>
      <c r="C51" s="232">
        <f ca="1">ROUND(C49*F50,0)</f>
        <v>255663</v>
      </c>
      <c r="D51" s="232"/>
      <c r="E51" s="232"/>
      <c r="F51" s="264"/>
      <c r="G51" s="234" t="s">
        <v>1560</v>
      </c>
    </row>
    <row r="52" spans="1:7" s="208" customFormat="1" ht="16.5" thickBot="1">
      <c r="A52" s="265" t="s">
        <v>1561</v>
      </c>
      <c r="B52" s="266"/>
      <c r="C52" s="267">
        <f ca="1">C31+C51</f>
        <v>1937598</v>
      </c>
      <c r="D52" s="266"/>
      <c r="E52" s="266"/>
      <c r="F52" s="266"/>
      <c r="G52" s="268"/>
    </row>
    <row r="55" spans="1:7" ht="15">
      <c r="B55" s="270" t="s">
        <v>1562</v>
      </c>
      <c r="C55" s="271"/>
    </row>
    <row r="56" spans="1:7">
      <c r="B56" s="273" t="s">
        <v>802</v>
      </c>
      <c r="C56" s="275">
        <f ca="1">1-C57</f>
        <v>0.86799999999999999</v>
      </c>
    </row>
    <row r="57" spans="1:7">
      <c r="B57" s="273" t="s">
        <v>803</v>
      </c>
      <c r="C57" s="274">
        <f ca="1">ROUND(C51/C52,3)</f>
        <v>0.13200000000000001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6" zoomScale="90" zoomScaleNormal="80" zoomScaleSheetLayoutView="90" workbookViewId="0">
      <selection activeCell="C72" sqref="C72:D80"/>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21" customWidth="1"/>
    <col min="33" max="36" width="9.375" style="2050" customWidth="1"/>
    <col min="37" max="38" width="9.375" style="1995" customWidth="1"/>
    <col min="39" max="16384" width="12" style="1995"/>
  </cols>
  <sheetData>
    <row r="1" spans="1:36" ht="28.5">
      <c r="A1" s="196" t="s">
        <v>1926</v>
      </c>
      <c r="B1" s="197"/>
      <c r="C1" s="201" t="s">
        <v>1927</v>
      </c>
      <c r="D1" s="342">
        <f>SUM(D33:D34,D37:D42)</f>
        <v>90.08</v>
      </c>
      <c r="E1" s="1992"/>
      <c r="F1" s="1992"/>
      <c r="G1" s="1992"/>
      <c r="H1" s="1992"/>
      <c r="I1" s="1992"/>
      <c r="J1" s="1992"/>
      <c r="K1" s="1119"/>
      <c r="L1" s="1993" t="s">
        <v>1928</v>
      </c>
      <c r="M1" s="863">
        <f>SUMPRODUCT((区片价!B5:B9=I2)*(区片价!C3:G3=E2)*(区片价!C5:G9))</f>
        <v>0</v>
      </c>
      <c r="N1" s="866">
        <f>SUMPRODUCT((因素修正幅度!B5:B9=I2)*(因素修正幅度!C3:G3=E2)*(因素修正幅度!C5:G9))</f>
        <v>0</v>
      </c>
      <c r="O1" s="1994"/>
      <c r="P1" s="1994"/>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115</v>
      </c>
      <c r="C2" s="1996" t="s">
        <v>1935</v>
      </c>
      <c r="D2" s="1997" t="s">
        <v>1936</v>
      </c>
      <c r="E2" s="3418" t="s">
        <v>3382</v>
      </c>
      <c r="F2" s="1997" t="s">
        <v>1937</v>
      </c>
      <c r="G2" s="1998" t="str">
        <f>IF(E2="商业",项目基本情况!B37,IF(E2="办公",项目基本情况!C37,IF(E2="住宅",项目基本情况!D37,IF(E2="工业",项目基本情况!E37,项目基本情况!F37))))</f>
        <v>七级</v>
      </c>
      <c r="H2" s="1997" t="s">
        <v>1938</v>
      </c>
      <c r="I2" s="1998" t="str">
        <f>IF(E2="商业",项目基本情况!B38,IF(E2="办公",项目基本情况!C38,IF(E2="住宅",项目基本情况!D38,IF(E2="工业",项目基本情况!E38,项目基本情况!F38))))</f>
        <v>Ⅶ-房1</v>
      </c>
      <c r="J2" s="1999"/>
      <c r="K2" s="1119"/>
      <c r="L2" s="2000" t="s">
        <v>1939</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1.5019</v>
      </c>
      <c r="T2" s="3357">
        <f t="shared" ref="T2:T16" si="0">ROUND($C$5*$C$22*$C$23*$C$24*S2*$C$28,0)</f>
        <v>16541</v>
      </c>
      <c r="U2" s="1213"/>
      <c r="V2" s="3357">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12766</v>
      </c>
      <c r="C3" s="1996" t="s">
        <v>1941</v>
      </c>
      <c r="D3" s="1997" t="s">
        <v>1942</v>
      </c>
      <c r="E3" s="3416" t="s">
        <v>3392</v>
      </c>
      <c r="F3" s="2001" t="s">
        <v>3393</v>
      </c>
      <c r="G3" s="752">
        <f>IF(F3="宗地容积率",'数据-汇总表'!I4,IF(F3="估价对象容积率",'数据-汇总表'!I6,'数据-汇总表'!I7))</f>
        <v>1.3</v>
      </c>
      <c r="H3" s="170" t="s">
        <v>1943</v>
      </c>
      <c r="I3" s="775"/>
      <c r="J3" s="1999" t="s">
        <v>1944</v>
      </c>
      <c r="K3" s="1119"/>
      <c r="L3" s="2000" t="s">
        <v>1945</v>
      </c>
      <c r="M3" s="864">
        <f>SUMPRODUCT((区片价!B30:B54=I2)*(区片价!C3:G3=E2)*(区片价!C30:G54))</f>
        <v>0</v>
      </c>
      <c r="N3" s="866">
        <f>SUMPRODUCT((因素修正幅度!B30:B54=I2)*(因素修正幅度!C3:G3=E2)*(因素修正幅度!C30:G54))</f>
        <v>0</v>
      </c>
      <c r="O3" s="1119"/>
      <c r="P3" s="1119"/>
      <c r="Q3" s="1119"/>
      <c r="R3" s="1212">
        <v>2</v>
      </c>
      <c r="S3" s="3357">
        <f>ROUND(SUMPRODUCT((B106:B110=R3)*(C105:N105=G2)*(C106:N110)),4)</f>
        <v>1.1838</v>
      </c>
      <c r="T3" s="3357">
        <f t="shared" si="0"/>
        <v>13037</v>
      </c>
      <c r="U3" s="1213"/>
      <c r="V3" s="3357">
        <f t="shared" ref="V3:V16" si="1">ROUND(T3*U3/10000,0)</f>
        <v>0</v>
      </c>
      <c r="W3" s="1216"/>
      <c r="X3" s="1216"/>
      <c r="Y3" s="1216"/>
      <c r="Z3" s="1216"/>
      <c r="AA3" s="1216"/>
      <c r="AB3" s="1216"/>
      <c r="AC3" s="1217"/>
      <c r="AD3" s="1218"/>
      <c r="AE3" s="1218"/>
      <c r="AF3" s="1218"/>
      <c r="AG3" s="1218"/>
      <c r="AH3" s="1218"/>
      <c r="AI3" s="1218"/>
      <c r="AJ3" s="1219"/>
    </row>
    <row r="4" spans="1:36" ht="15.75">
      <c r="A4" s="3765"/>
      <c r="B4" s="3766"/>
      <c r="C4" s="3766"/>
      <c r="D4" s="3767"/>
      <c r="E4" s="3767"/>
      <c r="F4" s="3767"/>
      <c r="G4" s="3767"/>
      <c r="H4" s="3767"/>
      <c r="I4" s="3767"/>
      <c r="J4" s="3768"/>
      <c r="K4" s="1119"/>
      <c r="L4" s="2000" t="s">
        <v>1946</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1.0004999999999999</v>
      </c>
      <c r="T4" s="3357">
        <f t="shared" si="0"/>
        <v>11019</v>
      </c>
      <c r="U4" s="1213"/>
      <c r="V4" s="3357">
        <f t="shared" si="1"/>
        <v>0</v>
      </c>
      <c r="W4" s="1216"/>
      <c r="X4" s="1216"/>
      <c r="Y4" s="1216"/>
      <c r="Z4" s="1216"/>
      <c r="AA4" s="1216"/>
      <c r="AB4" s="1216"/>
      <c r="AC4" s="1217"/>
      <c r="AD4" s="1218"/>
      <c r="AE4" s="1218"/>
      <c r="AF4" s="1218"/>
      <c r="AG4" s="1218"/>
      <c r="AH4" s="1218"/>
      <c r="AI4" s="1218"/>
      <c r="AJ4" s="1219"/>
    </row>
    <row r="5" spans="1:36" s="2011" customFormat="1" ht="15.75" thickBot="1">
      <c r="A5" s="2002" t="s">
        <v>362</v>
      </c>
      <c r="B5" s="2003" t="s">
        <v>1947</v>
      </c>
      <c r="C5" s="753">
        <f>ROUND(IF(E2="商业",C6*C7*C17+C20,(IF(E2="住宅",C6*C13*C17+C20,IF(E2="办公",C6*C12*C17+C20,C6+C20)))),0)</f>
        <v>10930</v>
      </c>
      <c r="D5" s="1339">
        <f>ROUND(C6*C17+C20,0)</f>
        <v>10930</v>
      </c>
      <c r="E5" s="1339"/>
      <c r="F5" s="2004"/>
      <c r="G5" s="2005"/>
      <c r="H5" s="2005"/>
      <c r="I5" s="2005"/>
      <c r="J5" s="2006"/>
      <c r="K5" s="2007"/>
      <c r="L5" s="2000" t="s">
        <v>1948</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0.88239999999999996</v>
      </c>
      <c r="T5" s="3357">
        <f t="shared" si="0"/>
        <v>9718</v>
      </c>
      <c r="U5" s="1213"/>
      <c r="V5" s="3357">
        <f t="shared" si="1"/>
        <v>0</v>
      </c>
      <c r="W5" s="1216"/>
      <c r="X5" s="1216"/>
      <c r="Y5" s="1216"/>
      <c r="Z5" s="1216"/>
      <c r="AA5" s="1216"/>
      <c r="AB5" s="1216"/>
      <c r="AC5" s="2008"/>
      <c r="AD5" s="2009"/>
      <c r="AE5" s="2009"/>
      <c r="AF5" s="2009"/>
      <c r="AG5" s="2009"/>
      <c r="AH5" s="2009"/>
      <c r="AI5" s="2009"/>
      <c r="AJ5" s="2010"/>
    </row>
    <row r="6" spans="1:36" ht="15.75" thickBot="1">
      <c r="A6" s="2012" t="s">
        <v>1949</v>
      </c>
      <c r="B6" s="2013" t="s">
        <v>1950</v>
      </c>
      <c r="C6" s="754">
        <f>SUMIF(L1:L12,G2,M1:M12)</f>
        <v>10930</v>
      </c>
      <c r="D6" s="2014"/>
      <c r="E6" s="2015"/>
      <c r="F6" s="2015"/>
      <c r="G6" s="2016"/>
      <c r="H6" s="2016"/>
      <c r="I6" s="2016"/>
      <c r="J6" s="2017"/>
      <c r="K6" s="1384"/>
      <c r="L6" s="2000" t="s">
        <v>1951</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0.84799999999999998</v>
      </c>
      <c r="T6" s="3357">
        <f t="shared" si="0"/>
        <v>9339</v>
      </c>
      <c r="U6" s="1213"/>
      <c r="V6" s="3357">
        <f t="shared" si="1"/>
        <v>0</v>
      </c>
      <c r="W6" s="1216"/>
      <c r="X6" s="1216"/>
      <c r="Y6" s="1216"/>
      <c r="Z6" s="1216"/>
      <c r="AA6" s="1216"/>
      <c r="AB6" s="1216"/>
      <c r="AC6" s="2008"/>
      <c r="AD6" s="2009"/>
      <c r="AE6" s="2009"/>
      <c r="AF6" s="2009"/>
      <c r="AG6" s="2009"/>
      <c r="AH6" s="2009"/>
      <c r="AI6" s="2009"/>
      <c r="AJ6" s="2010"/>
    </row>
    <row r="7" spans="1:36" ht="24.75" thickBot="1">
      <c r="A7" s="3300" t="s">
        <v>3240</v>
      </c>
      <c r="B7" s="2018" t="s">
        <v>1952</v>
      </c>
      <c r="C7" s="755">
        <f>IF(C8="不临65条商业街",1,ROUND(1+(1.6*E8+1.2*E9+0.8*E10+0.4*E11)*C9,4))</f>
        <v>1</v>
      </c>
      <c r="D7" s="2019" t="s">
        <v>1953</v>
      </c>
      <c r="E7" s="776"/>
      <c r="F7" s="2020"/>
      <c r="G7" s="2021"/>
      <c r="H7" s="2021"/>
      <c r="I7" s="2021"/>
      <c r="J7" s="2022"/>
      <c r="K7" s="1384"/>
      <c r="L7" s="2000" t="s">
        <v>1954</v>
      </c>
      <c r="M7" s="864">
        <f>SUMPRODUCT((区片价!B190:B233=I2)*(区片价!C3:G3=E2)*(区片价!C190:G233))</f>
        <v>10930</v>
      </c>
      <c r="N7" s="866">
        <f>SUMPRODUCT((因素修正幅度!B190:B233=I2)*(因素修正幅度!C3:G3=E2)*(因素修正幅度!C190:G233))</f>
        <v>0.13</v>
      </c>
      <c r="O7" s="1119"/>
      <c r="P7" s="1119"/>
      <c r="Q7" s="1119"/>
      <c r="R7" s="1212">
        <v>6</v>
      </c>
      <c r="S7" s="3415"/>
      <c r="T7" s="3357">
        <f t="shared" si="0"/>
        <v>0</v>
      </c>
      <c r="U7" s="1213"/>
      <c r="V7" s="3357">
        <f t="shared" si="1"/>
        <v>0</v>
      </c>
      <c r="W7" s="1358" t="s">
        <v>1955</v>
      </c>
      <c r="X7" s="1214" t="str">
        <f>G2</f>
        <v>七级</v>
      </c>
      <c r="Y7" s="1214" t="s">
        <v>1956</v>
      </c>
      <c r="Z7" s="1215">
        <f>G3</f>
        <v>1.3</v>
      </c>
      <c r="AA7" s="1216"/>
      <c r="AB7" s="1216"/>
      <c r="AC7" s="1217"/>
      <c r="AD7" s="1218"/>
      <c r="AE7" s="1218"/>
      <c r="AF7" s="1218"/>
      <c r="AG7" s="1218"/>
      <c r="AH7" s="1218"/>
      <c r="AI7" s="1218"/>
      <c r="AJ7" s="1219"/>
    </row>
    <row r="8" spans="1:36" ht="25.5">
      <c r="A8" s="3295"/>
      <c r="B8" s="170" t="s">
        <v>1957</v>
      </c>
      <c r="C8" s="2023" t="s">
        <v>3394</v>
      </c>
      <c r="D8" s="756" t="s">
        <v>112</v>
      </c>
      <c r="E8" s="757" t="e">
        <f>ROUND(C11/E7,4)</f>
        <v>#DIV/0!</v>
      </c>
      <c r="F8" s="2024" t="s">
        <v>1958</v>
      </c>
      <c r="G8" s="2025"/>
      <c r="H8" s="2025"/>
      <c r="I8" s="2025"/>
      <c r="J8" s="2026"/>
      <c r="K8" s="1119"/>
      <c r="L8" s="2000" t="s">
        <v>1959</v>
      </c>
      <c r="M8" s="864">
        <f>SUMPRODUCT((区片价!B234:B276=I2)*(区片价!C3:G3=E2)*(区片价!C234:G276))</f>
        <v>0</v>
      </c>
      <c r="N8" s="866">
        <f>SUMPRODUCT((因素修正幅度!B234:B276=I2)*(因素修正幅度!C3:G3=E2)*(因素修正幅度!C234:G276))</f>
        <v>0</v>
      </c>
      <c r="O8" s="1119"/>
      <c r="P8" s="1119"/>
      <c r="Q8" s="1119"/>
      <c r="R8" s="1212">
        <v>7</v>
      </c>
      <c r="S8" s="1213"/>
      <c r="T8" s="3357">
        <f t="shared" si="0"/>
        <v>0</v>
      </c>
      <c r="U8" s="1213"/>
      <c r="V8" s="3357">
        <f t="shared" si="1"/>
        <v>0</v>
      </c>
      <c r="W8" s="3762" t="s">
        <v>1960</v>
      </c>
      <c r="X8" s="376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5"/>
      <c r="B9" s="170" t="s">
        <v>1973</v>
      </c>
      <c r="C9" s="758">
        <f>SUMIF(修正!C71:C138,C8,修正!E71:E138)</f>
        <v>0</v>
      </c>
      <c r="D9" s="171" t="s">
        <v>113</v>
      </c>
      <c r="E9" s="171" t="e">
        <f>ROUND(C11/E7,4)</f>
        <v>#DIV/0!</v>
      </c>
      <c r="F9" s="2024" t="s">
        <v>1974</v>
      </c>
      <c r="G9" s="2025"/>
      <c r="H9" s="2025"/>
      <c r="I9" s="2025"/>
      <c r="J9" s="2026"/>
      <c r="K9" s="1119"/>
      <c r="L9" s="2000" t="s">
        <v>1975</v>
      </c>
      <c r="M9" s="864">
        <f>SUMPRODUCT((区片价!B277:B326=I2)*(区片价!C3:G3=E2)*(区片价!C277:G326))</f>
        <v>0</v>
      </c>
      <c r="N9" s="866">
        <f>SUMPRODUCT((因素修正幅度!B277:B326=I2)*(因素修正幅度!C3:G3=E2)*(因素修正幅度!C277:G326))</f>
        <v>0</v>
      </c>
      <c r="O9" s="1119"/>
      <c r="P9" s="1119"/>
      <c r="Q9" s="1119"/>
      <c r="R9" s="1212">
        <v>8</v>
      </c>
      <c r="S9" s="1213"/>
      <c r="T9" s="3357">
        <f t="shared" si="0"/>
        <v>0</v>
      </c>
      <c r="U9" s="1213"/>
      <c r="V9" s="3357">
        <f t="shared" si="1"/>
        <v>0</v>
      </c>
      <c r="W9" s="3764"/>
      <c r="X9" s="3358" t="s">
        <v>3270</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4" t="s">
        <v>1977</v>
      </c>
      <c r="G10" s="2025"/>
      <c r="H10" s="2025"/>
      <c r="I10" s="2025"/>
      <c r="J10" s="2026"/>
      <c r="K10" s="1119"/>
      <c r="L10" s="2000"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7">
        <f t="shared" si="0"/>
        <v>0</v>
      </c>
      <c r="U10" s="1213"/>
      <c r="V10" s="3357">
        <f t="shared" si="1"/>
        <v>0</v>
      </c>
      <c r="W10" s="3764"/>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7" t="s">
        <v>1979</v>
      </c>
      <c r="C11" s="759">
        <f>C10/4</f>
        <v>0</v>
      </c>
      <c r="D11" s="759" t="s">
        <v>115</v>
      </c>
      <c r="E11" s="759" t="e">
        <f>ROUND(C11/E7,4)</f>
        <v>#DIV/0!</v>
      </c>
      <c r="F11" s="2028" t="s">
        <v>1980</v>
      </c>
      <c r="G11" s="2029"/>
      <c r="H11" s="2029"/>
      <c r="I11" s="2029"/>
      <c r="J11" s="2030"/>
      <c r="K11" s="1119"/>
      <c r="L11" s="2000"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f t="shared" si="0"/>
        <v>0</v>
      </c>
      <c r="U11" s="1213"/>
      <c r="V11" s="3357">
        <f t="shared" si="1"/>
        <v>0</v>
      </c>
      <c r="W11" s="1216"/>
      <c r="X11" s="1216"/>
      <c r="Y11" s="1216"/>
      <c r="Z11" s="1216"/>
      <c r="AA11" s="1216"/>
      <c r="AB11" s="1216"/>
      <c r="AC11" s="1217"/>
      <c r="AD11" s="2785"/>
      <c r="AE11" s="2785"/>
      <c r="AF11" s="2785"/>
      <c r="AG11" s="2785"/>
      <c r="AH11" s="2785"/>
      <c r="AI11" s="2785"/>
      <c r="AJ11" s="2786"/>
    </row>
    <row r="12" spans="1:36" ht="25.5" thickBot="1">
      <c r="A12" s="3300" t="s">
        <v>3241</v>
      </c>
      <c r="B12" s="3301" t="s">
        <v>3242</v>
      </c>
      <c r="C12" s="3302"/>
      <c r="D12" s="3303" t="s">
        <v>3243</v>
      </c>
      <c r="E12" s="3304" t="s">
        <v>3244</v>
      </c>
      <c r="F12" s="3305"/>
      <c r="G12" s="3306"/>
      <c r="H12" s="3306"/>
      <c r="I12" s="3306"/>
      <c r="J12" s="3307"/>
      <c r="K12" s="1119"/>
      <c r="L12" s="2036"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f t="shared" si="0"/>
        <v>0</v>
      </c>
      <c r="U12" s="1213"/>
      <c r="V12" s="3357">
        <f t="shared" si="1"/>
        <v>0</v>
      </c>
      <c r="W12" s="1216"/>
      <c r="X12" s="1216"/>
      <c r="Y12" s="1216"/>
      <c r="Z12" s="1216"/>
      <c r="AA12" s="1216"/>
      <c r="AB12" s="1216"/>
      <c r="AC12" s="1217"/>
      <c r="AD12" s="2785"/>
      <c r="AE12" s="2785"/>
      <c r="AF12" s="2785"/>
      <c r="AG12" s="2785"/>
      <c r="AH12" s="2785"/>
      <c r="AI12" s="2785"/>
      <c r="AJ12" s="2786"/>
    </row>
    <row r="13" spans="1:36" ht="15.75" thickBot="1">
      <c r="A13" s="3300" t="s">
        <v>3245</v>
      </c>
      <c r="B13" s="2031" t="s">
        <v>1982</v>
      </c>
      <c r="C13" s="755">
        <f>ROUND(C16*D16*E16*F16*G16*H16*I16*J16,4)</f>
        <v>1</v>
      </c>
      <c r="D13" s="2032" t="s">
        <v>1983</v>
      </c>
      <c r="E13" s="2033"/>
      <c r="F13" s="2033"/>
      <c r="G13" s="2034"/>
      <c r="H13" s="2034"/>
      <c r="I13" s="2034"/>
      <c r="J13" s="2035"/>
      <c r="K13" s="1119"/>
      <c r="L13" s="3296"/>
      <c r="M13" s="3297"/>
      <c r="N13" s="3298"/>
      <c r="O13" s="1119"/>
      <c r="P13" s="1119"/>
      <c r="Q13" s="1119"/>
      <c r="R13" s="1212">
        <v>12</v>
      </c>
      <c r="S13" s="1213"/>
      <c r="T13" s="3357">
        <f t="shared" si="0"/>
        <v>0</v>
      </c>
      <c r="U13" s="1213"/>
      <c r="V13" s="3357">
        <f t="shared" si="1"/>
        <v>0</v>
      </c>
      <c r="W13" s="1216"/>
      <c r="X13" s="1216"/>
      <c r="Y13" s="1216"/>
      <c r="Z13" s="1216"/>
      <c r="AA13" s="1216"/>
      <c r="AB13" s="1216"/>
      <c r="AC13" s="1217"/>
      <c r="AD13" s="2785"/>
      <c r="AE13" s="2785"/>
      <c r="AF13" s="2785"/>
      <c r="AG13" s="2785"/>
      <c r="AH13" s="2785"/>
      <c r="AI13" s="2785"/>
      <c r="AJ13" s="2786"/>
    </row>
    <row r="14" spans="1:36" ht="15">
      <c r="A14" s="3294"/>
      <c r="B14" s="2037" t="s">
        <v>1985</v>
      </c>
      <c r="C14" s="2038" t="s">
        <v>1986</v>
      </c>
      <c r="D14" s="1350" t="s">
        <v>1987</v>
      </c>
      <c r="E14" s="27" t="s">
        <v>1988</v>
      </c>
      <c r="F14" s="3308" t="s">
        <v>3246</v>
      </c>
      <c r="G14" s="3308" t="s">
        <v>3246</v>
      </c>
      <c r="H14" s="3308" t="s">
        <v>3246</v>
      </c>
      <c r="I14" s="3308" t="s">
        <v>3246</v>
      </c>
      <c r="J14" s="3308" t="s">
        <v>3246</v>
      </c>
      <c r="K14" s="1119"/>
      <c r="L14" s="1119"/>
      <c r="M14" s="1119"/>
      <c r="N14" s="1119"/>
      <c r="O14" s="1119"/>
      <c r="P14" s="1119"/>
      <c r="Q14" s="1119"/>
      <c r="R14" s="1212">
        <v>13</v>
      </c>
      <c r="S14" s="1213"/>
      <c r="T14" s="3357">
        <f t="shared" si="0"/>
        <v>0</v>
      </c>
      <c r="U14" s="1213"/>
      <c r="V14" s="3357">
        <f t="shared" si="1"/>
        <v>0</v>
      </c>
      <c r="W14" s="1216"/>
      <c r="X14" s="1216"/>
      <c r="Y14" s="1216"/>
      <c r="Z14" s="1216"/>
      <c r="AA14" s="1216"/>
      <c r="AB14" s="1216"/>
      <c r="AC14" s="1217"/>
      <c r="AD14" s="2785"/>
      <c r="AE14" s="2785"/>
      <c r="AF14" s="2785"/>
      <c r="AG14" s="2785"/>
      <c r="AH14" s="2785"/>
      <c r="AI14" s="2785"/>
      <c r="AJ14" s="2786"/>
    </row>
    <row r="15" spans="1:36" ht="15">
      <c r="A15" s="3294"/>
      <c r="B15" s="2039"/>
      <c r="C15" s="2040" t="s">
        <v>3396</v>
      </c>
      <c r="D15" s="2041" t="s">
        <v>3396</v>
      </c>
      <c r="E15" s="2042" t="s">
        <v>3395</v>
      </c>
      <c r="F15" s="3309" t="s">
        <v>3247</v>
      </c>
      <c r="G15" s="3310"/>
      <c r="H15" s="3311"/>
      <c r="I15" s="3312"/>
      <c r="J15" s="3313"/>
      <c r="K15" s="1119"/>
      <c r="L15" s="1119"/>
      <c r="M15" s="1119"/>
      <c r="N15" s="1119"/>
      <c r="O15" s="1119"/>
      <c r="P15" s="1119"/>
      <c r="Q15" s="1119"/>
      <c r="R15" s="1212">
        <v>14</v>
      </c>
      <c r="S15" s="1213"/>
      <c r="T15" s="3357">
        <f t="shared" si="0"/>
        <v>0</v>
      </c>
      <c r="U15" s="1213"/>
      <c r="V15" s="3357">
        <f t="shared" si="1"/>
        <v>0</v>
      </c>
      <c r="W15" s="1216"/>
      <c r="X15" s="1216"/>
      <c r="Y15" s="1216"/>
      <c r="Z15" s="1216"/>
      <c r="AA15" s="1216"/>
      <c r="AB15" s="1216"/>
      <c r="AC15" s="1217"/>
      <c r="AD15" s="2785"/>
      <c r="AE15" s="2785"/>
      <c r="AF15" s="2785"/>
      <c r="AG15" s="2785"/>
      <c r="AH15" s="2785"/>
      <c r="AI15" s="2785"/>
      <c r="AJ15" s="2786"/>
    </row>
    <row r="16" spans="1:36" ht="15.75" thickBot="1">
      <c r="A16" s="3294"/>
      <c r="B16" s="3316" t="s">
        <v>1989</v>
      </c>
      <c r="C16" s="3314">
        <v>1</v>
      </c>
      <c r="D16" s="3314">
        <v>1</v>
      </c>
      <c r="E16" s="3314">
        <v>1</v>
      </c>
      <c r="F16" s="3314">
        <v>1</v>
      </c>
      <c r="G16" s="3314">
        <v>1</v>
      </c>
      <c r="H16" s="3314">
        <v>1</v>
      </c>
      <c r="I16" s="3314">
        <v>1</v>
      </c>
      <c r="J16" s="3315">
        <v>1</v>
      </c>
      <c r="K16" s="1119"/>
      <c r="L16" s="1994"/>
      <c r="M16" s="1994"/>
      <c r="N16" s="1994"/>
      <c r="O16" s="1994"/>
      <c r="P16" s="1994"/>
      <c r="Q16" s="1119"/>
      <c r="R16" s="1212">
        <v>15</v>
      </c>
      <c r="S16" s="1213"/>
      <c r="T16" s="3357">
        <f t="shared" si="0"/>
        <v>0</v>
      </c>
      <c r="U16" s="1213"/>
      <c r="V16" s="3357">
        <f t="shared" si="1"/>
        <v>0</v>
      </c>
      <c r="W16" s="1216"/>
      <c r="X16" s="1216"/>
      <c r="Y16" s="1216"/>
      <c r="Z16" s="1216"/>
      <c r="AA16" s="1216"/>
      <c r="AB16" s="1216"/>
      <c r="AC16" s="1217"/>
      <c r="AD16" s="2785"/>
      <c r="AE16" s="2785"/>
      <c r="AF16" s="2785"/>
      <c r="AG16" s="2785"/>
      <c r="AH16" s="2785"/>
      <c r="AI16" s="2785"/>
      <c r="AJ16" s="2786"/>
    </row>
    <row r="17" spans="1:37">
      <c r="A17" s="3326" t="s">
        <v>3248</v>
      </c>
      <c r="B17" s="3317" t="s">
        <v>3249</v>
      </c>
      <c r="C17" s="3327">
        <f>ROUND(IF(OR(E2="工业",E2="公共服务"),1,IF(AND(E18=0,E19=0),1,IF(AND(E18=J24,E19=G19),0.8,IF(E19=0,1+E17*(-0.2),1+E17*G17*(-0.2))))),4)</f>
        <v>1</v>
      </c>
      <c r="D17" s="3318" t="s">
        <v>3250</v>
      </c>
      <c r="E17" s="3327">
        <f>ROUND(G18/I18,2)</f>
        <v>0</v>
      </c>
      <c r="F17" s="3318" t="s">
        <v>3253</v>
      </c>
      <c r="G17" s="3327" t="e">
        <f>ROUND(E19/G19,2)</f>
        <v>#DIV/0!</v>
      </c>
      <c r="H17" s="3327"/>
      <c r="I17" s="3327"/>
      <c r="J17" s="3328"/>
      <c r="K17" s="1119"/>
      <c r="L17" s="1994"/>
      <c r="M17" s="1994"/>
      <c r="N17" s="1994"/>
      <c r="O17" s="1994"/>
      <c r="P17" s="1994"/>
      <c r="Q17" s="1119"/>
      <c r="R17" s="1119"/>
      <c r="S17" s="1119"/>
      <c r="T17" s="1119"/>
      <c r="U17" s="1119"/>
      <c r="V17" s="1119"/>
      <c r="W17" s="1119"/>
      <c r="X17" s="1119"/>
      <c r="Y17" s="1119"/>
      <c r="Z17" s="1120"/>
      <c r="AA17" s="1120"/>
      <c r="AB17" s="1120"/>
      <c r="AC17" s="1120"/>
      <c r="AD17" s="1120"/>
      <c r="AE17" s="1119"/>
      <c r="AF17" s="1119"/>
      <c r="AG17" s="1994"/>
      <c r="AH17" s="1994"/>
      <c r="AI17" s="1994"/>
      <c r="AJ17" s="1994"/>
    </row>
    <row r="18" spans="1:37" s="2011" customFormat="1" ht="14.25">
      <c r="A18" s="3329"/>
      <c r="B18" s="3006"/>
      <c r="C18" s="3324"/>
      <c r="D18" s="3319" t="s">
        <v>3251</v>
      </c>
      <c r="E18" s="3325"/>
      <c r="F18" s="3320" t="s">
        <v>3254</v>
      </c>
      <c r="G18" s="3324">
        <f>ROUND(1-(1/(POWER(1+G24,E18))),4)</f>
        <v>0</v>
      </c>
      <c r="H18" s="3320" t="s">
        <v>3256</v>
      </c>
      <c r="I18" s="3324">
        <f>ROUND(1-(1/(POWER(1+G24,J24))),4)</f>
        <v>0.96709999999999996</v>
      </c>
      <c r="J18" s="3330"/>
      <c r="K18" s="1119"/>
      <c r="L18" s="1994"/>
      <c r="M18" s="1994"/>
      <c r="N18" s="1994"/>
      <c r="O18" s="1994"/>
      <c r="P18" s="1994"/>
      <c r="Q18" s="1119"/>
      <c r="R18" s="1124"/>
      <c r="S18" s="1124"/>
      <c r="T18" s="1120"/>
      <c r="U18" s="1120"/>
      <c r="V18" s="1120"/>
      <c r="W18" s="1119"/>
      <c r="X18" s="1119"/>
      <c r="Y18" s="1119"/>
      <c r="Z18" s="1125"/>
      <c r="AA18" s="1125"/>
      <c r="AB18" s="1125"/>
      <c r="AC18" s="1125"/>
      <c r="AD18" s="1125"/>
      <c r="AE18" s="1120"/>
      <c r="AF18" s="1120"/>
      <c r="AG18" s="2138"/>
      <c r="AH18" s="2138"/>
      <c r="AI18" s="2138"/>
      <c r="AJ18" s="2784"/>
    </row>
    <row r="19" spans="1:37" s="2011" customFormat="1" ht="15" thickBot="1">
      <c r="A19" s="3331"/>
      <c r="B19" s="3332"/>
      <c r="C19" s="3333"/>
      <c r="D19" s="3333" t="s">
        <v>3252</v>
      </c>
      <c r="E19" s="3334"/>
      <c r="F19" s="3335" t="s">
        <v>3255</v>
      </c>
      <c r="G19" s="3334"/>
      <c r="H19" s="3333"/>
      <c r="I19" s="3333"/>
      <c r="J19" s="3336"/>
      <c r="K19" s="1119"/>
      <c r="L19" s="1994"/>
      <c r="M19" s="1994"/>
      <c r="N19" s="1994"/>
      <c r="O19" s="1994"/>
      <c r="P19" s="1994"/>
      <c r="Q19" s="1124"/>
      <c r="R19" s="1124"/>
      <c r="S19" s="1124"/>
      <c r="T19" s="1120"/>
      <c r="U19" s="1120"/>
      <c r="V19" s="1120"/>
      <c r="W19" s="1119"/>
      <c r="X19" s="1119"/>
      <c r="Y19" s="1119"/>
      <c r="Z19" s="1125"/>
      <c r="AA19" s="1125"/>
      <c r="AB19" s="1125"/>
      <c r="AC19" s="1125"/>
      <c r="AD19" s="1125"/>
      <c r="AE19" s="1125"/>
      <c r="AF19" s="1124"/>
      <c r="AG19" s="2787"/>
      <c r="AH19" s="2138"/>
      <c r="AI19" s="2788"/>
      <c r="AJ19" s="2788"/>
      <c r="AK19" s="2054"/>
    </row>
    <row r="20" spans="1:37" s="2011" customFormat="1" ht="14.25">
      <c r="A20" s="3769" t="s">
        <v>3257</v>
      </c>
      <c r="B20" s="167" t="s">
        <v>1994</v>
      </c>
      <c r="C20" s="3321">
        <f>ROUND(IF(F21="与级别开发程度一致",0,(G21-E21)/C21),0)</f>
        <v>0</v>
      </c>
      <c r="D20" s="3337" t="s">
        <v>1998</v>
      </c>
      <c r="E20" s="3338"/>
      <c r="F20" s="3775" t="s">
        <v>1995</v>
      </c>
      <c r="G20" s="3776"/>
      <c r="H20" s="3322"/>
      <c r="I20" s="3322"/>
      <c r="J20" s="3323"/>
      <c r="K20" s="2044"/>
      <c r="L20" s="2044"/>
      <c r="M20" s="2044"/>
      <c r="N20" s="2044"/>
      <c r="O20" s="2045"/>
      <c r="P20" s="1994"/>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1" customFormat="1" ht="26.25" thickBot="1">
      <c r="A21" s="3770"/>
      <c r="B21" s="2161" t="s">
        <v>1997</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3397</v>
      </c>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1" customFormat="1" ht="15.75" thickBot="1">
      <c r="A22" s="2155" t="s">
        <v>363</v>
      </c>
      <c r="B22" s="2156" t="s">
        <v>2000</v>
      </c>
      <c r="C22" s="2157">
        <f>SUMIF(修正!C20:C51,E3,修正!E20:E51)</f>
        <v>1</v>
      </c>
      <c r="D22" s="2158"/>
      <c r="E22" s="2159"/>
      <c r="F22" s="2159"/>
      <c r="G22" s="2159"/>
      <c r="H22" s="2159"/>
      <c r="I22" s="2159"/>
      <c r="J22" s="2160"/>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47" t="s">
        <v>364</v>
      </c>
      <c r="B23" s="2048"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1.0668</v>
      </c>
      <c r="D23" s="2051" t="s">
        <v>2002</v>
      </c>
      <c r="E23" s="761">
        <v>44197</v>
      </c>
      <c r="F23" s="2051" t="s">
        <v>2003</v>
      </c>
      <c r="G23" s="762">
        <f>'数据-取费表'!B2</f>
        <v>45189</v>
      </c>
      <c r="H23" s="3339" t="s">
        <v>3258</v>
      </c>
      <c r="I23" s="3340" t="str">
        <f>IF(H23="季度增幅（自定义）",SUMIF(N25:N28,E2,O25:O28),"")</f>
        <v/>
      </c>
      <c r="J23" s="3442" t="s">
        <v>3420</v>
      </c>
      <c r="K23" s="1125"/>
      <c r="L23" s="2052" t="s">
        <v>2004</v>
      </c>
      <c r="M23" s="1328">
        <f>ROUND(SUMIF(地价!B2:G2,E2,地价!B16:G16),0)</f>
        <v>687</v>
      </c>
      <c r="N23" s="2053" t="s">
        <v>2005</v>
      </c>
      <c r="O23" s="763">
        <f>ROUNDDOWN(DATEDIF(E23,G23,"M")/3,0)</f>
        <v>10</v>
      </c>
      <c r="P23" s="1122"/>
      <c r="Q23" s="2784"/>
      <c r="R23" s="1124"/>
      <c r="S23" s="1124"/>
      <c r="T23" s="1120"/>
      <c r="U23" s="1120"/>
      <c r="V23" s="1120"/>
      <c r="W23" s="1119"/>
      <c r="X23" s="1119"/>
      <c r="Y23" s="1119"/>
      <c r="Z23" s="1125"/>
      <c r="AA23" s="1125"/>
      <c r="AB23" s="1125"/>
      <c r="AC23" s="1125"/>
      <c r="AD23" s="1125"/>
      <c r="AE23" s="1120"/>
      <c r="AF23" s="1120"/>
      <c r="AG23" s="2138"/>
      <c r="AH23" s="2138"/>
      <c r="AI23" s="2138"/>
      <c r="AJ23" s="2138"/>
      <c r="AK23" s="2050"/>
    </row>
    <row r="24" spans="1:37" s="2011" customFormat="1" ht="24.75" thickBot="1">
      <c r="A24" s="2055" t="s">
        <v>365</v>
      </c>
      <c r="B24" s="2056" t="s">
        <v>2006</v>
      </c>
      <c r="C24" s="764">
        <f>ROUND(POWER(1+G24,J24-I24)*(POWER(1+G24,I24)-1)/(POWER(1+G24,J24)-1),4)</f>
        <v>0.91320000000000001</v>
      </c>
      <c r="D24" s="2057" t="s">
        <v>2007</v>
      </c>
      <c r="E24" s="1335">
        <f>存贷款利率!E22/100</f>
        <v>4.3499999999999997E-2</v>
      </c>
      <c r="F24" s="2057" t="s">
        <v>1999</v>
      </c>
      <c r="G24" s="768">
        <f>SUMIF(M30:Q30,E2,M33:Q33)</f>
        <v>0.05</v>
      </c>
      <c r="H24" s="2057" t="s">
        <v>2008</v>
      </c>
      <c r="I24" s="769">
        <f>SUMIF('数据-取费表'!C6:C15,E2,'数据-取费表'!F6:F15)/COUNTIF('数据-取费表'!C6:C15,E2)</f>
        <v>44</v>
      </c>
      <c r="J24" s="770">
        <f>IF(E2="住宅",70,IF(E2="商业",40,50))</f>
        <v>70</v>
      </c>
      <c r="K24" s="1125"/>
      <c r="L24" s="2058" t="s">
        <v>2009</v>
      </c>
      <c r="M24" s="1329">
        <f>ROUND(SUMPRODUCT((地价!A4:A16=YEAR(G23)&amp;"-"&amp;ROUNDUP(MONTH(G23)/3,0))*(地价!B2:G2=E2)*(地价!B4:G16)),0)</f>
        <v>0</v>
      </c>
      <c r="N24" s="2059" t="s">
        <v>2010</v>
      </c>
      <c r="O24" s="2060" t="s">
        <v>2011</v>
      </c>
      <c r="P24" s="2061" t="s">
        <v>2012</v>
      </c>
      <c r="Q24" s="1994"/>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2" t="s">
        <v>366</v>
      </c>
      <c r="B25" s="2063" t="s">
        <v>3337</v>
      </c>
      <c r="C25" s="771">
        <f>IF(B25="容积率修正",IF(G3&lt;10,D26,J26),C27)</f>
        <v>1.1605000000000001</v>
      </c>
      <c r="D25" s="2064"/>
      <c r="E25" s="2064"/>
      <c r="F25" s="2064"/>
      <c r="G25" s="2064"/>
      <c r="H25" s="2064"/>
      <c r="I25" s="2064"/>
      <c r="J25" s="2065"/>
      <c r="K25" s="1125"/>
      <c r="L25" s="2784"/>
      <c r="M25" s="2784"/>
      <c r="N25" s="2066"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38"/>
      <c r="AH25" s="2138"/>
      <c r="AI25" s="2138"/>
      <c r="AJ25" s="2138"/>
    </row>
    <row r="26" spans="1:37" ht="14.25">
      <c r="A26" s="1952" t="s">
        <v>2014</v>
      </c>
      <c r="B26" s="2067" t="s">
        <v>2015</v>
      </c>
      <c r="C26" s="3341" t="s">
        <v>3259</v>
      </c>
      <c r="D26" s="1352">
        <f>IF(E26=G26,F26,IF(G3&lt;10,ROUND(F26+(H26-F26)*(G3-E26)/(G26-E26),4),"——"))</f>
        <v>1.1605000000000001</v>
      </c>
      <c r="E26" s="752">
        <f>ROUNDDOWN(G3,1)</f>
        <v>1.3</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1.1605000000000001</v>
      </c>
      <c r="G26" s="752">
        <f>ROUNDUP(G3,1)</f>
        <v>1.3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1.1605000000000001</v>
      </c>
      <c r="I26" s="3341" t="s">
        <v>3260</v>
      </c>
      <c r="J26" s="772" t="str">
        <f>IF(G3&gt;=10,D115,"——")</f>
        <v>——</v>
      </c>
      <c r="K26" s="1125"/>
      <c r="L26" s="2784"/>
      <c r="M26" s="2784"/>
      <c r="N26" s="2066" t="s">
        <v>2016</v>
      </c>
      <c r="O26" s="1173"/>
      <c r="P26" s="1174">
        <f>SUMPRODUCT((地价!A3:A40=YEAR(G23)&amp;"-"&amp;ROUNDUP(MONTH(G23)/3,0))*(地价!AD2:AH2=N26)*(地价!AD3:AH40))</f>
        <v>0</v>
      </c>
      <c r="Q26" s="1994"/>
      <c r="R26" s="1124"/>
      <c r="S26" s="1124"/>
      <c r="T26" s="1120"/>
      <c r="U26" s="1120"/>
      <c r="V26" s="1120"/>
      <c r="W26" s="1119"/>
      <c r="X26" s="1119"/>
      <c r="Y26" s="1119"/>
      <c r="Z26" s="1125"/>
      <c r="AA26" s="1125"/>
      <c r="AB26" s="1125"/>
      <c r="AC26" s="1125"/>
      <c r="AD26" s="1125"/>
      <c r="AE26" s="1120"/>
      <c r="AF26" s="1120"/>
      <c r="AG26" s="2138"/>
      <c r="AH26" s="2138"/>
      <c r="AI26" s="2138"/>
      <c r="AJ26" s="2138"/>
    </row>
    <row r="27" spans="1:37" ht="15.75" thickBot="1">
      <c r="A27" s="1952" t="s">
        <v>2017</v>
      </c>
      <c r="B27" s="2068" t="s">
        <v>2018</v>
      </c>
      <c r="C27" s="841">
        <f>ROUND(IF(I3&lt;6,SUMPRODUCT((B106:B110=I3)*(C105:N105=G2)*(C106:N110)),SUMIF(C105:N105,G2,C112:N112)),4)</f>
        <v>0</v>
      </c>
      <c r="D27" s="2043"/>
      <c r="E27" s="2043"/>
      <c r="F27" s="2069"/>
      <c r="G27" s="2070"/>
      <c r="H27" s="2071"/>
      <c r="I27" s="2072"/>
      <c r="J27" s="2073"/>
      <c r="K27" s="1119"/>
      <c r="L27" s="1994"/>
      <c r="M27" s="1994"/>
      <c r="N27" s="2066" t="s">
        <v>2019</v>
      </c>
      <c r="O27" s="1173"/>
      <c r="P27" s="1174">
        <f>SUMPRODUCT((地价!A3:A40=YEAR(G23)&amp;"-"&amp;ROUNDUP(MONTH(G23)/3,0))*(地价!AD2:AH2=N27)*(地价!AD3:AH40))</f>
        <v>0</v>
      </c>
      <c r="Q27" s="1994"/>
      <c r="R27" s="1124"/>
      <c r="S27" s="1124"/>
      <c r="T27" s="1120"/>
      <c r="U27" s="1120"/>
      <c r="V27" s="1120"/>
      <c r="W27" s="1119"/>
      <c r="X27" s="1119"/>
      <c r="Y27" s="1119"/>
      <c r="Z27" s="1125"/>
      <c r="AA27" s="1125"/>
      <c r="AB27" s="1125"/>
      <c r="AC27" s="1125"/>
      <c r="AD27" s="1125"/>
      <c r="AE27" s="1120"/>
      <c r="AF27" s="1120"/>
      <c r="AG27" s="2138"/>
      <c r="AH27" s="2138"/>
      <c r="AI27" s="2138"/>
      <c r="AJ27" s="2138"/>
    </row>
    <row r="28" spans="1:37" ht="15.75" thickBot="1">
      <c r="A28" s="2055" t="s">
        <v>367</v>
      </c>
      <c r="B28" s="2048" t="s">
        <v>2020</v>
      </c>
      <c r="C28" s="760">
        <f>SUMIF(A47:A101,E2,B47:B101)</f>
        <v>1.0343</v>
      </c>
      <c r="D28" s="2049"/>
      <c r="E28" s="2074"/>
      <c r="F28" s="2074"/>
      <c r="G28" s="2074"/>
      <c r="H28" s="2074"/>
      <c r="I28" s="2074"/>
      <c r="J28" s="2075"/>
      <c r="K28" s="1125"/>
      <c r="L28" s="2784"/>
      <c r="M28" s="2784"/>
      <c r="N28" s="2076"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8"/>
      <c r="AH28" s="2138"/>
      <c r="AI28" s="2138"/>
      <c r="AJ28" s="2138"/>
    </row>
    <row r="29" spans="1:37" ht="15.75" thickBot="1">
      <c r="A29" s="2055" t="s">
        <v>368</v>
      </c>
      <c r="B29" s="2077" t="s">
        <v>2022</v>
      </c>
      <c r="C29" s="765"/>
      <c r="D29" s="2021"/>
      <c r="E29" s="2021"/>
      <c r="F29" s="2078"/>
      <c r="G29" s="2021"/>
      <c r="H29" s="2021"/>
      <c r="I29" s="2021"/>
      <c r="J29" s="2022"/>
      <c r="K29" s="1119"/>
      <c r="L29" s="1994"/>
      <c r="M29" s="1994"/>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4"/>
      <c r="AH29" s="1994"/>
      <c r="AI29" s="1994"/>
      <c r="AJ29" s="1994"/>
    </row>
    <row r="30" spans="1:37" ht="15">
      <c r="A30" s="2079"/>
      <c r="B30" s="2067" t="s">
        <v>2024</v>
      </c>
      <c r="C30" s="2318">
        <f>IF(B25="容积率修正",E33+SUM(E37:E42),SUM(V2:V16)+SUM(E37:E42))</f>
        <v>115</v>
      </c>
      <c r="D30" s="2080"/>
      <c r="E30" s="2043"/>
      <c r="F30" s="2081"/>
      <c r="G30" s="2043"/>
      <c r="H30" s="2043"/>
      <c r="I30" s="2043"/>
      <c r="J30" s="2082"/>
      <c r="K30" s="1119"/>
      <c r="L30" s="3347" t="s">
        <v>1936</v>
      </c>
      <c r="M30" s="3348" t="s">
        <v>1990</v>
      </c>
      <c r="N30" s="3348" t="s">
        <v>1991</v>
      </c>
      <c r="O30" s="3348" t="s">
        <v>1992</v>
      </c>
      <c r="P30" s="3348" t="s">
        <v>1993</v>
      </c>
      <c r="Q30" s="3351" t="s">
        <v>3264</v>
      </c>
      <c r="R30" s="1124"/>
      <c r="S30" s="1124"/>
      <c r="T30" s="1120"/>
      <c r="U30" s="1120"/>
      <c r="V30" s="1120"/>
      <c r="W30" s="1119"/>
      <c r="X30" s="1119"/>
      <c r="Y30" s="1119"/>
      <c r="Z30" s="1125"/>
      <c r="AA30" s="1125"/>
      <c r="AB30" s="1125"/>
      <c r="AC30" s="1125"/>
      <c r="AD30" s="1125"/>
      <c r="AE30" s="1119"/>
      <c r="AF30" s="1119"/>
      <c r="AG30" s="1994"/>
      <c r="AH30" s="1994"/>
      <c r="AI30" s="1994"/>
      <c r="AJ30" s="1994"/>
    </row>
    <row r="31" spans="1:37" ht="15.75" thickBot="1">
      <c r="A31" s="2079"/>
      <c r="B31" s="2083" t="s">
        <v>2025</v>
      </c>
      <c r="C31" s="766">
        <f>E34+SUM(I37:I42)</f>
        <v>0</v>
      </c>
      <c r="D31" s="2084"/>
      <c r="E31" s="2085"/>
      <c r="F31" s="2086"/>
      <c r="G31" s="2085"/>
      <c r="H31" s="2085"/>
      <c r="I31" s="2085"/>
      <c r="J31" s="2087"/>
      <c r="K31" s="1119"/>
      <c r="L31" s="3349" t="s">
        <v>1996</v>
      </c>
      <c r="M31" s="1997">
        <v>0.25</v>
      </c>
      <c r="N31" s="1997">
        <v>0.2</v>
      </c>
      <c r="O31" s="1997">
        <v>0.15</v>
      </c>
      <c r="P31" s="1997">
        <v>0.1</v>
      </c>
      <c r="Q31" s="3344">
        <v>0.15</v>
      </c>
      <c r="R31" s="1124"/>
      <c r="S31" s="1124"/>
      <c r="T31" s="1120"/>
      <c r="U31" s="1120"/>
      <c r="V31" s="1120"/>
      <c r="W31" s="1119"/>
      <c r="X31" s="1119"/>
      <c r="Y31" s="1119"/>
      <c r="Z31" s="1125"/>
      <c r="AA31" s="1125"/>
      <c r="AB31" s="1125"/>
      <c r="AC31" s="1125"/>
      <c r="AD31" s="1125"/>
      <c r="AE31" s="1119"/>
      <c r="AF31" s="1119"/>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9"/>
      <c r="L32" s="3350" t="s">
        <v>1999</v>
      </c>
      <c r="M32" s="2566">
        <f>ROUND($E$24*(1+M31),3)</f>
        <v>5.3999999999999999E-2</v>
      </c>
      <c r="N32" s="2566">
        <f>ROUND($E$24*(1+N31),3)</f>
        <v>5.1999999999999998E-2</v>
      </c>
      <c r="O32" s="2566">
        <f>ROUND($E$24*(1+O31),3)</f>
        <v>0.05</v>
      </c>
      <c r="P32" s="2566">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4"/>
      <c r="AH32" s="1994"/>
      <c r="AI32" s="1994"/>
      <c r="AJ32" s="1994"/>
    </row>
    <row r="33" spans="1:37" ht="14.25">
      <c r="A33" s="2093"/>
      <c r="B33" s="2094" t="s">
        <v>2030</v>
      </c>
      <c r="C33" s="175">
        <f>ROUND(C5*C22*C23*C24*C25*C28,0)</f>
        <v>12781</v>
      </c>
      <c r="D33" s="2095">
        <f>'数据-汇总表'!F19</f>
        <v>90.08</v>
      </c>
      <c r="E33" s="773">
        <f>ROUND(C33*D33/10000,0)</f>
        <v>115</v>
      </c>
      <c r="F33" s="3342" t="s">
        <v>3262</v>
      </c>
      <c r="G33" s="2096"/>
      <c r="H33" s="2096"/>
      <c r="I33" s="2096"/>
      <c r="J33" s="2097"/>
      <c r="K33" s="1119"/>
      <c r="L33" s="3345" t="s">
        <v>3265</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38"/>
      <c r="AH33" s="2138"/>
      <c r="AI33" s="2138"/>
      <c r="AJ33" s="2138"/>
    </row>
    <row r="34" spans="1:37" ht="25.5" thickBot="1">
      <c r="A34" s="2098"/>
      <c r="B34" s="2099" t="s">
        <v>2031</v>
      </c>
      <c r="C34" s="187">
        <f>ROUND(IF(E2="工业",C33*M42,IF(B25="楼层修正",SUM(V2:V16)*M41*10000/D34,C33*M41)),0)</f>
        <v>3195</v>
      </c>
      <c r="D34" s="2100"/>
      <c r="E34" s="773">
        <f>ROUND(IF(B25="楼层修正",SUM(V2:V16)*M40,C34*D34/10000),0)</f>
        <v>0</v>
      </c>
      <c r="F34" s="2101" t="s">
        <v>2032</v>
      </c>
      <c r="G34" s="2102"/>
      <c r="H34" s="2102"/>
      <c r="I34" s="2102"/>
      <c r="J34" s="2103"/>
      <c r="K34" s="1119"/>
      <c r="L34" s="3345" t="s">
        <v>3266</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38"/>
      <c r="AH34" s="2138"/>
      <c r="AI34" s="2138"/>
      <c r="AJ34" s="2138"/>
    </row>
    <row r="35" spans="1:37">
      <c r="A35" s="2104"/>
      <c r="B35" s="2105" t="s">
        <v>2033</v>
      </c>
      <c r="C35" s="3343" t="s">
        <v>3263</v>
      </c>
      <c r="D35" s="2034"/>
      <c r="E35" s="2106"/>
      <c r="F35" s="2106"/>
      <c r="G35" s="2032" t="s">
        <v>2034</v>
      </c>
      <c r="H35" s="2034"/>
      <c r="I35" s="2107"/>
      <c r="J35" s="2035"/>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3" t="s">
        <v>3267</v>
      </c>
      <c r="L36" s="3443">
        <f ca="1">'数据-取费表'!B40</f>
        <v>4.7500000000000001E-2</v>
      </c>
      <c r="M36" s="3354">
        <f ca="1">ROUND($L$36*(1+M31),3)</f>
        <v>5.8999999999999997E-2</v>
      </c>
      <c r="N36" s="3354">
        <f ca="1">ROUND($L$36*(1+N31),3)</f>
        <v>5.7000000000000002E-2</v>
      </c>
      <c r="O36" s="3354">
        <f ca="1">ROUND($L$36*(1+O31),3)</f>
        <v>5.5E-2</v>
      </c>
      <c r="P36" s="3354">
        <f ca="1">ROUND($L$36*(1+P31),3)</f>
        <v>5.1999999999999998E-2</v>
      </c>
      <c r="Q36" s="3354">
        <f ca="1">ROUND($L$36*(1+Q31),3)</f>
        <v>5.5E-2</v>
      </c>
      <c r="R36" s="1119"/>
      <c r="S36" s="1119"/>
      <c r="T36" s="1119"/>
      <c r="U36" s="1119"/>
      <c r="V36" s="1119"/>
      <c r="W36" s="1119"/>
      <c r="X36" s="1119"/>
      <c r="Y36" s="1119"/>
      <c r="Z36" s="1120"/>
      <c r="AA36" s="1120"/>
      <c r="AB36" s="1120"/>
      <c r="AC36" s="1120"/>
      <c r="AD36" s="1120"/>
      <c r="AE36" s="1120"/>
      <c r="AF36" s="1120"/>
      <c r="AG36" s="2138"/>
      <c r="AH36" s="2138"/>
      <c r="AI36" s="2138"/>
      <c r="AJ36" s="2138"/>
    </row>
    <row r="37" spans="1:37" ht="24.75" thickBot="1">
      <c r="A37" s="3773"/>
      <c r="B37" s="2110" t="s">
        <v>2036</v>
      </c>
      <c r="C37" s="175">
        <f>ROUND(D5*C22*C23*C24*C28*F37,0)</f>
        <v>6608</v>
      </c>
      <c r="D37" s="2095"/>
      <c r="E37" s="171">
        <f>ROUND(C37*D37/10000,0)</f>
        <v>0</v>
      </c>
      <c r="F37" s="171">
        <f>SUMIF(修正!A57:A68,G2,修正!B57:B68)</f>
        <v>0.6</v>
      </c>
      <c r="G37" s="171">
        <f>ROUND(IF(E2="工业",C37*$M$42,C37*$M$41),0)</f>
        <v>1652</v>
      </c>
      <c r="H37" s="171">
        <f>D37</f>
        <v>0</v>
      </c>
      <c r="I37" s="171">
        <f>ROUND(G37*H37/10000,0)</f>
        <v>0</v>
      </c>
      <c r="J37" s="3008"/>
      <c r="K37" s="3355" t="s">
        <v>3268</v>
      </c>
      <c r="L37" s="3353">
        <f ca="1">L36+K38</f>
        <v>5.2499999999999998E-2</v>
      </c>
      <c r="M37" s="3354">
        <f ca="1">ROUND($L$37*(1+M31),3)</f>
        <v>6.6000000000000003E-2</v>
      </c>
      <c r="N37" s="3354">
        <f t="shared" ref="N37:Q37" ca="1" si="3">ROUND($L$37*(1+N31),3)</f>
        <v>6.3E-2</v>
      </c>
      <c r="O37" s="3354">
        <f t="shared" ca="1" si="3"/>
        <v>0.06</v>
      </c>
      <c r="P37" s="3354">
        <f t="shared" ca="1" si="3"/>
        <v>5.8000000000000003E-2</v>
      </c>
      <c r="Q37" s="3354">
        <f t="shared" ca="1" si="3"/>
        <v>0.06</v>
      </c>
      <c r="R37" s="1119"/>
      <c r="S37" s="1119"/>
      <c r="T37" s="1119"/>
      <c r="U37" s="1119"/>
      <c r="V37" s="1119"/>
      <c r="W37" s="1119"/>
      <c r="X37" s="1119"/>
      <c r="Y37" s="1119"/>
      <c r="Z37" s="1120"/>
      <c r="AA37" s="1120"/>
      <c r="AB37" s="1120"/>
      <c r="AC37" s="1120"/>
      <c r="AD37" s="1120"/>
      <c r="AE37" s="1120"/>
      <c r="AF37" s="1120"/>
      <c r="AG37" s="2138"/>
      <c r="AH37" s="2138"/>
      <c r="AI37" s="2138"/>
      <c r="AJ37" s="2138"/>
    </row>
    <row r="38" spans="1:37">
      <c r="A38" s="3774"/>
      <c r="B38" s="2038" t="s">
        <v>2037</v>
      </c>
      <c r="C38" s="175">
        <f>ROUND(D5*C22*C23*C24*C28*F38,0)</f>
        <v>3304</v>
      </c>
      <c r="D38" s="2095"/>
      <c r="E38" s="171">
        <f t="shared" ref="E38:E42" si="4">ROUND(C38*D38/10000,0)</f>
        <v>0</v>
      </c>
      <c r="F38" s="171">
        <f>SUMIF(修正!A57:A68,G2,修正!C57:C68)</f>
        <v>0.3</v>
      </c>
      <c r="G38" s="171">
        <f>ROUND(IF(E2="工业",C38*$M$42,C38*$M$41),0)</f>
        <v>826</v>
      </c>
      <c r="H38" s="171">
        <f t="shared" ref="H38:H42" si="5">D38</f>
        <v>0</v>
      </c>
      <c r="I38" s="171">
        <f t="shared" ref="I38:I42" si="6">ROUND(G38*H38/10000,0)</f>
        <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74"/>
      <c r="B39" s="2038" t="s">
        <v>3261</v>
      </c>
      <c r="C39" s="175">
        <f>ROUND(D5*C22*C23*C24*C28*F39,0)</f>
        <v>2753</v>
      </c>
      <c r="D39" s="2095"/>
      <c r="E39" s="171">
        <f t="shared" si="4"/>
        <v>0</v>
      </c>
      <c r="F39" s="171">
        <f>SUMIF(修正!A57:A68,G2,修正!D57:D68)</f>
        <v>0.25</v>
      </c>
      <c r="G39" s="171">
        <f>ROUND(IF(E2="工业",C39*$M$42,C39*$M$41),0)</f>
        <v>688</v>
      </c>
      <c r="H39" s="171">
        <f t="shared" si="5"/>
        <v>0</v>
      </c>
      <c r="I39" s="171">
        <f t="shared" si="6"/>
        <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2"/>
      <c r="B40" s="2038" t="s">
        <v>2038</v>
      </c>
      <c r="C40" s="171">
        <f>ROUND(D5*C22*C23*C24*C28*F40,0)</f>
        <v>2753</v>
      </c>
      <c r="D40" s="2095"/>
      <c r="E40" s="171">
        <f t="shared" si="4"/>
        <v>0</v>
      </c>
      <c r="F40" s="175">
        <f>SUMIF(修正!A57:A68,G2,修正!E57:E68)</f>
        <v>0.25</v>
      </c>
      <c r="G40" s="171">
        <f>ROUND(IF(E2="工业",C40*$M$42,C40*$M$41),0)</f>
        <v>688</v>
      </c>
      <c r="H40" s="171">
        <f t="shared" si="5"/>
        <v>0</v>
      </c>
      <c r="I40" s="171">
        <f t="shared" si="6"/>
        <v>0</v>
      </c>
      <c r="J40" s="2111"/>
      <c r="L40" s="2113" t="s">
        <v>2039</v>
      </c>
      <c r="M40" s="2114"/>
      <c r="Z40" s="1120"/>
      <c r="AA40" s="1120"/>
      <c r="AB40" s="1120"/>
      <c r="AC40" s="1120"/>
      <c r="AD40" s="1120"/>
      <c r="AE40" s="1120"/>
      <c r="AF40" s="1120"/>
      <c r="AG40" s="1120"/>
      <c r="AH40" s="1120"/>
      <c r="AI40" s="1120"/>
      <c r="AJ40" s="1120"/>
    </row>
    <row r="41" spans="1:37" s="1119" customFormat="1">
      <c r="A41" s="2112"/>
      <c r="B41" s="2038" t="s">
        <v>2040</v>
      </c>
      <c r="C41" s="171">
        <f>ROUND(D5*C22*C23*C44*C28*F41,0)</f>
        <v>0</v>
      </c>
      <c r="D41" s="2095"/>
      <c r="E41" s="171">
        <f t="shared" si="4"/>
        <v>0</v>
      </c>
      <c r="F41" s="175">
        <f>SUMIF(修正!A57:A68,G2,修正!F57:F68)</f>
        <v>0.25</v>
      </c>
      <c r="G41" s="171">
        <f>ROUND(IF(E2="工业",C41*$M$42,C41*$M$41),0)</f>
        <v>0</v>
      </c>
      <c r="H41" s="171">
        <f t="shared" si="5"/>
        <v>0</v>
      </c>
      <c r="I41" s="171">
        <f t="shared" si="6"/>
        <v>0</v>
      </c>
      <c r="J41" s="2111"/>
      <c r="L41" s="3356" t="s">
        <v>3269</v>
      </c>
      <c r="M41" s="2115">
        <v>0.25</v>
      </c>
      <c r="Z41" s="1120"/>
      <c r="AA41" s="1120"/>
      <c r="AB41" s="1120"/>
      <c r="AC41" s="1120"/>
      <c r="AD41" s="1120"/>
      <c r="AE41" s="1120"/>
      <c r="AF41" s="1120"/>
      <c r="AG41" s="1120"/>
      <c r="AH41" s="1120"/>
      <c r="AI41" s="1120"/>
      <c r="AJ41" s="1120"/>
    </row>
    <row r="42" spans="1:37" s="1119" customFormat="1" ht="13.5" thickBot="1">
      <c r="A42" s="2098"/>
      <c r="B42" s="2116" t="s">
        <v>2041</v>
      </c>
      <c r="C42" s="187">
        <f>ROUND(D5*C22*C23*C44*C28*F42,0)</f>
        <v>0</v>
      </c>
      <c r="D42" s="2100"/>
      <c r="E42" s="187">
        <f t="shared" si="4"/>
        <v>0</v>
      </c>
      <c r="F42" s="767">
        <f>SUMIF(修正!A57:A68,G2,修正!G57:G68)</f>
        <v>0.15</v>
      </c>
      <c r="G42" s="187">
        <f>ROUND(IF(E2="工业",C42*$M$42,C42*$M$41),0)</f>
        <v>0</v>
      </c>
      <c r="H42" s="187">
        <f t="shared" si="5"/>
        <v>0</v>
      </c>
      <c r="I42" s="187">
        <f t="shared" si="6"/>
        <v>0</v>
      </c>
      <c r="J42" s="2117"/>
      <c r="L42" s="2118" t="s">
        <v>1993</v>
      </c>
      <c r="M42" s="2119">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1" t="s">
        <v>2122</v>
      </c>
      <c r="C44" s="342">
        <f>ROUND(POWER(1+E44,H44-G44)*(POWER(1+E44,G44)-1)/(POWER(1+E44,H44)-1),4)</f>
        <v>0</v>
      </c>
      <c r="D44" s="171" t="s">
        <v>1999</v>
      </c>
      <c r="E44" s="2150">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0"/>
      <c r="Z45" s="1120"/>
      <c r="AA45" s="1120"/>
      <c r="AB45" s="1120"/>
      <c r="AC45" s="1120"/>
      <c r="AD45" s="1120"/>
      <c r="AE45" s="1120"/>
      <c r="AF45" s="1120"/>
      <c r="AG45" s="1120"/>
      <c r="AH45" s="1120"/>
      <c r="AI45" s="1120"/>
      <c r="AJ45" s="1120"/>
    </row>
    <row r="46" spans="1:37" s="1119" customFormat="1">
      <c r="A46" s="1120"/>
      <c r="B46" s="2120"/>
      <c r="AA46" s="1120"/>
      <c r="AB46" s="1120"/>
      <c r="AC46" s="1120"/>
      <c r="AD46" s="1120"/>
      <c r="AE46" s="1120"/>
      <c r="AF46" s="1120"/>
      <c r="AG46" s="1120"/>
      <c r="AH46" s="1120"/>
      <c r="AI46" s="1120"/>
      <c r="AJ46" s="1120"/>
      <c r="AK46" s="1120"/>
    </row>
    <row r="47" spans="1:37" s="1119" customFormat="1" ht="15.75" thickBot="1">
      <c r="A47" s="2121" t="s">
        <v>2042</v>
      </c>
      <c r="B47" s="2122"/>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3" t="s">
        <v>2043</v>
      </c>
      <c r="B48" s="2124">
        <f>1+E50</f>
        <v>1</v>
      </c>
      <c r="C48" s="2125"/>
      <c r="D48" s="741"/>
      <c r="E48" s="742"/>
      <c r="F48" s="2126"/>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27" t="s">
        <v>2044</v>
      </c>
      <c r="B49" s="1351" t="s">
        <v>2045</v>
      </c>
      <c r="C49" s="1351" t="s">
        <v>2046</v>
      </c>
      <c r="D49" s="1351" t="s">
        <v>2047</v>
      </c>
      <c r="E49" s="743" t="s">
        <v>2048</v>
      </c>
      <c r="F49" s="2128" t="s">
        <v>2049</v>
      </c>
      <c r="G49" s="1351" t="s">
        <v>310</v>
      </c>
      <c r="H49" s="2129"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27" t="s">
        <v>2052</v>
      </c>
      <c r="B50" s="2130" t="str">
        <f>估价对象房地状况!C4</f>
        <v>估价对象位于XX商圈，周边商业氛围成熟，人流量大，商业繁华度好</v>
      </c>
      <c r="C50" s="2041"/>
      <c r="D50" s="1065">
        <f t="shared" ref="D50:D58" si="7">SUMIF($J$49:$N$49,C50,J50:N50)</f>
        <v>0</v>
      </c>
      <c r="E50" s="744">
        <f>ROUND(SUM(D50:D58),4)</f>
        <v>0</v>
      </c>
      <c r="F50" s="1814"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63.75" hidden="1">
      <c r="A51" s="2127" t="s">
        <v>2053</v>
      </c>
      <c r="B51" s="2131" t="str">
        <f>估价对象房地状况!C18</f>
        <v>周边有F2、F13、F36、F41、616、833路等多条公交线路经过并设站，距离地铁房山线良乡南关约2公里，交通较便捷。</v>
      </c>
      <c r="C51" s="2041"/>
      <c r="D51" s="1065">
        <f t="shared" si="7"/>
        <v>0</v>
      </c>
      <c r="E51" s="745"/>
      <c r="F51" s="1814"/>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5" t="s">
        <v>3271</v>
      </c>
      <c r="B52" s="2131">
        <f>估价对象房地状况!C19</f>
        <v>0</v>
      </c>
      <c r="C52" s="2041"/>
      <c r="D52" s="1065">
        <f t="shared" si="7"/>
        <v>0</v>
      </c>
      <c r="E52" s="745"/>
      <c r="F52" s="1814"/>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7" t="s">
        <v>2054</v>
      </c>
      <c r="B53" s="2132" t="s">
        <v>2055</v>
      </c>
      <c r="C53" s="2041"/>
      <c r="D53" s="1065">
        <f t="shared" si="7"/>
        <v>0</v>
      </c>
      <c r="E53" s="745"/>
      <c r="F53" s="1814"/>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7" t="s">
        <v>2056</v>
      </c>
      <c r="B54" s="2131">
        <f>估价对象房地状况!C24</f>
        <v>0</v>
      </c>
      <c r="C54" s="2041"/>
      <c r="D54" s="1065">
        <f t="shared" si="7"/>
        <v>0</v>
      </c>
      <c r="E54" s="745"/>
      <c r="F54" s="1814"/>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7" t="s">
        <v>2057</v>
      </c>
      <c r="B55" s="2133" t="s">
        <v>2058</v>
      </c>
      <c r="C55" s="2041"/>
      <c r="D55" s="1065">
        <f t="shared" si="7"/>
        <v>0</v>
      </c>
      <c r="E55" s="745"/>
      <c r="F55" s="1814"/>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127.5" hidden="1">
      <c r="A56" s="2134" t="s">
        <v>2059</v>
      </c>
      <c r="B56" s="1326" t="str">
        <f>估价对象房地状况!C21</f>
        <v>周边有华冠购物中心、龙湖房山天街、永辉超市等商业项目；有中国建设银行、中国工商银行、北京农商银行等金融机构；有房山区妇幼保健院、北京仁德医院、良乡医院等医疗机构，有良乡第二中学、良乡第三小学、北师大良乡附中、良乡幼儿园等教育机构；公共配套设施齐备度较好</v>
      </c>
      <c r="C56" s="2041"/>
      <c r="D56" s="1065">
        <f t="shared" si="7"/>
        <v>0</v>
      </c>
      <c r="E56" s="745"/>
      <c r="F56" s="1814"/>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4" t="s">
        <v>2060</v>
      </c>
      <c r="B57" s="2131" t="str">
        <f>估价对象房地状况!C22</f>
        <v>估价对象所在区域基础设施水平</v>
      </c>
      <c r="C57" s="2041"/>
      <c r="D57" s="1065">
        <f t="shared" si="7"/>
        <v>0</v>
      </c>
      <c r="E57" s="745"/>
      <c r="F57" s="1814"/>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51.75" hidden="1" thickBot="1">
      <c r="A58" s="2135" t="s">
        <v>2061</v>
      </c>
      <c r="B58" s="2136" t="str">
        <f>估价对象房地状况!C20</f>
        <v>估价对象周边有刺猬河、北潞园健身公园、房山区良乡体育中心等自然人文景观，总体自然人文环境较好。</v>
      </c>
      <c r="C58" s="2041"/>
      <c r="D58" s="1065">
        <f t="shared" si="7"/>
        <v>0</v>
      </c>
      <c r="E58" s="746"/>
      <c r="F58" s="1814"/>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3" t="s">
        <v>2062</v>
      </c>
      <c r="B59" s="2124">
        <f>1+E61</f>
        <v>1</v>
      </c>
      <c r="C59" s="741"/>
      <c r="D59" s="741"/>
      <c r="E59" s="742"/>
      <c r="F59" s="2126"/>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7" t="s">
        <v>2044</v>
      </c>
      <c r="B60" s="1351"/>
      <c r="C60" s="1351" t="s">
        <v>2046</v>
      </c>
      <c r="D60" s="1351" t="s">
        <v>2047</v>
      </c>
      <c r="E60" s="743" t="s">
        <v>2048</v>
      </c>
      <c r="F60" s="2128" t="s">
        <v>2063</v>
      </c>
      <c r="G60" s="1351" t="s">
        <v>310</v>
      </c>
      <c r="H60" s="2129"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27" t="s">
        <v>2064</v>
      </c>
      <c r="B61" s="2130" t="str">
        <f>估价对象房地状况!C17</f>
        <v>估价对象位于XX商圈，周边办公楼项目较多，入驻率高，办公集聚程度较好</v>
      </c>
      <c r="C61" s="2041"/>
      <c r="D61" s="1065">
        <f t="shared" ref="D61:D69" si="12">SUMIF($J$60:$N$60,C61,J61:N61)</f>
        <v>0</v>
      </c>
      <c r="E61" s="744">
        <f>ROUND(SUM(D61:D69),4)</f>
        <v>0</v>
      </c>
      <c r="F61" s="1814"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63.75" hidden="1">
      <c r="A62" s="2127" t="s">
        <v>2053</v>
      </c>
      <c r="B62" s="2131" t="str">
        <f>估价对象房地状况!C18</f>
        <v>周边有F2、F13、F36、F41、616、833路等多条公交线路经过并设站，距离地铁房山线良乡南关约2公里，交通较便捷。</v>
      </c>
      <c r="C62" s="2041"/>
      <c r="D62" s="1065">
        <f t="shared" si="12"/>
        <v>0</v>
      </c>
      <c r="E62" s="745"/>
      <c r="F62" s="1814"/>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5" t="s">
        <v>3271</v>
      </c>
      <c r="B63" s="2131">
        <f>估价对象房地状况!C19</f>
        <v>0</v>
      </c>
      <c r="C63" s="2041"/>
      <c r="D63" s="1065">
        <f t="shared" si="12"/>
        <v>0</v>
      </c>
      <c r="E63" s="745"/>
      <c r="F63" s="1814"/>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7" t="s">
        <v>2054</v>
      </c>
      <c r="B64" s="2132" t="s">
        <v>2055</v>
      </c>
      <c r="C64" s="2041"/>
      <c r="D64" s="1065">
        <f t="shared" si="12"/>
        <v>0</v>
      </c>
      <c r="E64" s="745"/>
      <c r="F64" s="1814"/>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7" t="s">
        <v>2056</v>
      </c>
      <c r="B65" s="2131">
        <f>估价对象房地状况!C24</f>
        <v>0</v>
      </c>
      <c r="C65" s="2041"/>
      <c r="D65" s="1065">
        <f t="shared" si="12"/>
        <v>0</v>
      </c>
      <c r="E65" s="745"/>
      <c r="F65" s="1814"/>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7" t="s">
        <v>2057</v>
      </c>
      <c r="B66" s="2133" t="s">
        <v>2058</v>
      </c>
      <c r="C66" s="2041"/>
      <c r="D66" s="1065">
        <f t="shared" si="12"/>
        <v>0</v>
      </c>
      <c r="E66" s="745"/>
      <c r="F66" s="1814"/>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127.5" hidden="1">
      <c r="A67" s="2127" t="s">
        <v>2059</v>
      </c>
      <c r="B67" s="1326" t="str">
        <f>估价对象房地状况!C21</f>
        <v>周边有华冠购物中心、龙湖房山天街、永辉超市等商业项目；有中国建设银行、中国工商银行、北京农商银行等金融机构；有房山区妇幼保健院、北京仁德医院、良乡医院等医疗机构，有良乡第二中学、良乡第三小学、北师大良乡附中、良乡幼儿园等教育机构；公共配套设施齐备度较好</v>
      </c>
      <c r="C67" s="2041"/>
      <c r="D67" s="1065">
        <f t="shared" si="12"/>
        <v>0</v>
      </c>
      <c r="E67" s="745"/>
      <c r="F67" s="1814"/>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27" t="s">
        <v>2060</v>
      </c>
      <c r="B68" s="1326" t="str">
        <f>估价对象房地状况!C22</f>
        <v>估价对象所在区域基础设施水平</v>
      </c>
      <c r="C68" s="2041"/>
      <c r="D68" s="1065">
        <f t="shared" si="12"/>
        <v>0</v>
      </c>
      <c r="E68" s="745"/>
      <c r="F68" s="1814"/>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51.75" hidden="1" thickBot="1">
      <c r="A69" s="2135" t="s">
        <v>2061</v>
      </c>
      <c r="B69" s="2137" t="str">
        <f>估价对象房地状况!C20</f>
        <v>估价对象周边有刺猬河、北潞园健身公园、房山区良乡体育中心等自然人文景观，总体自然人文环境较好。</v>
      </c>
      <c r="C69" s="2041"/>
      <c r="D69" s="1065">
        <f t="shared" si="12"/>
        <v>0</v>
      </c>
      <c r="E69" s="746"/>
      <c r="F69" s="1814"/>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3" t="s">
        <v>2065</v>
      </c>
      <c r="B70" s="2124">
        <f>1+E72</f>
        <v>1.0343</v>
      </c>
      <c r="C70" s="741"/>
      <c r="D70" s="741"/>
      <c r="E70" s="742"/>
      <c r="F70" s="2126"/>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7" t="s">
        <v>2044</v>
      </c>
      <c r="B71" s="1351"/>
      <c r="C71" s="1351" t="s">
        <v>2046</v>
      </c>
      <c r="D71" s="1351" t="s">
        <v>2047</v>
      </c>
      <c r="E71" s="743" t="s">
        <v>2048</v>
      </c>
      <c r="F71" s="2128" t="s">
        <v>2063</v>
      </c>
      <c r="G71" s="1351" t="s">
        <v>310</v>
      </c>
      <c r="H71" s="2129"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38.25">
      <c r="A72" s="2127" t="s">
        <v>2066</v>
      </c>
      <c r="B72" s="2130" t="str">
        <f>估价对象房地状况!C15</f>
        <v>周边有西潞园小区、北潞园小区、拱辰星园等住宅项目，住宅社区成熟度一般。</v>
      </c>
      <c r="C72" s="2041" t="s">
        <v>3401</v>
      </c>
      <c r="D72" s="1065">
        <f t="shared" ref="D72:D80" si="17">SUMIF($J$71:$N$71,C72,J72:N72)</f>
        <v>0</v>
      </c>
      <c r="E72" s="744">
        <f>ROUND(SUM(D72:D80),4)</f>
        <v>3.4299999999999997E-2</v>
      </c>
      <c r="F72" s="1814">
        <f>IF(E2="住宅",SUMIF(L1:L12,G2,N1:N12),"——")</f>
        <v>0.13</v>
      </c>
      <c r="G72" s="1063">
        <v>1.2999999999999999E-2</v>
      </c>
      <c r="H72" s="1066">
        <f t="shared" ref="H72:H80" si="18">IFERROR(ROUNDDOWN($F$72*I72/2,4),"——")</f>
        <v>1.2999999999999999E-2</v>
      </c>
      <c r="I72" s="3363">
        <v>0.2</v>
      </c>
      <c r="J72" s="1064">
        <f t="shared" ref="J72:J80" si="19">K72+$G72</f>
        <v>2.5999999999999999E-2</v>
      </c>
      <c r="K72" s="1064">
        <f t="shared" ref="K72:K80" si="20">$L72+$G72</f>
        <v>1.2999999999999999E-2</v>
      </c>
      <c r="L72" s="1064">
        <v>0</v>
      </c>
      <c r="M72" s="1064">
        <f t="shared" ref="M72:N80" si="21">L72-$G72</f>
        <v>-1.2999999999999999E-2</v>
      </c>
      <c r="N72" s="1064">
        <f t="shared" si="21"/>
        <v>-2.5999999999999999E-2</v>
      </c>
      <c r="AA72" s="1120"/>
      <c r="AB72" s="1120"/>
      <c r="AC72" s="1120"/>
      <c r="AD72" s="1120"/>
      <c r="AE72" s="1120"/>
      <c r="AF72" s="1120"/>
      <c r="AG72" s="1120"/>
      <c r="AH72" s="1120"/>
      <c r="AI72" s="1120"/>
      <c r="AJ72" s="1120"/>
      <c r="AK72" s="1120"/>
    </row>
    <row r="73" spans="1:37" s="1119" customFormat="1" ht="63.75">
      <c r="A73" s="2127" t="s">
        <v>2053</v>
      </c>
      <c r="B73" s="2131" t="str">
        <f>估价对象房地状况!C18</f>
        <v>周边有F2、F13、F36、F41、616、833路等多条公交线路经过并设站，距离地铁房山线良乡南关约2公里，交通较便捷。</v>
      </c>
      <c r="C73" s="3468" t="s">
        <v>3401</v>
      </c>
      <c r="D73" s="1065">
        <f t="shared" si="17"/>
        <v>0</v>
      </c>
      <c r="E73" s="747"/>
      <c r="F73" s="1814"/>
      <c r="G73" s="1063">
        <v>1.6899999999999998E-2</v>
      </c>
      <c r="H73" s="1066">
        <f t="shared" si="18"/>
        <v>1.6899999999999998E-2</v>
      </c>
      <c r="I73" s="3363">
        <v>0.26</v>
      </c>
      <c r="J73" s="1064">
        <f t="shared" si="19"/>
        <v>3.3799999999999997E-2</v>
      </c>
      <c r="K73" s="1064">
        <f t="shared" si="20"/>
        <v>1.6899999999999998E-2</v>
      </c>
      <c r="L73" s="1064">
        <v>0</v>
      </c>
      <c r="M73" s="1064">
        <f t="shared" si="21"/>
        <v>-1.6899999999999998E-2</v>
      </c>
      <c r="N73" s="1064">
        <f t="shared" si="21"/>
        <v>-3.3799999999999997E-2</v>
      </c>
      <c r="AA73" s="1120"/>
      <c r="AB73" s="1120"/>
      <c r="AC73" s="1120"/>
      <c r="AD73" s="1120"/>
      <c r="AE73" s="1120"/>
      <c r="AF73" s="1120"/>
      <c r="AG73" s="1120"/>
      <c r="AH73" s="1120"/>
      <c r="AI73" s="1120"/>
      <c r="AJ73" s="1120"/>
      <c r="AK73" s="1120"/>
    </row>
    <row r="74" spans="1:37" s="1994" customFormat="1" ht="36">
      <c r="A74" s="3365" t="s">
        <v>3271</v>
      </c>
      <c r="B74" s="2131">
        <f>估价对象房地状况!C19</f>
        <v>0</v>
      </c>
      <c r="C74" s="2041" t="s">
        <v>3400</v>
      </c>
      <c r="D74" s="1065">
        <f t="shared" si="17"/>
        <v>6.4999999999999997E-3</v>
      </c>
      <c r="E74" s="747"/>
      <c r="F74" s="1814"/>
      <c r="G74" s="1063">
        <v>6.4999999999999997E-3</v>
      </c>
      <c r="H74" s="1066">
        <f t="shared" si="18"/>
        <v>6.4999999999999997E-3</v>
      </c>
      <c r="I74" s="3363">
        <v>0.1</v>
      </c>
      <c r="J74" s="1064">
        <f t="shared" si="19"/>
        <v>1.2999999999999999E-2</v>
      </c>
      <c r="K74" s="1064">
        <f t="shared" si="20"/>
        <v>6.4999999999999997E-3</v>
      </c>
      <c r="L74" s="1064">
        <v>0</v>
      </c>
      <c r="M74" s="1064">
        <f t="shared" si="21"/>
        <v>-6.4999999999999997E-3</v>
      </c>
      <c r="N74" s="1064">
        <f t="shared" si="21"/>
        <v>-1.2999999999999999E-2</v>
      </c>
      <c r="O74" s="1119"/>
      <c r="P74" s="1119"/>
      <c r="Q74" s="1119"/>
      <c r="AA74" s="2138"/>
      <c r="AB74" s="1120"/>
      <c r="AC74" s="1120"/>
      <c r="AD74" s="1120"/>
      <c r="AE74" s="1120"/>
      <c r="AF74" s="1120"/>
      <c r="AG74" s="1120"/>
      <c r="AH74" s="2138"/>
      <c r="AI74" s="2138"/>
      <c r="AJ74" s="2138"/>
      <c r="AK74" s="2138"/>
    </row>
    <row r="75" spans="1:37" ht="14.25">
      <c r="A75" s="2127" t="s">
        <v>2067</v>
      </c>
      <c r="B75" s="2131">
        <f>估价对象房地状况!C24</f>
        <v>0</v>
      </c>
      <c r="C75" s="2041" t="s">
        <v>3401</v>
      </c>
      <c r="D75" s="1065">
        <f t="shared" si="17"/>
        <v>0</v>
      </c>
      <c r="E75" s="747"/>
      <c r="F75" s="1814"/>
      <c r="G75" s="1063">
        <v>3.2000000000000002E-3</v>
      </c>
      <c r="H75" s="1066">
        <f t="shared" si="18"/>
        <v>3.2000000000000002E-3</v>
      </c>
      <c r="I75" s="3363">
        <v>0.05</v>
      </c>
      <c r="J75" s="1064">
        <f t="shared" si="19"/>
        <v>6.4000000000000003E-3</v>
      </c>
      <c r="K75" s="1064">
        <f t="shared" si="20"/>
        <v>3.2000000000000002E-3</v>
      </c>
      <c r="L75" s="1064">
        <v>0</v>
      </c>
      <c r="M75" s="1064">
        <f t="shared" si="21"/>
        <v>-3.2000000000000002E-3</v>
      </c>
      <c r="N75" s="1064">
        <f t="shared" si="21"/>
        <v>-6.4000000000000003E-3</v>
      </c>
      <c r="O75" s="1119"/>
      <c r="P75" s="1119"/>
      <c r="Q75" s="1994"/>
      <c r="Z75" s="1995"/>
      <c r="AA75" s="2050"/>
      <c r="AG75" s="1121"/>
      <c r="AK75" s="2050"/>
    </row>
    <row r="76" spans="1:37" ht="127.5">
      <c r="A76" s="2127" t="s">
        <v>2059</v>
      </c>
      <c r="B76" s="1326" t="str">
        <f>估价对象房地状况!C21</f>
        <v>周边有华冠购物中心、龙湖房山天街、永辉超市等商业项目；有中国建设银行、中国工商银行、北京农商银行等金融机构；有房山区妇幼保健院、北京仁德医院、良乡医院等医疗机构，有良乡第二中学、良乡第三小学、北师大良乡附中、良乡幼儿园等教育机构；公共配套设施齐备度较好</v>
      </c>
      <c r="C76" s="2041" t="s">
        <v>3400</v>
      </c>
      <c r="D76" s="1065">
        <f t="shared" si="17"/>
        <v>5.1999999999999998E-3</v>
      </c>
      <c r="E76" s="747"/>
      <c r="F76" s="1814"/>
      <c r="G76" s="1063">
        <v>5.1999999999999998E-3</v>
      </c>
      <c r="H76" s="1066">
        <f t="shared" si="18"/>
        <v>5.1999999999999998E-3</v>
      </c>
      <c r="I76" s="3363">
        <v>0.08</v>
      </c>
      <c r="J76" s="1064">
        <f t="shared" si="19"/>
        <v>1.04E-2</v>
      </c>
      <c r="K76" s="1064">
        <f t="shared" si="20"/>
        <v>5.1999999999999998E-3</v>
      </c>
      <c r="L76" s="1064">
        <v>0</v>
      </c>
      <c r="M76" s="1064">
        <f t="shared" si="21"/>
        <v>-5.1999999999999998E-3</v>
      </c>
      <c r="N76" s="1064">
        <f t="shared" si="21"/>
        <v>-1.04E-2</v>
      </c>
      <c r="O76" s="1119"/>
      <c r="P76" s="1119"/>
      <c r="Z76" s="1995"/>
      <c r="AA76" s="2050"/>
      <c r="AG76" s="1121"/>
      <c r="AK76" s="2050"/>
    </row>
    <row r="77" spans="1:37" ht="25.5">
      <c r="A77" s="2127" t="s">
        <v>2060</v>
      </c>
      <c r="B77" s="1326" t="str">
        <f>估价对象房地状况!C22</f>
        <v>估价对象所在区域基础设施水平</v>
      </c>
      <c r="C77" s="2041" t="s">
        <v>3402</v>
      </c>
      <c r="D77" s="1065">
        <f t="shared" si="17"/>
        <v>1.1599999999999999E-2</v>
      </c>
      <c r="E77" s="747"/>
      <c r="F77" s="1814"/>
      <c r="G77" s="1063">
        <v>5.7999999999999996E-3</v>
      </c>
      <c r="H77" s="1066">
        <f t="shared" si="18"/>
        <v>5.7999999999999996E-3</v>
      </c>
      <c r="I77" s="3363">
        <v>0.09</v>
      </c>
      <c r="J77" s="1064">
        <f t="shared" si="19"/>
        <v>1.1599999999999999E-2</v>
      </c>
      <c r="K77" s="1064">
        <f t="shared" si="20"/>
        <v>5.7999999999999996E-3</v>
      </c>
      <c r="L77" s="1064">
        <v>0</v>
      </c>
      <c r="M77" s="1064">
        <f t="shared" si="21"/>
        <v>-5.7999999999999996E-3</v>
      </c>
      <c r="N77" s="1064">
        <f t="shared" si="21"/>
        <v>-1.1599999999999999E-2</v>
      </c>
      <c r="O77" s="1119"/>
      <c r="P77" s="1119"/>
      <c r="Z77" s="1995"/>
      <c r="AA77" s="2050"/>
      <c r="AG77" s="1121"/>
      <c r="AK77" s="2050"/>
    </row>
    <row r="78" spans="1:37" ht="24">
      <c r="A78" s="2127" t="s">
        <v>2057</v>
      </c>
      <c r="B78" s="2133" t="s">
        <v>2058</v>
      </c>
      <c r="C78" s="2041" t="s">
        <v>3400</v>
      </c>
      <c r="D78" s="1065">
        <f t="shared" si="17"/>
        <v>3.2000000000000002E-3</v>
      </c>
      <c r="E78" s="747"/>
      <c r="F78" s="1814"/>
      <c r="G78" s="1063">
        <v>3.2000000000000002E-3</v>
      </c>
      <c r="H78" s="1066">
        <f t="shared" si="18"/>
        <v>3.2000000000000002E-3</v>
      </c>
      <c r="I78" s="3363">
        <v>0.05</v>
      </c>
      <c r="J78" s="1064">
        <f t="shared" si="19"/>
        <v>6.4000000000000003E-3</v>
      </c>
      <c r="K78" s="1064">
        <f t="shared" si="20"/>
        <v>3.2000000000000002E-3</v>
      </c>
      <c r="L78" s="1064">
        <v>0</v>
      </c>
      <c r="M78" s="1064">
        <f t="shared" si="21"/>
        <v>-3.2000000000000002E-3</v>
      </c>
      <c r="N78" s="1064">
        <f t="shared" si="21"/>
        <v>-6.4000000000000003E-3</v>
      </c>
      <c r="O78" s="1994"/>
      <c r="P78" s="1994"/>
      <c r="Z78" s="1995"/>
      <c r="AA78" s="2050"/>
      <c r="AG78" s="1121"/>
      <c r="AK78" s="2050"/>
    </row>
    <row r="79" spans="1:37" ht="51">
      <c r="A79" s="2127" t="s">
        <v>2061</v>
      </c>
      <c r="B79" s="2130" t="str">
        <f>估价对象房地状况!C20</f>
        <v>估价对象周边有刺猬河、北潞园健身公园、房山区良乡体育中心等自然人文景观，总体自然人文环境较好。</v>
      </c>
      <c r="C79" s="2041" t="s">
        <v>3400</v>
      </c>
      <c r="D79" s="1065">
        <f t="shared" si="17"/>
        <v>7.7999999999999996E-3</v>
      </c>
      <c r="E79" s="747"/>
      <c r="F79" s="1814"/>
      <c r="G79" s="1063">
        <v>7.7999999999999996E-3</v>
      </c>
      <c r="H79" s="1066">
        <f t="shared" si="18"/>
        <v>7.7999999999999996E-3</v>
      </c>
      <c r="I79" s="3363">
        <v>0.12</v>
      </c>
      <c r="J79" s="1064">
        <f t="shared" si="19"/>
        <v>1.5599999999999999E-2</v>
      </c>
      <c r="K79" s="1064">
        <f t="shared" si="20"/>
        <v>7.7999999999999996E-3</v>
      </c>
      <c r="L79" s="1064">
        <v>0</v>
      </c>
      <c r="M79" s="1064">
        <f t="shared" si="21"/>
        <v>-7.7999999999999996E-3</v>
      </c>
      <c r="N79" s="1064">
        <f t="shared" si="21"/>
        <v>-1.5599999999999999E-2</v>
      </c>
      <c r="Z79" s="1995"/>
      <c r="AA79" s="2050"/>
      <c r="AG79" s="1121"/>
      <c r="AK79" s="2050"/>
    </row>
    <row r="80" spans="1:37" ht="24.75" thickBot="1">
      <c r="A80" s="2135" t="s">
        <v>2068</v>
      </c>
      <c r="B80" s="2139"/>
      <c r="C80" s="2041" t="s">
        <v>3401</v>
      </c>
      <c r="D80" s="1065">
        <f t="shared" si="17"/>
        <v>0</v>
      </c>
      <c r="E80" s="748"/>
      <c r="F80" s="1814"/>
      <c r="G80" s="1063">
        <v>3.2000000000000002E-3</v>
      </c>
      <c r="H80" s="1066">
        <f t="shared" si="18"/>
        <v>3.2000000000000002E-3</v>
      </c>
      <c r="I80" s="3364">
        <v>0.05</v>
      </c>
      <c r="J80" s="1064">
        <f t="shared" si="19"/>
        <v>6.4000000000000003E-3</v>
      </c>
      <c r="K80" s="1064">
        <f t="shared" si="20"/>
        <v>3.2000000000000002E-3</v>
      </c>
      <c r="L80" s="1064">
        <v>0</v>
      </c>
      <c r="M80" s="1064">
        <f t="shared" si="21"/>
        <v>-3.2000000000000002E-3</v>
      </c>
      <c r="N80" s="1064">
        <f t="shared" si="21"/>
        <v>-6.4000000000000003E-3</v>
      </c>
      <c r="Z80" s="1995"/>
      <c r="AA80" s="2050"/>
      <c r="AG80" s="1121"/>
      <c r="AK80" s="2050"/>
    </row>
    <row r="81" spans="1:37" ht="15">
      <c r="A81" s="2123" t="s">
        <v>2069</v>
      </c>
      <c r="B81" s="2124">
        <f>1+E83</f>
        <v>1</v>
      </c>
      <c r="C81" s="741"/>
      <c r="D81" s="741"/>
      <c r="E81" s="742"/>
      <c r="F81" s="2126"/>
      <c r="G81" s="3"/>
      <c r="H81" s="3"/>
      <c r="I81" s="3"/>
      <c r="J81" s="4"/>
      <c r="K81" s="4"/>
      <c r="L81" s="4"/>
      <c r="M81" s="4"/>
      <c r="N81" s="4"/>
      <c r="Z81" s="1995"/>
      <c r="AA81" s="2050"/>
      <c r="AG81" s="1121"/>
      <c r="AK81" s="2050"/>
    </row>
    <row r="82" spans="1:37" ht="24.75">
      <c r="A82" s="2127" t="s">
        <v>2044</v>
      </c>
      <c r="B82" s="1351"/>
      <c r="C82" s="1351" t="s">
        <v>2046</v>
      </c>
      <c r="D82" s="1351" t="s">
        <v>2047</v>
      </c>
      <c r="E82" s="743" t="s">
        <v>2048</v>
      </c>
      <c r="F82" s="2128" t="s">
        <v>2063</v>
      </c>
      <c r="G82" s="1351" t="s">
        <v>310</v>
      </c>
      <c r="H82" s="2129" t="s">
        <v>2050</v>
      </c>
      <c r="I82" s="1351" t="s">
        <v>2051</v>
      </c>
      <c r="J82" s="552" t="s">
        <v>1721</v>
      </c>
      <c r="K82" s="552" t="s">
        <v>1722</v>
      </c>
      <c r="L82" s="552" t="s">
        <v>1723</v>
      </c>
      <c r="M82" s="552" t="s">
        <v>1724</v>
      </c>
      <c r="N82" s="552" t="s">
        <v>1725</v>
      </c>
      <c r="Z82" s="1995"/>
      <c r="AA82" s="2050"/>
      <c r="AG82" s="1121"/>
      <c r="AK82" s="2050"/>
    </row>
    <row r="83" spans="1:37" ht="38.25">
      <c r="A83" s="2127" t="s">
        <v>2070</v>
      </c>
      <c r="B83" s="2131" t="str">
        <f>估价对象房地状况!G15</f>
        <v>估价对象位于XX开发区，园区建设成熟度XX，产业集聚程度XX</v>
      </c>
      <c r="C83" s="2041"/>
      <c r="D83" s="1065">
        <f t="shared" ref="D83:D90" si="22">SUMIF($J$82:$N$82,C83,J83:N83)</f>
        <v>0</v>
      </c>
      <c r="E83" s="744">
        <f>ROUND(SUM(D83:D90),4)</f>
        <v>0</v>
      </c>
      <c r="F83" s="1814"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5"/>
      <c r="AA83" s="2050"/>
      <c r="AG83" s="1121"/>
      <c r="AK83" s="2050"/>
    </row>
    <row r="84" spans="1:37" ht="38.25">
      <c r="A84" s="2127" t="s">
        <v>2053</v>
      </c>
      <c r="B84" s="2131" t="str">
        <f>估价对象房地状况!G16</f>
        <v>估价对象周边道路状况、公共交通通达情况、停车便捷程度，综合评价交通便捷度较好</v>
      </c>
      <c r="C84" s="2041"/>
      <c r="D84" s="1065">
        <f t="shared" si="22"/>
        <v>0</v>
      </c>
      <c r="E84" s="747"/>
      <c r="F84" s="1814"/>
      <c r="G84" s="1063"/>
      <c r="H84" s="1066" t="str">
        <f t="shared" si="23"/>
        <v>——</v>
      </c>
      <c r="I84" s="3363">
        <v>0.3</v>
      </c>
      <c r="J84" s="1064">
        <f t="shared" si="24"/>
        <v>0</v>
      </c>
      <c r="K84" s="1064">
        <f t="shared" si="25"/>
        <v>0</v>
      </c>
      <c r="L84" s="1064">
        <v>0</v>
      </c>
      <c r="M84" s="1064">
        <f t="shared" si="26"/>
        <v>0</v>
      </c>
      <c r="N84" s="1064">
        <f t="shared" si="26"/>
        <v>0</v>
      </c>
      <c r="Z84" s="1995"/>
      <c r="AA84" s="2050"/>
      <c r="AG84" s="1121"/>
      <c r="AK84" s="2050"/>
    </row>
    <row r="85" spans="1:37" ht="36">
      <c r="A85" s="3365" t="s">
        <v>3272</v>
      </c>
      <c r="B85" s="2131">
        <f>估价对象房地状况!G17</f>
        <v>0</v>
      </c>
      <c r="C85" s="2041"/>
      <c r="D85" s="1065">
        <f t="shared" si="22"/>
        <v>0</v>
      </c>
      <c r="E85" s="747"/>
      <c r="F85" s="1814"/>
      <c r="G85" s="1063"/>
      <c r="H85" s="1066" t="str">
        <f t="shared" si="23"/>
        <v>——</v>
      </c>
      <c r="I85" s="3363">
        <v>0.1</v>
      </c>
      <c r="J85" s="1064">
        <f t="shared" si="24"/>
        <v>0</v>
      </c>
      <c r="K85" s="1064">
        <f t="shared" si="25"/>
        <v>0</v>
      </c>
      <c r="L85" s="1064">
        <v>0</v>
      </c>
      <c r="M85" s="1064">
        <f t="shared" si="26"/>
        <v>0</v>
      </c>
      <c r="N85" s="1064">
        <f t="shared" si="26"/>
        <v>0</v>
      </c>
      <c r="Z85" s="1995"/>
      <c r="AA85" s="2050"/>
      <c r="AG85" s="1121"/>
      <c r="AK85" s="2050"/>
    </row>
    <row r="86" spans="1:37" ht="14.25">
      <c r="A86" s="2127" t="s">
        <v>2067</v>
      </c>
      <c r="B86" s="2131">
        <f>估价对象房地状况!G22</f>
        <v>0</v>
      </c>
      <c r="C86" s="2041"/>
      <c r="D86" s="1065">
        <f t="shared" si="22"/>
        <v>0</v>
      </c>
      <c r="E86" s="747"/>
      <c r="F86" s="1814"/>
      <c r="G86" s="1063"/>
      <c r="H86" s="1066" t="str">
        <f t="shared" si="23"/>
        <v>——</v>
      </c>
      <c r="I86" s="3363">
        <v>0.05</v>
      </c>
      <c r="J86" s="1064">
        <f t="shared" si="24"/>
        <v>0</v>
      </c>
      <c r="K86" s="1064">
        <f t="shared" si="25"/>
        <v>0</v>
      </c>
      <c r="L86" s="1064">
        <v>0</v>
      </c>
      <c r="M86" s="1064">
        <f t="shared" si="26"/>
        <v>0</v>
      </c>
      <c r="N86" s="1064">
        <f t="shared" si="26"/>
        <v>0</v>
      </c>
      <c r="Z86" s="1995"/>
      <c r="AA86" s="2050"/>
      <c r="AG86" s="1121"/>
      <c r="AK86" s="2050"/>
    </row>
    <row r="87" spans="1:37" ht="25.5">
      <c r="A87" s="2127" t="s">
        <v>2059</v>
      </c>
      <c r="B87" s="1326" t="str">
        <f>估价对象房地状况!G19</f>
        <v>估价对象所在区域公共配套设施齐备情况</v>
      </c>
      <c r="C87" s="2041"/>
      <c r="D87" s="1065">
        <f t="shared" si="22"/>
        <v>0</v>
      </c>
      <c r="E87" s="747"/>
      <c r="F87" s="1814"/>
      <c r="G87" s="1063"/>
      <c r="H87" s="1066" t="str">
        <f t="shared" si="23"/>
        <v>——</v>
      </c>
      <c r="I87" s="3363">
        <v>0.06</v>
      </c>
      <c r="J87" s="1064">
        <f t="shared" si="24"/>
        <v>0</v>
      </c>
      <c r="K87" s="1064">
        <f t="shared" si="25"/>
        <v>0</v>
      </c>
      <c r="L87" s="1064">
        <v>0</v>
      </c>
      <c r="M87" s="1064">
        <f t="shared" si="26"/>
        <v>0</v>
      </c>
      <c r="N87" s="1064">
        <f t="shared" si="26"/>
        <v>0</v>
      </c>
    </row>
    <row r="88" spans="1:37" ht="25.5">
      <c r="A88" s="2127" t="s">
        <v>2060</v>
      </c>
      <c r="B88" s="1326" t="str">
        <f>估价对象房地状况!G20</f>
        <v>估价对象所在区域基础设施水平</v>
      </c>
      <c r="C88" s="2041"/>
      <c r="D88" s="1065">
        <f t="shared" si="22"/>
        <v>0</v>
      </c>
      <c r="E88" s="747"/>
      <c r="F88" s="1814"/>
      <c r="G88" s="1063"/>
      <c r="H88" s="1066" t="str">
        <f t="shared" si="23"/>
        <v>——</v>
      </c>
      <c r="I88" s="3363">
        <v>0.12</v>
      </c>
      <c r="J88" s="1064">
        <f t="shared" si="24"/>
        <v>0</v>
      </c>
      <c r="K88" s="1064">
        <f t="shared" si="25"/>
        <v>0</v>
      </c>
      <c r="L88" s="1064">
        <v>0</v>
      </c>
      <c r="M88" s="1064">
        <f t="shared" si="26"/>
        <v>0</v>
      </c>
      <c r="N88" s="1064">
        <f t="shared" si="26"/>
        <v>0</v>
      </c>
    </row>
    <row r="89" spans="1:37" ht="24">
      <c r="A89" s="2127" t="s">
        <v>2057</v>
      </c>
      <c r="B89" s="2133" t="s">
        <v>2071</v>
      </c>
      <c r="C89" s="2041"/>
      <c r="D89" s="1065">
        <f t="shared" si="22"/>
        <v>0</v>
      </c>
      <c r="E89" s="747"/>
      <c r="F89" s="1814"/>
      <c r="G89" s="1063"/>
      <c r="H89" s="1066" t="str">
        <f t="shared" si="23"/>
        <v>——</v>
      </c>
      <c r="I89" s="3363">
        <v>0.06</v>
      </c>
      <c r="J89" s="1064">
        <f t="shared" si="24"/>
        <v>0</v>
      </c>
      <c r="K89" s="1064">
        <f t="shared" si="25"/>
        <v>0</v>
      </c>
      <c r="L89" s="1064">
        <v>0</v>
      </c>
      <c r="M89" s="1064">
        <f t="shared" si="26"/>
        <v>0</v>
      </c>
      <c r="N89" s="1064">
        <f t="shared" si="26"/>
        <v>0</v>
      </c>
    </row>
    <row r="90" spans="1:37" ht="39" thickBot="1">
      <c r="A90" s="2135" t="s">
        <v>2072</v>
      </c>
      <c r="B90" s="2140" t="str">
        <f>估价对象房地状况!G18</f>
        <v>该园区内是否有污染型企业，绿化情况，卫生条件，整体环境状况判断</v>
      </c>
      <c r="C90" s="2041"/>
      <c r="D90" s="1065">
        <f t="shared" si="22"/>
        <v>0</v>
      </c>
      <c r="E90" s="748"/>
      <c r="F90" s="1814"/>
      <c r="G90" s="1063"/>
      <c r="H90" s="1066" t="str">
        <f t="shared" si="23"/>
        <v>——</v>
      </c>
      <c r="I90" s="3364">
        <v>0.05</v>
      </c>
      <c r="J90" s="1064">
        <f t="shared" si="24"/>
        <v>0</v>
      </c>
      <c r="K90" s="1064">
        <f t="shared" si="25"/>
        <v>0</v>
      </c>
      <c r="L90" s="1064">
        <v>0</v>
      </c>
      <c r="M90" s="1064">
        <f t="shared" si="26"/>
        <v>0</v>
      </c>
      <c r="N90" s="1064">
        <f t="shared" si="26"/>
        <v>0</v>
      </c>
    </row>
    <row r="91" spans="1:37" ht="15">
      <c r="A91" s="3373" t="s">
        <v>2613</v>
      </c>
      <c r="B91" s="3374">
        <f>1+E93</f>
        <v>1</v>
      </c>
      <c r="C91" s="3367"/>
      <c r="D91" s="3368"/>
      <c r="E91" s="1814"/>
      <c r="F91" s="1814"/>
      <c r="G91" s="3369"/>
      <c r="H91" s="3370"/>
      <c r="I91" s="3371"/>
      <c r="J91" s="3372"/>
      <c r="K91" s="3372"/>
      <c r="L91" s="3372"/>
      <c r="M91" s="3372"/>
      <c r="N91" s="3372"/>
    </row>
    <row r="92" spans="1:37" ht="24.75">
      <c r="A92" s="3375" t="s">
        <v>3273</v>
      </c>
      <c r="B92" s="3362"/>
      <c r="C92" s="3362" t="s">
        <v>3282</v>
      </c>
      <c r="D92" s="3362" t="s">
        <v>3283</v>
      </c>
      <c r="E92" s="3344" t="s">
        <v>3284</v>
      </c>
      <c r="F92" s="3377" t="s">
        <v>3285</v>
      </c>
      <c r="G92" s="3362" t="s">
        <v>3286</v>
      </c>
      <c r="H92" s="3384" t="s">
        <v>3289</v>
      </c>
      <c r="I92" s="3362" t="s">
        <v>3290</v>
      </c>
      <c r="J92" s="3385" t="s">
        <v>3291</v>
      </c>
      <c r="K92" s="3385" t="s">
        <v>3292</v>
      </c>
      <c r="L92" s="3385" t="s">
        <v>3293</v>
      </c>
      <c r="M92" s="3385" t="s">
        <v>3294</v>
      </c>
      <c r="N92" s="3385" t="s">
        <v>3295</v>
      </c>
    </row>
    <row r="93" spans="1:37" ht="24">
      <c r="A93" s="3365" t="s">
        <v>3274</v>
      </c>
      <c r="B93" s="1306"/>
      <c r="C93" s="2041"/>
      <c r="D93" s="3362">
        <f>SUMIF($J$92:$N$92,C93,J93:N93)</f>
        <v>0</v>
      </c>
      <c r="E93" s="3378">
        <f>ROUND(SUM(D93:D101),4)</f>
        <v>0</v>
      </c>
      <c r="F93" s="1814"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63.75">
      <c r="A94" s="3375" t="s">
        <v>3275</v>
      </c>
      <c r="B94" s="3366" t="str">
        <f>估价对象房地状况!C18</f>
        <v>周边有F2、F13、F36、F41、616、833路等多条公交线路经过并设站，距离地铁房山线良乡南关约2公里，交通较便捷。</v>
      </c>
      <c r="C94" s="2041"/>
      <c r="D94" s="3362">
        <f t="shared" ref="D94:D101" si="30">SUMIF($J$60:$N$60,C94,J94:N94)</f>
        <v>0</v>
      </c>
      <c r="E94" s="3379"/>
      <c r="F94" s="1814"/>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3271</v>
      </c>
      <c r="B95" s="3366">
        <f>估价对象房地状况!C19</f>
        <v>0</v>
      </c>
      <c r="C95" s="2041"/>
      <c r="D95" s="3362">
        <f t="shared" si="30"/>
        <v>0</v>
      </c>
      <c r="E95" s="3379"/>
      <c r="F95" s="1814"/>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3276</v>
      </c>
      <c r="B96" s="3381" t="s">
        <v>3287</v>
      </c>
      <c r="C96" s="2041"/>
      <c r="D96" s="3362">
        <f t="shared" si="30"/>
        <v>0</v>
      </c>
      <c r="E96" s="3379"/>
      <c r="F96" s="1814"/>
      <c r="G96" s="3369"/>
      <c r="H96" s="3417" t="str">
        <f t="shared" si="31"/>
        <v>——</v>
      </c>
      <c r="I96" s="3363">
        <v>0.05</v>
      </c>
      <c r="J96" s="3341">
        <f t="shared" si="27"/>
        <v>0</v>
      </c>
      <c r="K96" s="3341">
        <f t="shared" si="28"/>
        <v>0</v>
      </c>
      <c r="L96" s="3341">
        <v>0</v>
      </c>
      <c r="M96" s="3341">
        <f t="shared" si="29"/>
        <v>0</v>
      </c>
      <c r="N96" s="3341">
        <f t="shared" si="29"/>
        <v>0</v>
      </c>
    </row>
    <row r="97" spans="1:14" ht="24">
      <c r="A97" s="3375" t="s">
        <v>3277</v>
      </c>
      <c r="B97" s="3366">
        <f>估价对象房地状况!C24</f>
        <v>0</v>
      </c>
      <c r="C97" s="2041"/>
      <c r="D97" s="3362">
        <f t="shared" si="30"/>
        <v>0</v>
      </c>
      <c r="E97" s="3379"/>
      <c r="F97" s="1814"/>
      <c r="G97" s="3369"/>
      <c r="H97" s="3417" t="str">
        <f t="shared" si="31"/>
        <v>——</v>
      </c>
      <c r="I97" s="3363">
        <v>0.05</v>
      </c>
      <c r="J97" s="3341">
        <f t="shared" si="27"/>
        <v>0</v>
      </c>
      <c r="K97" s="3341">
        <f t="shared" si="28"/>
        <v>0</v>
      </c>
      <c r="L97" s="3341">
        <v>0</v>
      </c>
      <c r="M97" s="3341">
        <f t="shared" si="29"/>
        <v>0</v>
      </c>
      <c r="N97" s="3341">
        <f t="shared" si="29"/>
        <v>0</v>
      </c>
    </row>
    <row r="98" spans="1:14" ht="24">
      <c r="A98" s="3375" t="s">
        <v>3278</v>
      </c>
      <c r="B98" s="3382" t="s">
        <v>3288</v>
      </c>
      <c r="C98" s="2041"/>
      <c r="D98" s="3362">
        <f t="shared" si="30"/>
        <v>0</v>
      </c>
      <c r="E98" s="3379"/>
      <c r="F98" s="1814"/>
      <c r="G98" s="3369"/>
      <c r="H98" s="3417" t="str">
        <f t="shared" si="31"/>
        <v>——</v>
      </c>
      <c r="I98" s="3363">
        <v>0.06</v>
      </c>
      <c r="J98" s="3341">
        <f t="shared" si="27"/>
        <v>0</v>
      </c>
      <c r="K98" s="3341">
        <f t="shared" si="28"/>
        <v>0</v>
      </c>
      <c r="L98" s="3341">
        <v>0</v>
      </c>
      <c r="M98" s="3341">
        <f t="shared" si="29"/>
        <v>0</v>
      </c>
      <c r="N98" s="3341">
        <f t="shared" si="29"/>
        <v>0</v>
      </c>
    </row>
    <row r="99" spans="1:14" ht="127.5">
      <c r="A99" s="3375" t="s">
        <v>3279</v>
      </c>
      <c r="B99" s="3366" t="str">
        <f>估价对象房地状况!C21</f>
        <v>周边有华冠购物中心、龙湖房山天街、永辉超市等商业项目；有中国建设银行、中国工商银行、北京农商银行等金融机构；有房山区妇幼保健院、北京仁德医院、良乡医院等医疗机构，有良乡第二中学、良乡第三小学、北师大良乡附中、良乡幼儿园等教育机构；公共配套设施齐备度较好</v>
      </c>
      <c r="C99" s="2041"/>
      <c r="D99" s="3362">
        <f t="shared" si="30"/>
        <v>0</v>
      </c>
      <c r="E99" s="3379"/>
      <c r="F99" s="1814"/>
      <c r="G99" s="3369"/>
      <c r="H99" s="3417" t="str">
        <f t="shared" si="31"/>
        <v>——</v>
      </c>
      <c r="I99" s="3363">
        <v>0.06</v>
      </c>
      <c r="J99" s="3341">
        <f t="shared" si="27"/>
        <v>0</v>
      </c>
      <c r="K99" s="3341">
        <f t="shared" si="28"/>
        <v>0</v>
      </c>
      <c r="L99" s="3341">
        <v>0</v>
      </c>
      <c r="M99" s="3341">
        <f t="shared" si="29"/>
        <v>0</v>
      </c>
      <c r="N99" s="3341">
        <f t="shared" si="29"/>
        <v>0</v>
      </c>
    </row>
    <row r="100" spans="1:14" ht="25.5">
      <c r="A100" s="3375" t="s">
        <v>3280</v>
      </c>
      <c r="B100" s="3366" t="str">
        <f>估价对象房地状况!C22</f>
        <v>估价对象所在区域基础设施水平</v>
      </c>
      <c r="C100" s="2041"/>
      <c r="D100" s="3362">
        <f t="shared" si="30"/>
        <v>0</v>
      </c>
      <c r="E100" s="3379"/>
      <c r="F100" s="1814"/>
      <c r="G100" s="3369"/>
      <c r="H100" s="3417" t="str">
        <f t="shared" si="31"/>
        <v>——</v>
      </c>
      <c r="I100" s="3363">
        <v>0.09</v>
      </c>
      <c r="J100" s="3341">
        <f t="shared" si="27"/>
        <v>0</v>
      </c>
      <c r="K100" s="3341">
        <f t="shared" si="28"/>
        <v>0</v>
      </c>
      <c r="L100" s="3341">
        <v>0</v>
      </c>
      <c r="M100" s="3341">
        <f t="shared" si="29"/>
        <v>0</v>
      </c>
      <c r="N100" s="3341">
        <f t="shared" si="29"/>
        <v>0</v>
      </c>
    </row>
    <row r="101" spans="1:14" ht="51.75" thickBot="1">
      <c r="A101" s="3376" t="s">
        <v>3281</v>
      </c>
      <c r="B101" s="3383" t="str">
        <f>估价对象房地状况!C20</f>
        <v>估价对象周边有刺猬河、北潞园健身公园、房山区良乡体育中心等自然人文景观，总体自然人文环境较好。</v>
      </c>
      <c r="C101" s="2041"/>
      <c r="D101" s="3362">
        <f t="shared" si="30"/>
        <v>0</v>
      </c>
      <c r="E101" s="3380"/>
      <c r="F101" s="1814"/>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71" t="s">
        <v>3296</v>
      </c>
      <c r="B103" s="3771"/>
      <c r="C103" s="3771"/>
      <c r="D103" s="3771"/>
      <c r="E103" s="3771"/>
      <c r="F103" s="3771"/>
      <c r="G103" s="3771"/>
      <c r="H103" s="3771"/>
      <c r="I103" s="3771"/>
      <c r="J103" s="3771"/>
      <c r="K103" s="3386"/>
      <c r="L103" s="3386"/>
      <c r="M103" s="3386"/>
      <c r="N103" s="3386"/>
    </row>
    <row r="104" spans="1:14">
      <c r="A104" s="3772" t="s">
        <v>3297</v>
      </c>
      <c r="B104" s="3772" t="s">
        <v>3298</v>
      </c>
      <c r="C104" s="3387" t="s">
        <v>3299</v>
      </c>
      <c r="D104" s="3388"/>
      <c r="E104" s="3388"/>
      <c r="F104" s="3388"/>
      <c r="G104" s="3388"/>
      <c r="H104" s="3388"/>
      <c r="I104" s="3388"/>
      <c r="J104" s="3389"/>
      <c r="K104" s="3390"/>
      <c r="L104" s="3390"/>
      <c r="M104" s="3390"/>
      <c r="N104" s="3390"/>
    </row>
    <row r="105" spans="1:14">
      <c r="A105" s="3772"/>
      <c r="B105" s="3772"/>
      <c r="C105" s="3391" t="s">
        <v>3300</v>
      </c>
      <c r="D105" s="3391" t="s">
        <v>3301</v>
      </c>
      <c r="E105" s="3391" t="s">
        <v>3302</v>
      </c>
      <c r="F105" s="3391" t="s">
        <v>3303</v>
      </c>
      <c r="G105" s="3391" t="s">
        <v>3304</v>
      </c>
      <c r="H105" s="3391" t="s">
        <v>3305</v>
      </c>
      <c r="I105" s="3391" t="s">
        <v>3306</v>
      </c>
      <c r="J105" s="3391" t="s">
        <v>3307</v>
      </c>
      <c r="K105" s="3391" t="s">
        <v>3308</v>
      </c>
      <c r="L105" s="3391" t="s">
        <v>3309</v>
      </c>
      <c r="M105" s="3391" t="s">
        <v>3310</v>
      </c>
      <c r="N105" s="3391" t="s">
        <v>3311</v>
      </c>
    </row>
    <row r="106" spans="1:14">
      <c r="A106" s="3758" t="s">
        <v>3312</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59"/>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59"/>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59"/>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59"/>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59"/>
      <c r="B111" s="3391" t="s">
        <v>3270</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60"/>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61" t="s">
        <v>3313</v>
      </c>
      <c r="B113" s="3761"/>
      <c r="C113" s="3761"/>
      <c r="D113" s="3761"/>
      <c r="E113" s="3761"/>
      <c r="F113" s="3761"/>
      <c r="G113" s="3761"/>
      <c r="H113" s="3761"/>
      <c r="I113" s="3761"/>
      <c r="J113" s="3761"/>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3314</v>
      </c>
      <c r="B116" s="3412">
        <f>G3</f>
        <v>1.3</v>
      </c>
      <c r="C116" s="3396" t="s">
        <v>3315</v>
      </c>
      <c r="D116" s="3397">
        <f>SUMPRODUCT((A118:A122=F116)*(B117:M117=H116)*B118:M122)</f>
        <v>0.91820000000000002</v>
      </c>
      <c r="E116" s="1997" t="s">
        <v>3316</v>
      </c>
      <c r="F116" s="3398" t="str">
        <f>E2</f>
        <v>住宅</v>
      </c>
      <c r="G116" s="1997" t="s">
        <v>3317</v>
      </c>
      <c r="H116" s="3398" t="str">
        <f>G2</f>
        <v>七级</v>
      </c>
      <c r="I116" s="1997"/>
      <c r="J116" s="3399"/>
      <c r="K116" s="3399"/>
      <c r="L116" s="3399"/>
      <c r="M116" s="3399"/>
      <c r="N116" s="3394"/>
    </row>
    <row r="117" spans="1:14">
      <c r="A117" s="3400"/>
      <c r="B117" s="3401" t="s">
        <v>3318</v>
      </c>
      <c r="C117" s="3401" t="s">
        <v>3319</v>
      </c>
      <c r="D117" s="3401" t="s">
        <v>3320</v>
      </c>
      <c r="E117" s="3402" t="s">
        <v>3321</v>
      </c>
      <c r="F117" s="3402" t="s">
        <v>3322</v>
      </c>
      <c r="G117" s="3402" t="s">
        <v>3323</v>
      </c>
      <c r="H117" s="3403" t="s">
        <v>3324</v>
      </c>
      <c r="I117" s="3403" t="s">
        <v>3325</v>
      </c>
      <c r="J117" s="3404" t="s">
        <v>3326</v>
      </c>
      <c r="K117" s="3404" t="s">
        <v>3327</v>
      </c>
      <c r="L117" s="3404" t="s">
        <v>3328</v>
      </c>
      <c r="M117" s="3405" t="s">
        <v>3329</v>
      </c>
      <c r="N117" s="3394"/>
    </row>
    <row r="118" spans="1:14">
      <c r="A118" s="3406" t="s">
        <v>3330</v>
      </c>
      <c r="B118" s="3384">
        <f>ROUND(0.9968-0.011*B116,4)</f>
        <v>0.98250000000000004</v>
      </c>
      <c r="C118" s="3384">
        <f>B118</f>
        <v>0.98250000000000004</v>
      </c>
      <c r="D118" s="3384">
        <f>ROUND(0.949-0.014*B116,4)</f>
        <v>0.93079999999999996</v>
      </c>
      <c r="E118" s="3384">
        <f>D118</f>
        <v>0.93079999999999996</v>
      </c>
      <c r="F118" s="3384">
        <f>E118</f>
        <v>0.93079999999999996</v>
      </c>
      <c r="G118" s="3384">
        <f>F118</f>
        <v>0.93079999999999996</v>
      </c>
      <c r="H118" s="3384">
        <f>G118</f>
        <v>0.93079999999999996</v>
      </c>
      <c r="I118" s="3384">
        <f>ROUND(0.8486-0.018*B116,4)</f>
        <v>0.82520000000000004</v>
      </c>
      <c r="J118" s="3384">
        <f t="shared" ref="J118:M122" si="35">I118</f>
        <v>0.82520000000000004</v>
      </c>
      <c r="K118" s="3384">
        <f t="shared" si="35"/>
        <v>0.82520000000000004</v>
      </c>
      <c r="L118" s="3384">
        <f t="shared" si="35"/>
        <v>0.82520000000000004</v>
      </c>
      <c r="M118" s="3407">
        <f t="shared" si="35"/>
        <v>0.82520000000000004</v>
      </c>
      <c r="N118" s="3394"/>
    </row>
    <row r="119" spans="1:14">
      <c r="A119" s="3406" t="s">
        <v>3331</v>
      </c>
      <c r="B119" s="3384">
        <f>ROUND(0.993-0.0112*B116,4)</f>
        <v>0.97840000000000005</v>
      </c>
      <c r="C119" s="3384">
        <f>B119</f>
        <v>0.97840000000000005</v>
      </c>
      <c r="D119" s="3384">
        <f>ROUND(0.9415-0.0142*B116,4)</f>
        <v>0.92300000000000004</v>
      </c>
      <c r="E119" s="3384">
        <f t="shared" ref="E119:H120" si="36">D119</f>
        <v>0.92300000000000004</v>
      </c>
      <c r="F119" s="3384">
        <f t="shared" si="36"/>
        <v>0.92300000000000004</v>
      </c>
      <c r="G119" s="3384">
        <f t="shared" si="36"/>
        <v>0.92300000000000004</v>
      </c>
      <c r="H119" s="3384">
        <f t="shared" si="36"/>
        <v>0.92300000000000004</v>
      </c>
      <c r="I119" s="3384">
        <f>ROUND(0.838-0.0182*B116,4)</f>
        <v>0.81430000000000002</v>
      </c>
      <c r="J119" s="3384">
        <f t="shared" si="35"/>
        <v>0.81430000000000002</v>
      </c>
      <c r="K119" s="3384">
        <f t="shared" si="35"/>
        <v>0.81430000000000002</v>
      </c>
      <c r="L119" s="3384">
        <f t="shared" si="35"/>
        <v>0.81430000000000002</v>
      </c>
      <c r="M119" s="3407">
        <f t="shared" si="35"/>
        <v>0.81430000000000002</v>
      </c>
      <c r="N119" s="3394"/>
    </row>
    <row r="120" spans="1:14">
      <c r="A120" s="3406" t="s">
        <v>3332</v>
      </c>
      <c r="B120" s="3384">
        <f>ROUND(0.9448-0.0115*B116,4)</f>
        <v>0.92989999999999995</v>
      </c>
      <c r="C120" s="3384">
        <f>B120</f>
        <v>0.92989999999999995</v>
      </c>
      <c r="D120" s="3384">
        <f>ROUND(0.937-0.0145*B116,4)</f>
        <v>0.91820000000000002</v>
      </c>
      <c r="E120" s="3384">
        <f t="shared" si="36"/>
        <v>0.91820000000000002</v>
      </c>
      <c r="F120" s="3384">
        <f t="shared" si="36"/>
        <v>0.91820000000000002</v>
      </c>
      <c r="G120" s="3384">
        <f t="shared" si="36"/>
        <v>0.91820000000000002</v>
      </c>
      <c r="H120" s="3384">
        <f t="shared" si="36"/>
        <v>0.91820000000000002</v>
      </c>
      <c r="I120" s="3384">
        <f>ROUND(0.7965-0.0185*B116,4)</f>
        <v>0.77249999999999996</v>
      </c>
      <c r="J120" s="3384">
        <f t="shared" si="35"/>
        <v>0.77249999999999996</v>
      </c>
      <c r="K120" s="3384">
        <f t="shared" si="35"/>
        <v>0.77249999999999996</v>
      </c>
      <c r="L120" s="3384">
        <f t="shared" si="35"/>
        <v>0.77249999999999996</v>
      </c>
      <c r="M120" s="3407">
        <f t="shared" si="35"/>
        <v>0.77249999999999996</v>
      </c>
      <c r="N120" s="3394"/>
    </row>
    <row r="121" spans="1:14" ht="13.5" thickBot="1">
      <c r="A121" s="3408" t="s">
        <v>3333</v>
      </c>
      <c r="B121" s="3409">
        <f>ROUND(0.7836-0.012*B116,4)</f>
        <v>0.76800000000000002</v>
      </c>
      <c r="C121" s="3409">
        <f>B121</f>
        <v>0.76800000000000002</v>
      </c>
      <c r="D121" s="3409">
        <f>ROUND(0.753-0.015*B116,4)</f>
        <v>0.73350000000000004</v>
      </c>
      <c r="E121" s="3409">
        <f>D121</f>
        <v>0.73350000000000004</v>
      </c>
      <c r="F121" s="3409">
        <f>E121</f>
        <v>0.73350000000000004</v>
      </c>
      <c r="G121" s="3409">
        <f>ROUND(0.6612-0.018*B116,4)</f>
        <v>0.63780000000000003</v>
      </c>
      <c r="H121" s="3409">
        <f>G121</f>
        <v>0.63780000000000003</v>
      </c>
      <c r="I121" s="3409">
        <f>ROUND(0.5905-0.019*B116,4)</f>
        <v>0.56579999999999997</v>
      </c>
      <c r="J121" s="3409">
        <f t="shared" si="35"/>
        <v>0.56579999999999997</v>
      </c>
      <c r="K121" s="3409">
        <f t="shared" si="35"/>
        <v>0.56579999999999997</v>
      </c>
      <c r="L121" s="3409">
        <f t="shared" si="35"/>
        <v>0.56579999999999997</v>
      </c>
      <c r="M121" s="3410">
        <f t="shared" si="35"/>
        <v>0.56579999999999997</v>
      </c>
      <c r="N121" s="3394"/>
    </row>
    <row r="122" spans="1:14">
      <c r="A122" s="3411" t="s">
        <v>2613</v>
      </c>
      <c r="B122" s="3384">
        <f>ROUND(0.9404-0.0106*B116,4)</f>
        <v>0.92659999999999998</v>
      </c>
      <c r="C122" s="3384">
        <f>B122</f>
        <v>0.92659999999999998</v>
      </c>
      <c r="D122" s="3384">
        <f>ROUND(0.8955-0.0135*B116,4)</f>
        <v>0.878</v>
      </c>
      <c r="E122" s="3384">
        <f t="shared" ref="E122:H122" si="37">D122</f>
        <v>0.878</v>
      </c>
      <c r="F122" s="3384">
        <f t="shared" si="37"/>
        <v>0.878</v>
      </c>
      <c r="G122" s="3384">
        <f t="shared" si="37"/>
        <v>0.878</v>
      </c>
      <c r="H122" s="3384">
        <f t="shared" si="37"/>
        <v>0.878</v>
      </c>
      <c r="I122" s="3384">
        <f>ROUND(0.7632-0.0166*B116,4)</f>
        <v>0.74160000000000004</v>
      </c>
      <c r="J122" s="3384">
        <f t="shared" si="35"/>
        <v>0.74160000000000004</v>
      </c>
      <c r="K122" s="3384">
        <f t="shared" si="35"/>
        <v>0.74160000000000004</v>
      </c>
      <c r="L122" s="3384">
        <f t="shared" si="35"/>
        <v>0.74160000000000004</v>
      </c>
      <c r="M122" s="3407">
        <f t="shared" si="35"/>
        <v>0.74160000000000004</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C2993-6B3D-421C-9E98-39EA2DF1E7B1}">
  <dimension ref="A1"/>
  <sheetViews>
    <sheetView topLeftCell="H1" workbookViewId="0">
      <selection activeCell="P26" sqref="M20:P26"/>
    </sheetView>
  </sheetViews>
  <sheetFormatPr defaultRowHeight="13.5"/>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2595</v>
      </c>
      <c r="B1" s="3068" t="s">
        <v>2596</v>
      </c>
      <c r="C1" s="3068" t="s">
        <v>2597</v>
      </c>
      <c r="D1" s="3068" t="s">
        <v>2598</v>
      </c>
      <c r="E1" s="3068" t="s">
        <v>2599</v>
      </c>
      <c r="F1" s="3068" t="s">
        <v>2600</v>
      </c>
      <c r="G1" s="3068" t="s">
        <v>2601</v>
      </c>
      <c r="H1" s="3068" t="s">
        <v>2602</v>
      </c>
      <c r="I1" s="3068" t="s">
        <v>2603</v>
      </c>
      <c r="J1" s="3068" t="s">
        <v>2604</v>
      </c>
      <c r="K1" s="3068" t="s">
        <v>2605</v>
      </c>
      <c r="L1" s="3068" t="s">
        <v>2606</v>
      </c>
      <c r="M1" s="3069" t="s">
        <v>2607</v>
      </c>
    </row>
    <row r="2" spans="1:13" ht="19.5" customHeight="1">
      <c r="A2" s="3071" t="s">
        <v>2608</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2609</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2610</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2611</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2612</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2613</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2614</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2615</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2616</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2617</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2618</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2619</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2620</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2621</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2622</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2623</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2624</v>
      </c>
      <c r="B18" s="3093"/>
      <c r="C18" s="3094"/>
      <c r="D18" s="3094"/>
      <c r="E18" s="3093"/>
      <c r="F18" s="3094"/>
      <c r="G18" s="3094"/>
    </row>
    <row r="19" spans="1:13" ht="19.5" customHeight="1" thickBot="1">
      <c r="A19" s="3091" t="s">
        <v>2625</v>
      </c>
      <c r="B19" s="3096" t="s">
        <v>2626</v>
      </c>
      <c r="C19" s="3096" t="s">
        <v>2627</v>
      </c>
      <c r="D19" s="3097"/>
      <c r="E19" s="3091" t="s">
        <v>2628</v>
      </c>
      <c r="F19" s="3098"/>
      <c r="G19" s="3098"/>
    </row>
    <row r="20" spans="1:13" ht="19.5" customHeight="1">
      <c r="A20" s="3784" t="s">
        <v>2608</v>
      </c>
      <c r="B20" s="3777" t="s">
        <v>2629</v>
      </c>
      <c r="C20" s="3099" t="s">
        <v>2440</v>
      </c>
      <c r="D20" s="3100"/>
      <c r="E20" s="3101">
        <v>1</v>
      </c>
      <c r="F20" s="3102" t="s">
        <v>2441</v>
      </c>
      <c r="G20" s="3102"/>
    </row>
    <row r="21" spans="1:13" ht="19.5" customHeight="1">
      <c r="A21" s="3785"/>
      <c r="B21" s="3778"/>
      <c r="C21" s="3103" t="s">
        <v>2442</v>
      </c>
      <c r="D21" s="3104"/>
      <c r="E21" s="3105">
        <v>1</v>
      </c>
      <c r="F21" s="3102" t="s">
        <v>2443</v>
      </c>
      <c r="G21" s="3102"/>
    </row>
    <row r="22" spans="1:13" ht="19.5" customHeight="1">
      <c r="A22" s="3785"/>
      <c r="B22" s="3778"/>
      <c r="C22" s="3103" t="s">
        <v>2444</v>
      </c>
      <c r="D22" s="3104"/>
      <c r="E22" s="3105">
        <v>0.9</v>
      </c>
      <c r="F22" s="3102" t="s">
        <v>2445</v>
      </c>
      <c r="G22" s="3102"/>
    </row>
    <row r="23" spans="1:13" ht="19.5" customHeight="1">
      <c r="A23" s="3785"/>
      <c r="B23" s="3778"/>
      <c r="C23" s="3103" t="s">
        <v>2446</v>
      </c>
      <c r="D23" s="3104"/>
      <c r="E23" s="3105">
        <v>0.9</v>
      </c>
      <c r="F23" s="3102" t="s">
        <v>2447</v>
      </c>
      <c r="G23" s="3102"/>
    </row>
    <row r="24" spans="1:13" ht="19.5" customHeight="1">
      <c r="A24" s="3785"/>
      <c r="B24" s="3778"/>
      <c r="C24" s="3103" t="s">
        <v>2448</v>
      </c>
      <c r="D24" s="3104"/>
      <c r="E24" s="3105">
        <v>0.8</v>
      </c>
      <c r="F24" s="3102" t="s">
        <v>2449</v>
      </c>
      <c r="G24" s="3102"/>
    </row>
    <row r="25" spans="1:13" ht="19.5" customHeight="1" thickBot="1">
      <c r="A25" s="3786"/>
      <c r="B25" s="3779"/>
      <c r="C25" s="3106" t="s">
        <v>2450</v>
      </c>
      <c r="D25" s="3107"/>
      <c r="E25" s="3108">
        <v>0.8</v>
      </c>
      <c r="F25" s="3102" t="s">
        <v>2451</v>
      </c>
      <c r="G25" s="3102"/>
    </row>
    <row r="26" spans="1:13" ht="19.5" customHeight="1" thickBot="1">
      <c r="A26" s="3109" t="s">
        <v>2630</v>
      </c>
      <c r="B26" s="3110" t="s">
        <v>2629</v>
      </c>
      <c r="C26" s="3111" t="s">
        <v>2631</v>
      </c>
      <c r="D26" s="3112"/>
      <c r="E26" s="3113">
        <v>1</v>
      </c>
      <c r="F26" s="3102" t="s">
        <v>2452</v>
      </c>
      <c r="G26" s="3102"/>
    </row>
    <row r="27" spans="1:13" ht="19.5" customHeight="1">
      <c r="A27" s="3780" t="s">
        <v>2632</v>
      </c>
      <c r="B27" s="3777" t="s">
        <v>2613</v>
      </c>
      <c r="C27" s="3099" t="s">
        <v>2453</v>
      </c>
      <c r="D27" s="3100"/>
      <c r="E27" s="3101">
        <v>1</v>
      </c>
      <c r="F27" s="3102" t="s">
        <v>2454</v>
      </c>
      <c r="G27" s="3102"/>
    </row>
    <row r="28" spans="1:13" ht="19.5" customHeight="1">
      <c r="A28" s="3781"/>
      <c r="B28" s="3778"/>
      <c r="C28" s="3103" t="s">
        <v>2455</v>
      </c>
      <c r="D28" s="3104"/>
      <c r="E28" s="3105">
        <v>1</v>
      </c>
      <c r="F28" s="3102" t="s">
        <v>2456</v>
      </c>
      <c r="G28" s="3102"/>
    </row>
    <row r="29" spans="1:13" ht="19.5" customHeight="1">
      <c r="A29" s="3781"/>
      <c r="B29" s="3778"/>
      <c r="C29" s="3103" t="s">
        <v>2457</v>
      </c>
      <c r="D29" s="3104"/>
      <c r="E29" s="3105">
        <v>0.8</v>
      </c>
      <c r="F29" s="3102" t="s">
        <v>2458</v>
      </c>
      <c r="G29" s="3102"/>
    </row>
    <row r="30" spans="1:13" ht="19.5" customHeight="1">
      <c r="A30" s="3781"/>
      <c r="B30" s="3778"/>
      <c r="C30" s="3103" t="s">
        <v>2459</v>
      </c>
      <c r="D30" s="3104"/>
      <c r="E30" s="3105">
        <v>0.8</v>
      </c>
      <c r="F30" s="3102" t="s">
        <v>2460</v>
      </c>
      <c r="G30" s="3102"/>
    </row>
    <row r="31" spans="1:13" ht="19.5" customHeight="1">
      <c r="A31" s="3781"/>
      <c r="B31" s="3778"/>
      <c r="C31" s="3103" t="s">
        <v>2461</v>
      </c>
      <c r="D31" s="3104"/>
      <c r="E31" s="3105">
        <v>0.8</v>
      </c>
      <c r="F31" s="3102" t="s">
        <v>2462</v>
      </c>
      <c r="G31" s="3102"/>
    </row>
    <row r="32" spans="1:13" ht="19.5" customHeight="1">
      <c r="A32" s="3781"/>
      <c r="B32" s="3778"/>
      <c r="C32" s="3103" t="s">
        <v>2463</v>
      </c>
      <c r="D32" s="3104"/>
      <c r="E32" s="3105">
        <v>0.7</v>
      </c>
      <c r="F32" s="3102" t="s">
        <v>2464</v>
      </c>
      <c r="G32" s="3102"/>
    </row>
    <row r="33" spans="1:7" ht="19.5" customHeight="1">
      <c r="A33" s="3781"/>
      <c r="B33" s="3778"/>
      <c r="C33" s="3103" t="s">
        <v>2465</v>
      </c>
      <c r="D33" s="3104"/>
      <c r="E33" s="3105">
        <v>0.8</v>
      </c>
      <c r="F33" s="3102" t="s">
        <v>2466</v>
      </c>
      <c r="G33" s="3102"/>
    </row>
    <row r="34" spans="1:7" ht="19.5" customHeight="1">
      <c r="A34" s="3781"/>
      <c r="B34" s="3778"/>
      <c r="C34" s="3103" t="s">
        <v>2467</v>
      </c>
      <c r="D34" s="3104"/>
      <c r="E34" s="3105">
        <v>0.6</v>
      </c>
      <c r="F34" s="3102" t="s">
        <v>2468</v>
      </c>
      <c r="G34" s="3102"/>
    </row>
    <row r="35" spans="1:7" ht="19.5" customHeight="1">
      <c r="A35" s="3781"/>
      <c r="B35" s="3778"/>
      <c r="C35" s="3103" t="s">
        <v>2469</v>
      </c>
      <c r="D35" s="3104"/>
      <c r="E35" s="3105">
        <v>0.2</v>
      </c>
      <c r="F35" s="3102" t="s">
        <v>2470</v>
      </c>
      <c r="G35" s="3102"/>
    </row>
    <row r="36" spans="1:7" ht="19.5" customHeight="1">
      <c r="A36" s="3781"/>
      <c r="B36" s="3778"/>
      <c r="C36" s="3103" t="s">
        <v>2471</v>
      </c>
      <c r="D36" s="3104"/>
      <c r="E36" s="3105">
        <v>0.2</v>
      </c>
      <c r="F36" s="3102" t="s">
        <v>2472</v>
      </c>
      <c r="G36" s="3102"/>
    </row>
    <row r="37" spans="1:7" ht="19.5" customHeight="1">
      <c r="A37" s="3781"/>
      <c r="B37" s="3783" t="s">
        <v>2633</v>
      </c>
      <c r="C37" s="3103" t="s">
        <v>2473</v>
      </c>
      <c r="D37" s="3104"/>
      <c r="E37" s="3105">
        <v>0.6</v>
      </c>
      <c r="F37" s="3102" t="s">
        <v>2474</v>
      </c>
      <c r="G37" s="3102"/>
    </row>
    <row r="38" spans="1:7" ht="19.5" customHeight="1">
      <c r="A38" s="3781"/>
      <c r="B38" s="3778"/>
      <c r="C38" s="3103" t="s">
        <v>2475</v>
      </c>
      <c r="D38" s="3104"/>
      <c r="E38" s="3105">
        <v>0.6</v>
      </c>
      <c r="F38" s="3102" t="s">
        <v>2476</v>
      </c>
      <c r="G38" s="3102"/>
    </row>
    <row r="39" spans="1:7" ht="19.5" customHeight="1" thickBot="1">
      <c r="A39" s="3782"/>
      <c r="B39" s="3779"/>
      <c r="C39" s="3106" t="s">
        <v>2477</v>
      </c>
      <c r="D39" s="3107"/>
      <c r="E39" s="3108">
        <v>0.6</v>
      </c>
      <c r="F39" s="3102" t="s">
        <v>2478</v>
      </c>
      <c r="G39" s="3102"/>
    </row>
    <row r="40" spans="1:7" ht="19.5" customHeight="1" thickBot="1">
      <c r="A40" s="3109" t="s">
        <v>2610</v>
      </c>
      <c r="B40" s="3110" t="s">
        <v>2610</v>
      </c>
      <c r="C40" s="3111" t="s">
        <v>2634</v>
      </c>
      <c r="D40" s="3112"/>
      <c r="E40" s="3113">
        <v>1</v>
      </c>
      <c r="F40" s="3102" t="s">
        <v>2479</v>
      </c>
      <c r="G40" s="3102"/>
    </row>
    <row r="41" spans="1:7" ht="19.5" customHeight="1">
      <c r="A41" s="3784" t="s">
        <v>2611</v>
      </c>
      <c r="B41" s="3777" t="s">
        <v>2635</v>
      </c>
      <c r="C41" s="3099" t="s">
        <v>2480</v>
      </c>
      <c r="D41" s="3100"/>
      <c r="E41" s="3101">
        <v>1</v>
      </c>
      <c r="F41" s="3102" t="s">
        <v>2481</v>
      </c>
      <c r="G41" s="3102"/>
    </row>
    <row r="42" spans="1:7" ht="19.5" customHeight="1">
      <c r="A42" s="3785"/>
      <c r="B42" s="3778"/>
      <c r="C42" s="3103" t="s">
        <v>2482</v>
      </c>
      <c r="D42" s="3104"/>
      <c r="E42" s="3105">
        <v>1</v>
      </c>
      <c r="F42" s="3102" t="s">
        <v>2483</v>
      </c>
      <c r="G42" s="3102"/>
    </row>
    <row r="43" spans="1:7" ht="19.5" customHeight="1">
      <c r="A43" s="3785"/>
      <c r="B43" s="3787"/>
      <c r="C43" s="3103" t="s">
        <v>2484</v>
      </c>
      <c r="D43" s="3104"/>
      <c r="E43" s="3105">
        <v>1.5</v>
      </c>
      <c r="F43" s="3102" t="s">
        <v>2485</v>
      </c>
      <c r="G43" s="3102"/>
    </row>
    <row r="44" spans="1:7" ht="19.5" customHeight="1">
      <c r="A44" s="3785"/>
      <c r="B44" s="3114" t="s">
        <v>2636</v>
      </c>
      <c r="C44" s="3103" t="s">
        <v>2637</v>
      </c>
      <c r="D44" s="3104"/>
      <c r="E44" s="3105">
        <v>2</v>
      </c>
      <c r="F44" s="3102" t="s">
        <v>2486</v>
      </c>
      <c r="G44" s="3102"/>
    </row>
    <row r="45" spans="1:7" ht="19.5" customHeight="1">
      <c r="A45" s="3785"/>
      <c r="B45" s="3783" t="s">
        <v>2638</v>
      </c>
      <c r="C45" s="3103" t="s">
        <v>2487</v>
      </c>
      <c r="D45" s="3104"/>
      <c r="E45" s="3105">
        <v>1</v>
      </c>
      <c r="F45" s="3102" t="s">
        <v>2488</v>
      </c>
      <c r="G45" s="3102"/>
    </row>
    <row r="46" spans="1:7" ht="19.5" customHeight="1">
      <c r="A46" s="3785"/>
      <c r="B46" s="3778"/>
      <c r="C46" s="3103" t="s">
        <v>2489</v>
      </c>
      <c r="D46" s="3104"/>
      <c r="E46" s="3105">
        <v>1</v>
      </c>
      <c r="F46" s="3102" t="s">
        <v>2490</v>
      </c>
      <c r="G46" s="3102"/>
    </row>
    <row r="47" spans="1:7" ht="19.5" customHeight="1">
      <c r="A47" s="3785"/>
      <c r="B47" s="3778"/>
      <c r="C47" s="3103" t="s">
        <v>2491</v>
      </c>
      <c r="D47" s="3104"/>
      <c r="E47" s="3105">
        <v>1</v>
      </c>
      <c r="F47" s="3102" t="s">
        <v>2492</v>
      </c>
      <c r="G47" s="3102"/>
    </row>
    <row r="48" spans="1:7" ht="19.5" customHeight="1">
      <c r="A48" s="3785"/>
      <c r="B48" s="3778"/>
      <c r="C48" s="3103" t="s">
        <v>2493</v>
      </c>
      <c r="D48" s="3104"/>
      <c r="E48" s="3105">
        <v>1</v>
      </c>
      <c r="F48" s="3102" t="s">
        <v>2494</v>
      </c>
      <c r="G48" s="3102"/>
    </row>
    <row r="49" spans="1:7" ht="19.5" customHeight="1">
      <c r="A49" s="3785"/>
      <c r="B49" s="3778"/>
      <c r="C49" s="3103" t="s">
        <v>2495</v>
      </c>
      <c r="D49" s="3104"/>
      <c r="E49" s="3105">
        <v>1</v>
      </c>
      <c r="F49" s="3102" t="s">
        <v>2496</v>
      </c>
      <c r="G49" s="3102"/>
    </row>
    <row r="50" spans="1:7" ht="19.5" customHeight="1">
      <c r="A50" s="3785"/>
      <c r="B50" s="3778"/>
      <c r="C50" s="3103" t="s">
        <v>2497</v>
      </c>
      <c r="D50" s="3104"/>
      <c r="E50" s="3105">
        <v>1</v>
      </c>
      <c r="F50" s="3102" t="s">
        <v>2498</v>
      </c>
      <c r="G50" s="3102"/>
    </row>
    <row r="51" spans="1:7" ht="19.5" customHeight="1" thickBot="1">
      <c r="A51" s="3786"/>
      <c r="B51" s="3779"/>
      <c r="C51" s="3106" t="s">
        <v>2499</v>
      </c>
      <c r="D51" s="3107"/>
      <c r="E51" s="3108">
        <v>1</v>
      </c>
      <c r="F51" s="3102" t="s">
        <v>2500</v>
      </c>
      <c r="G51" s="3102"/>
    </row>
    <row r="52" spans="1:7" ht="19.5" customHeight="1">
      <c r="A52" s="3115"/>
      <c r="B52" s="3115"/>
      <c r="C52" s="3115"/>
      <c r="D52" s="3115"/>
      <c r="E52" s="3115"/>
      <c r="F52" s="3115"/>
      <c r="G52" s="3115"/>
    </row>
    <row r="54" spans="1:7" ht="19.5" customHeight="1">
      <c r="A54" s="3116"/>
      <c r="B54" s="3088" t="s">
        <v>2639</v>
      </c>
      <c r="C54" s="3088" t="s">
        <v>2639</v>
      </c>
      <c r="D54" s="3088" t="s">
        <v>2639</v>
      </c>
      <c r="E54" s="3091" t="s">
        <v>2639</v>
      </c>
      <c r="F54" s="3091" t="s">
        <v>2640</v>
      </c>
      <c r="G54" s="3091" t="s">
        <v>2641</v>
      </c>
    </row>
    <row r="55" spans="1:7" ht="19.5" customHeight="1">
      <c r="A55" s="3117"/>
      <c r="B55" s="3091" t="s">
        <v>2608</v>
      </c>
      <c r="C55" s="3091" t="s">
        <v>2608</v>
      </c>
      <c r="D55" s="3091" t="s">
        <v>2608</v>
      </c>
      <c r="E55" s="3088" t="s">
        <v>2609</v>
      </c>
      <c r="F55" s="3088" t="s">
        <v>2611</v>
      </c>
      <c r="G55" s="3088" t="s">
        <v>2642</v>
      </c>
    </row>
    <row r="56" spans="1:7" ht="19.5" customHeight="1">
      <c r="A56" s="3118"/>
      <c r="B56" s="3088">
        <v>1</v>
      </c>
      <c r="C56" s="3088">
        <v>2</v>
      </c>
      <c r="D56" s="3088">
        <v>3</v>
      </c>
      <c r="E56" s="3119" t="s">
        <v>2643</v>
      </c>
      <c r="F56" s="3119" t="s">
        <v>2643</v>
      </c>
      <c r="G56" s="3119" t="s">
        <v>2643</v>
      </c>
    </row>
    <row r="57" spans="1:7" ht="19.5" customHeight="1">
      <c r="A57" s="3120" t="s">
        <v>2596</v>
      </c>
      <c r="B57" s="3088">
        <v>0.7</v>
      </c>
      <c r="C57" s="3088">
        <v>0.4</v>
      </c>
      <c r="D57" s="3088">
        <v>0.3</v>
      </c>
      <c r="E57" s="3119">
        <v>0.3</v>
      </c>
      <c r="F57" s="3088">
        <v>0.3</v>
      </c>
      <c r="G57" s="3088">
        <v>0.2</v>
      </c>
    </row>
    <row r="58" spans="1:7" ht="19.5" customHeight="1">
      <c r="A58" s="3120" t="s">
        <v>2597</v>
      </c>
      <c r="B58" s="3088">
        <v>0.7</v>
      </c>
      <c r="C58" s="3088">
        <v>0.4</v>
      </c>
      <c r="D58" s="3088">
        <v>0.3</v>
      </c>
      <c r="E58" s="3088">
        <v>0.3</v>
      </c>
      <c r="F58" s="3088">
        <v>0.3</v>
      </c>
      <c r="G58" s="3088">
        <v>0.2</v>
      </c>
    </row>
    <row r="59" spans="1:7" ht="19.5" customHeight="1">
      <c r="A59" s="3120" t="s">
        <v>2598</v>
      </c>
      <c r="B59" s="3088">
        <v>0.6</v>
      </c>
      <c r="C59" s="3088">
        <v>0.3</v>
      </c>
      <c r="D59" s="3088">
        <v>0.25</v>
      </c>
      <c r="E59" s="3088">
        <v>0.25</v>
      </c>
      <c r="F59" s="3088">
        <v>0.25</v>
      </c>
      <c r="G59" s="3088">
        <v>0.15</v>
      </c>
    </row>
    <row r="60" spans="1:7" ht="19.5" customHeight="1">
      <c r="A60" s="3120" t="s">
        <v>2599</v>
      </c>
      <c r="B60" s="3088">
        <v>0.6</v>
      </c>
      <c r="C60" s="3088">
        <v>0.3</v>
      </c>
      <c r="D60" s="3088">
        <v>0.25</v>
      </c>
      <c r="E60" s="3088">
        <v>0.25</v>
      </c>
      <c r="F60" s="3088">
        <v>0.25</v>
      </c>
      <c r="G60" s="3088">
        <v>0.15</v>
      </c>
    </row>
    <row r="61" spans="1:7" ht="19.5" customHeight="1">
      <c r="A61" s="3120" t="s">
        <v>2600</v>
      </c>
      <c r="B61" s="3088">
        <v>0.6</v>
      </c>
      <c r="C61" s="3088">
        <v>0.3</v>
      </c>
      <c r="D61" s="3088">
        <v>0.25</v>
      </c>
      <c r="E61" s="3088">
        <v>0.25</v>
      </c>
      <c r="F61" s="3088">
        <v>0.25</v>
      </c>
      <c r="G61" s="3088">
        <v>0.15</v>
      </c>
    </row>
    <row r="62" spans="1:7" ht="19.5" customHeight="1">
      <c r="A62" s="3120" t="s">
        <v>2601</v>
      </c>
      <c r="B62" s="3088">
        <v>0.6</v>
      </c>
      <c r="C62" s="3088">
        <v>0.3</v>
      </c>
      <c r="D62" s="3088">
        <v>0.25</v>
      </c>
      <c r="E62" s="3088">
        <v>0.25</v>
      </c>
      <c r="F62" s="3088">
        <v>0.25</v>
      </c>
      <c r="G62" s="3088">
        <v>0.15</v>
      </c>
    </row>
    <row r="63" spans="1:7" ht="19.5" customHeight="1">
      <c r="A63" s="3120" t="s">
        <v>2602</v>
      </c>
      <c r="B63" s="3088">
        <v>0.6</v>
      </c>
      <c r="C63" s="3088">
        <v>0.3</v>
      </c>
      <c r="D63" s="3088">
        <v>0.25</v>
      </c>
      <c r="E63" s="3088">
        <v>0.25</v>
      </c>
      <c r="F63" s="3088">
        <v>0.25</v>
      </c>
      <c r="G63" s="3088">
        <v>0.15</v>
      </c>
    </row>
    <row r="64" spans="1:7" ht="19.5" customHeight="1">
      <c r="A64" s="3120" t="s">
        <v>2603</v>
      </c>
      <c r="B64" s="3088">
        <v>0.5</v>
      </c>
      <c r="C64" s="3088">
        <v>0.2</v>
      </c>
      <c r="D64" s="3088">
        <v>0.2</v>
      </c>
      <c r="E64" s="3088">
        <v>0.2</v>
      </c>
      <c r="F64" s="3088">
        <v>0.2</v>
      </c>
      <c r="G64" s="3088">
        <v>0.1</v>
      </c>
    </row>
    <row r="65" spans="1:7" ht="19.5" customHeight="1">
      <c r="A65" s="3120" t="s">
        <v>2604</v>
      </c>
      <c r="B65" s="3088">
        <v>0.5</v>
      </c>
      <c r="C65" s="3088">
        <v>0.2</v>
      </c>
      <c r="D65" s="3088">
        <v>0.2</v>
      </c>
      <c r="E65" s="3088">
        <v>0.2</v>
      </c>
      <c r="F65" s="3088">
        <v>0.2</v>
      </c>
      <c r="G65" s="3088">
        <v>0.1</v>
      </c>
    </row>
    <row r="66" spans="1:7" ht="19.5" customHeight="1">
      <c r="A66" s="3120" t="s">
        <v>2605</v>
      </c>
      <c r="B66" s="3088">
        <v>0.5</v>
      </c>
      <c r="C66" s="3088">
        <v>0.2</v>
      </c>
      <c r="D66" s="3088">
        <v>0.2</v>
      </c>
      <c r="E66" s="3088">
        <v>0.2</v>
      </c>
      <c r="F66" s="3088">
        <v>0.2</v>
      </c>
      <c r="G66" s="3088">
        <v>0.1</v>
      </c>
    </row>
    <row r="67" spans="1:7" ht="19.5" customHeight="1">
      <c r="A67" s="3120" t="s">
        <v>2606</v>
      </c>
      <c r="B67" s="3088">
        <v>0.5</v>
      </c>
      <c r="C67" s="3088">
        <v>0.2</v>
      </c>
      <c r="D67" s="3088">
        <v>0.2</v>
      </c>
      <c r="E67" s="3088">
        <v>0.2</v>
      </c>
      <c r="F67" s="3088">
        <v>0.2</v>
      </c>
      <c r="G67" s="3088">
        <v>0.1</v>
      </c>
    </row>
    <row r="68" spans="1:7" ht="19.5" customHeight="1">
      <c r="A68" s="3120" t="s">
        <v>2607</v>
      </c>
      <c r="B68" s="3088">
        <v>0.5</v>
      </c>
      <c r="C68" s="3088">
        <v>0.2</v>
      </c>
      <c r="D68" s="3088">
        <v>0.2</v>
      </c>
      <c r="E68" s="3088">
        <v>0.2</v>
      </c>
      <c r="F68" s="3088">
        <v>0.2</v>
      </c>
      <c r="G68" s="3088">
        <v>0.1</v>
      </c>
    </row>
    <row r="70" spans="1:7" ht="19.5" customHeight="1">
      <c r="A70" s="3121"/>
      <c r="B70" s="3122"/>
      <c r="C70" s="3122"/>
      <c r="D70" s="3122" t="s">
        <v>2644</v>
      </c>
      <c r="E70" s="3122"/>
      <c r="F70" s="3122"/>
    </row>
    <row r="71" spans="1:7" ht="19.5" customHeight="1">
      <c r="A71" s="3114" t="s">
        <v>2645</v>
      </c>
      <c r="B71" s="3114" t="s">
        <v>2646</v>
      </c>
      <c r="C71" s="3114" t="s">
        <v>2647</v>
      </c>
      <c r="D71" s="3114" t="s">
        <v>2648</v>
      </c>
      <c r="E71" s="3114" t="s">
        <v>2649</v>
      </c>
      <c r="F71" s="3114" t="s">
        <v>2650</v>
      </c>
    </row>
    <row r="72" spans="1:7" ht="13.5">
      <c r="A72" s="3114"/>
      <c r="B72" s="3114"/>
      <c r="C72" s="3114" t="s">
        <v>2651</v>
      </c>
      <c r="D72" s="3114"/>
      <c r="E72" s="3114" t="s">
        <v>2622</v>
      </c>
      <c r="F72" s="3114" t="s">
        <v>2622</v>
      </c>
    </row>
    <row r="73" spans="1:7" ht="13.5">
      <c r="A73" s="3114">
        <v>1</v>
      </c>
      <c r="B73" s="3783" t="s">
        <v>2652</v>
      </c>
      <c r="C73" s="3088" t="s">
        <v>2653</v>
      </c>
      <c r="D73" s="3088" t="s">
        <v>2654</v>
      </c>
      <c r="E73" s="3114">
        <v>0.2</v>
      </c>
      <c r="F73" s="3114">
        <v>25</v>
      </c>
    </row>
    <row r="74" spans="1:7" ht="24">
      <c r="A74" s="3114">
        <v>2</v>
      </c>
      <c r="B74" s="3778"/>
      <c r="C74" s="3088" t="s">
        <v>2655</v>
      </c>
      <c r="D74" s="3088" t="s">
        <v>2656</v>
      </c>
      <c r="E74" s="3114">
        <v>0.2</v>
      </c>
      <c r="F74" s="3114">
        <v>25</v>
      </c>
    </row>
    <row r="75" spans="1:7" ht="24">
      <c r="A75" s="3114">
        <v>3</v>
      </c>
      <c r="B75" s="3778"/>
      <c r="C75" s="3088" t="s">
        <v>2657</v>
      </c>
      <c r="D75" s="3088" t="s">
        <v>2658</v>
      </c>
      <c r="E75" s="3114">
        <v>0.2</v>
      </c>
      <c r="F75" s="3114">
        <v>25</v>
      </c>
    </row>
    <row r="76" spans="1:7" ht="13.5">
      <c r="A76" s="3114">
        <v>4</v>
      </c>
      <c r="B76" s="3778"/>
      <c r="C76" s="3088" t="s">
        <v>2659</v>
      </c>
      <c r="D76" s="3088" t="s">
        <v>2660</v>
      </c>
      <c r="E76" s="3114">
        <v>0.15</v>
      </c>
      <c r="F76" s="3114">
        <v>20</v>
      </c>
    </row>
    <row r="77" spans="1:7" ht="24">
      <c r="A77" s="3114">
        <v>5</v>
      </c>
      <c r="B77" s="3778"/>
      <c r="C77" s="3088" t="s">
        <v>2661</v>
      </c>
      <c r="D77" s="3088" t="s">
        <v>2662</v>
      </c>
      <c r="E77" s="3114">
        <v>0.15</v>
      </c>
      <c r="F77" s="3114">
        <v>20</v>
      </c>
    </row>
    <row r="78" spans="1:7" ht="24">
      <c r="A78" s="3114">
        <v>6</v>
      </c>
      <c r="B78" s="3778"/>
      <c r="C78" s="3088" t="s">
        <v>2663</v>
      </c>
      <c r="D78" s="3088" t="s">
        <v>2664</v>
      </c>
      <c r="E78" s="3114">
        <v>0.15</v>
      </c>
      <c r="F78" s="3114">
        <v>20</v>
      </c>
    </row>
    <row r="79" spans="1:7" ht="24">
      <c r="A79" s="3114">
        <v>7</v>
      </c>
      <c r="B79" s="3778"/>
      <c r="C79" s="3088" t="s">
        <v>2665</v>
      </c>
      <c r="D79" s="3088" t="s">
        <v>2666</v>
      </c>
      <c r="E79" s="3114">
        <v>0.15</v>
      </c>
      <c r="F79" s="3114">
        <v>20</v>
      </c>
    </row>
    <row r="80" spans="1:7" ht="24">
      <c r="A80" s="3114">
        <v>8</v>
      </c>
      <c r="B80" s="3778"/>
      <c r="C80" s="3088" t="s">
        <v>2667</v>
      </c>
      <c r="D80" s="3088" t="s">
        <v>2668</v>
      </c>
      <c r="E80" s="3114">
        <v>0.1</v>
      </c>
      <c r="F80" s="3114">
        <v>15</v>
      </c>
    </row>
    <row r="81" spans="1:6" ht="24">
      <c r="A81" s="3114">
        <v>9</v>
      </c>
      <c r="B81" s="3778"/>
      <c r="C81" s="3088" t="s">
        <v>2669</v>
      </c>
      <c r="D81" s="3088" t="s">
        <v>2670</v>
      </c>
      <c r="E81" s="3114">
        <v>0.1</v>
      </c>
      <c r="F81" s="3114">
        <v>15</v>
      </c>
    </row>
    <row r="82" spans="1:6" ht="24">
      <c r="A82" s="3114">
        <v>10</v>
      </c>
      <c r="B82" s="3778"/>
      <c r="C82" s="3088" t="s">
        <v>2671</v>
      </c>
      <c r="D82" s="3088" t="s">
        <v>2672</v>
      </c>
      <c r="E82" s="3114">
        <v>0.1</v>
      </c>
      <c r="F82" s="3114">
        <v>15</v>
      </c>
    </row>
    <row r="83" spans="1:6" ht="24">
      <c r="A83" s="3114">
        <v>11</v>
      </c>
      <c r="B83" s="3778"/>
      <c r="C83" s="3088" t="s">
        <v>2673</v>
      </c>
      <c r="D83" s="3088" t="s">
        <v>2674</v>
      </c>
      <c r="E83" s="3114">
        <v>0.1</v>
      </c>
      <c r="F83" s="3114">
        <v>15</v>
      </c>
    </row>
    <row r="84" spans="1:6" ht="24">
      <c r="A84" s="3114">
        <v>12</v>
      </c>
      <c r="B84" s="3778"/>
      <c r="C84" s="3088" t="s">
        <v>2675</v>
      </c>
      <c r="D84" s="3088" t="s">
        <v>2676</v>
      </c>
      <c r="E84" s="3114">
        <v>0.1</v>
      </c>
      <c r="F84" s="3114">
        <v>15</v>
      </c>
    </row>
    <row r="85" spans="1:6" ht="13.5">
      <c r="A85" s="3114">
        <v>13</v>
      </c>
      <c r="B85" s="3778"/>
      <c r="C85" s="3088" t="s">
        <v>2677</v>
      </c>
      <c r="D85" s="3088" t="s">
        <v>2678</v>
      </c>
      <c r="E85" s="3114">
        <v>0.1</v>
      </c>
      <c r="F85" s="3114">
        <v>15</v>
      </c>
    </row>
    <row r="86" spans="1:6" ht="13.5">
      <c r="A86" s="3114">
        <v>14</v>
      </c>
      <c r="B86" s="3778"/>
      <c r="C86" s="3088" t="s">
        <v>2679</v>
      </c>
      <c r="D86" s="3088" t="s">
        <v>2680</v>
      </c>
      <c r="E86" s="3114">
        <v>0.1</v>
      </c>
      <c r="F86" s="3114">
        <v>15</v>
      </c>
    </row>
    <row r="87" spans="1:6" ht="13.5">
      <c r="A87" s="3114">
        <v>15</v>
      </c>
      <c r="B87" s="3778"/>
      <c r="C87" s="3088" t="s">
        <v>2681</v>
      </c>
      <c r="D87" s="3088" t="s">
        <v>2682</v>
      </c>
      <c r="E87" s="3114">
        <v>0.1</v>
      </c>
      <c r="F87" s="3114">
        <v>15</v>
      </c>
    </row>
    <row r="88" spans="1:6" ht="24">
      <c r="A88" s="3114">
        <v>16</v>
      </c>
      <c r="B88" s="3778"/>
      <c r="C88" s="3088" t="s">
        <v>2683</v>
      </c>
      <c r="D88" s="3088" t="s">
        <v>2684</v>
      </c>
      <c r="E88" s="3114">
        <v>0.1</v>
      </c>
      <c r="F88" s="3114">
        <v>15</v>
      </c>
    </row>
    <row r="89" spans="1:6" ht="24">
      <c r="A89" s="3114">
        <v>17</v>
      </c>
      <c r="B89" s="3787"/>
      <c r="C89" s="3088" t="s">
        <v>2685</v>
      </c>
      <c r="D89" s="3088" t="s">
        <v>2686</v>
      </c>
      <c r="E89" s="3114">
        <v>0.1</v>
      </c>
      <c r="F89" s="3114">
        <v>15</v>
      </c>
    </row>
    <row r="90" spans="1:6" ht="13.5">
      <c r="A90" s="3114">
        <v>18</v>
      </c>
      <c r="B90" s="3783" t="s">
        <v>2687</v>
      </c>
      <c r="C90" s="3088" t="s">
        <v>2688</v>
      </c>
      <c r="D90" s="3088" t="s">
        <v>2689</v>
      </c>
      <c r="E90" s="3114">
        <v>0.2</v>
      </c>
      <c r="F90" s="3114">
        <v>25</v>
      </c>
    </row>
    <row r="91" spans="1:6" ht="24">
      <c r="A91" s="3114">
        <v>19</v>
      </c>
      <c r="B91" s="3778"/>
      <c r="C91" s="3088" t="s">
        <v>2690</v>
      </c>
      <c r="D91" s="3088" t="s">
        <v>2691</v>
      </c>
      <c r="E91" s="3114">
        <v>0.2</v>
      </c>
      <c r="F91" s="3114">
        <v>25</v>
      </c>
    </row>
    <row r="92" spans="1:6" ht="13.5">
      <c r="A92" s="3114">
        <v>20</v>
      </c>
      <c r="B92" s="3778"/>
      <c r="C92" s="3088" t="s">
        <v>2692</v>
      </c>
      <c r="D92" s="3088" t="s">
        <v>2693</v>
      </c>
      <c r="E92" s="3114">
        <v>0.15</v>
      </c>
      <c r="F92" s="3114">
        <v>20</v>
      </c>
    </row>
    <row r="93" spans="1:6" ht="13.5">
      <c r="A93" s="3114">
        <v>21</v>
      </c>
      <c r="B93" s="3778"/>
      <c r="C93" s="3088" t="s">
        <v>2694</v>
      </c>
      <c r="D93" s="3088" t="s">
        <v>2695</v>
      </c>
      <c r="E93" s="3114">
        <v>0.15</v>
      </c>
      <c r="F93" s="3114">
        <v>20</v>
      </c>
    </row>
    <row r="94" spans="1:6" ht="13.5">
      <c r="A94" s="3114">
        <v>22</v>
      </c>
      <c r="B94" s="3778"/>
      <c r="C94" s="3088" t="s">
        <v>2696</v>
      </c>
      <c r="D94" s="3088" t="s">
        <v>2697</v>
      </c>
      <c r="E94" s="3114">
        <v>0.15</v>
      </c>
      <c r="F94" s="3114">
        <v>20</v>
      </c>
    </row>
    <row r="95" spans="1:6" ht="36">
      <c r="A95" s="3114">
        <v>23</v>
      </c>
      <c r="B95" s="3778"/>
      <c r="C95" s="3088" t="s">
        <v>2698</v>
      </c>
      <c r="D95" s="3088" t="s">
        <v>2699</v>
      </c>
      <c r="E95" s="3114">
        <v>0.15</v>
      </c>
      <c r="F95" s="3114">
        <v>20</v>
      </c>
    </row>
    <row r="96" spans="1:6" ht="13.5">
      <c r="A96" s="3114">
        <v>24</v>
      </c>
      <c r="B96" s="3778"/>
      <c r="C96" s="3088" t="s">
        <v>2700</v>
      </c>
      <c r="D96" s="3088" t="s">
        <v>2701</v>
      </c>
      <c r="E96" s="3114">
        <v>0.1</v>
      </c>
      <c r="F96" s="3114">
        <v>15</v>
      </c>
    </row>
    <row r="97" spans="1:6" ht="13.5">
      <c r="A97" s="3114">
        <v>25</v>
      </c>
      <c r="B97" s="3778"/>
      <c r="C97" s="3088" t="s">
        <v>2702</v>
      </c>
      <c r="D97" s="3088" t="s">
        <v>2703</v>
      </c>
      <c r="E97" s="3114">
        <v>0.1</v>
      </c>
      <c r="F97" s="3114">
        <v>15</v>
      </c>
    </row>
    <row r="98" spans="1:6" ht="24">
      <c r="A98" s="3114">
        <v>26</v>
      </c>
      <c r="B98" s="3778"/>
      <c r="C98" s="3088" t="s">
        <v>2704</v>
      </c>
      <c r="D98" s="3088" t="s">
        <v>2705</v>
      </c>
      <c r="E98" s="3114">
        <v>0.1</v>
      </c>
      <c r="F98" s="3114">
        <v>15</v>
      </c>
    </row>
    <row r="99" spans="1:6" ht="24">
      <c r="A99" s="3114">
        <v>27</v>
      </c>
      <c r="B99" s="3778"/>
      <c r="C99" s="3088" t="s">
        <v>2706</v>
      </c>
      <c r="D99" s="3088" t="s">
        <v>2707</v>
      </c>
      <c r="E99" s="3114">
        <v>0.1</v>
      </c>
      <c r="F99" s="3114">
        <v>15</v>
      </c>
    </row>
    <row r="100" spans="1:6" ht="13.5">
      <c r="A100" s="3114">
        <v>28</v>
      </c>
      <c r="B100" s="3778"/>
      <c r="C100" s="3088" t="s">
        <v>2708</v>
      </c>
      <c r="D100" s="3088" t="s">
        <v>2709</v>
      </c>
      <c r="E100" s="3114">
        <v>0.1</v>
      </c>
      <c r="F100" s="3114">
        <v>15</v>
      </c>
    </row>
    <row r="101" spans="1:6" ht="13.5">
      <c r="A101" s="3114">
        <v>29</v>
      </c>
      <c r="B101" s="3778"/>
      <c r="C101" s="3088" t="s">
        <v>2710</v>
      </c>
      <c r="D101" s="3088" t="s">
        <v>2711</v>
      </c>
      <c r="E101" s="3114">
        <v>0.1</v>
      </c>
      <c r="F101" s="3114">
        <v>15</v>
      </c>
    </row>
    <row r="102" spans="1:6" ht="13.5">
      <c r="A102" s="3114">
        <v>30</v>
      </c>
      <c r="B102" s="3778"/>
      <c r="C102" s="3088" t="s">
        <v>2712</v>
      </c>
      <c r="D102" s="3088" t="s">
        <v>2713</v>
      </c>
      <c r="E102" s="3114">
        <v>0.1</v>
      </c>
      <c r="F102" s="3114">
        <v>15</v>
      </c>
    </row>
    <row r="103" spans="1:6" ht="24">
      <c r="A103" s="3114">
        <v>31</v>
      </c>
      <c r="B103" s="3778"/>
      <c r="C103" s="3088" t="s">
        <v>2714</v>
      </c>
      <c r="D103" s="3088" t="s">
        <v>2715</v>
      </c>
      <c r="E103" s="3114">
        <v>0.1</v>
      </c>
      <c r="F103" s="3114">
        <v>15</v>
      </c>
    </row>
    <row r="104" spans="1:6" ht="24">
      <c r="A104" s="3114">
        <v>32</v>
      </c>
      <c r="B104" s="3778"/>
      <c r="C104" s="3088" t="s">
        <v>2716</v>
      </c>
      <c r="D104" s="3088" t="s">
        <v>2717</v>
      </c>
      <c r="E104" s="3114">
        <v>0.1</v>
      </c>
      <c r="F104" s="3114">
        <v>15</v>
      </c>
    </row>
    <row r="105" spans="1:6" ht="24">
      <c r="A105" s="3114">
        <v>33</v>
      </c>
      <c r="B105" s="3778"/>
      <c r="C105" s="3088" t="s">
        <v>2718</v>
      </c>
      <c r="D105" s="3088" t="s">
        <v>2719</v>
      </c>
      <c r="E105" s="3114">
        <v>0.1</v>
      </c>
      <c r="F105" s="3114">
        <v>15</v>
      </c>
    </row>
    <row r="106" spans="1:6" ht="24">
      <c r="A106" s="3114">
        <v>34</v>
      </c>
      <c r="B106" s="3787"/>
      <c r="C106" s="3088" t="s">
        <v>2720</v>
      </c>
      <c r="D106" s="3088" t="s">
        <v>2721</v>
      </c>
      <c r="E106" s="3114">
        <v>0.1</v>
      </c>
      <c r="F106" s="3114">
        <v>15</v>
      </c>
    </row>
    <row r="107" spans="1:6" ht="24">
      <c r="A107" s="3114">
        <v>35</v>
      </c>
      <c r="B107" s="3783" t="s">
        <v>2722</v>
      </c>
      <c r="C107" s="3114" t="s">
        <v>2723</v>
      </c>
      <c r="D107" s="3088" t="s">
        <v>2724</v>
      </c>
      <c r="E107" s="3114">
        <v>0.15</v>
      </c>
      <c r="F107" s="3114">
        <v>20</v>
      </c>
    </row>
    <row r="108" spans="1:6" ht="13.5">
      <c r="A108" s="3114">
        <v>36</v>
      </c>
      <c r="B108" s="3778"/>
      <c r="C108" s="3114" t="s">
        <v>2725</v>
      </c>
      <c r="D108" s="3088" t="s">
        <v>2726</v>
      </c>
      <c r="E108" s="3114">
        <v>0.15</v>
      </c>
      <c r="F108" s="3114">
        <v>20</v>
      </c>
    </row>
    <row r="109" spans="1:6" ht="13.5">
      <c r="A109" s="3114">
        <v>37</v>
      </c>
      <c r="B109" s="3778"/>
      <c r="C109" s="3114" t="s">
        <v>2727</v>
      </c>
      <c r="D109" s="3088" t="s">
        <v>2728</v>
      </c>
      <c r="E109" s="3114">
        <v>0.15</v>
      </c>
      <c r="F109" s="3114">
        <v>20</v>
      </c>
    </row>
    <row r="110" spans="1:6" ht="13.5">
      <c r="A110" s="3114">
        <v>38</v>
      </c>
      <c r="B110" s="3778"/>
      <c r="C110" s="3114" t="s">
        <v>2729</v>
      </c>
      <c r="D110" s="3088" t="s">
        <v>2730</v>
      </c>
      <c r="E110" s="3114">
        <v>0.1</v>
      </c>
      <c r="F110" s="3114">
        <v>15</v>
      </c>
    </row>
    <row r="111" spans="1:6" ht="24">
      <c r="A111" s="3114">
        <v>39</v>
      </c>
      <c r="B111" s="3778"/>
      <c r="C111" s="3114" t="s">
        <v>2731</v>
      </c>
      <c r="D111" s="3088" t="s">
        <v>2732</v>
      </c>
      <c r="E111" s="3114">
        <v>0.1</v>
      </c>
      <c r="F111" s="3114">
        <v>15</v>
      </c>
    </row>
    <row r="112" spans="1:6" ht="24">
      <c r="A112" s="3114">
        <v>40</v>
      </c>
      <c r="B112" s="3787"/>
      <c r="C112" s="3114" t="s">
        <v>2733</v>
      </c>
      <c r="D112" s="3088" t="s">
        <v>2734</v>
      </c>
      <c r="E112" s="3114">
        <v>0.1</v>
      </c>
      <c r="F112" s="3114">
        <v>15</v>
      </c>
    </row>
    <row r="113" spans="1:6" ht="13.5">
      <c r="A113" s="3114">
        <v>41</v>
      </c>
      <c r="B113" s="3788" t="s">
        <v>2735</v>
      </c>
      <c r="C113" s="3114" t="s">
        <v>2736</v>
      </c>
      <c r="D113" s="3088" t="s">
        <v>2737</v>
      </c>
      <c r="E113" s="3114">
        <v>0.1</v>
      </c>
      <c r="F113" s="3114">
        <v>15</v>
      </c>
    </row>
    <row r="114" spans="1:6" ht="13.5">
      <c r="A114" s="3114">
        <v>42</v>
      </c>
      <c r="B114" s="3788"/>
      <c r="C114" s="3114" t="s">
        <v>2738</v>
      </c>
      <c r="D114" s="3088" t="s">
        <v>2739</v>
      </c>
      <c r="E114" s="3114">
        <v>0.1</v>
      </c>
      <c r="F114" s="3114">
        <v>15</v>
      </c>
    </row>
    <row r="115" spans="1:6" ht="24">
      <c r="A115" s="3114">
        <v>43</v>
      </c>
      <c r="B115" s="3788"/>
      <c r="C115" s="3114" t="s">
        <v>2740</v>
      </c>
      <c r="D115" s="3088" t="s">
        <v>2741</v>
      </c>
      <c r="E115" s="3114">
        <v>0.1</v>
      </c>
      <c r="F115" s="3114">
        <v>15</v>
      </c>
    </row>
    <row r="116" spans="1:6" ht="13.5">
      <c r="A116" s="3114">
        <v>44</v>
      </c>
      <c r="B116" s="3783" t="s">
        <v>2742</v>
      </c>
      <c r="C116" s="3114" t="s">
        <v>2743</v>
      </c>
      <c r="D116" s="3088" t="s">
        <v>2744</v>
      </c>
      <c r="E116" s="3114">
        <v>0.1</v>
      </c>
      <c r="F116" s="3114">
        <v>15</v>
      </c>
    </row>
    <row r="117" spans="1:6" ht="24">
      <c r="A117" s="3114">
        <v>45</v>
      </c>
      <c r="B117" s="3787"/>
      <c r="C117" s="3088" t="s">
        <v>2745</v>
      </c>
      <c r="D117" s="3088" t="s">
        <v>2746</v>
      </c>
      <c r="E117" s="3114">
        <v>0.1</v>
      </c>
      <c r="F117" s="3114">
        <v>15</v>
      </c>
    </row>
    <row r="118" spans="1:6" ht="24">
      <c r="A118" s="3114">
        <v>46</v>
      </c>
      <c r="B118" s="3783" t="s">
        <v>2747</v>
      </c>
      <c r="C118" s="3114" t="s">
        <v>2748</v>
      </c>
      <c r="D118" s="3088" t="s">
        <v>2749</v>
      </c>
      <c r="E118" s="3114">
        <v>0.1</v>
      </c>
      <c r="F118" s="3114">
        <v>15</v>
      </c>
    </row>
    <row r="119" spans="1:6" ht="24">
      <c r="A119" s="3114">
        <v>47</v>
      </c>
      <c r="B119" s="3787"/>
      <c r="C119" s="3114" t="s">
        <v>2750</v>
      </c>
      <c r="D119" s="3088" t="s">
        <v>2751</v>
      </c>
      <c r="E119" s="3114">
        <v>0.1</v>
      </c>
      <c r="F119" s="3114">
        <v>15</v>
      </c>
    </row>
    <row r="120" spans="1:6" ht="13.5">
      <c r="A120" s="3114">
        <v>48</v>
      </c>
      <c r="B120" s="3783" t="s">
        <v>2752</v>
      </c>
      <c r="C120" s="3114" t="s">
        <v>2753</v>
      </c>
      <c r="D120" s="3088" t="s">
        <v>2754</v>
      </c>
      <c r="E120" s="3114">
        <v>0.1</v>
      </c>
      <c r="F120" s="3114">
        <v>15</v>
      </c>
    </row>
    <row r="121" spans="1:6" ht="13.5">
      <c r="A121" s="3114">
        <v>49</v>
      </c>
      <c r="B121" s="3787"/>
      <c r="C121" s="3114" t="s">
        <v>2755</v>
      </c>
      <c r="D121" s="3088" t="s">
        <v>2756</v>
      </c>
      <c r="E121" s="3114">
        <v>0.1</v>
      </c>
      <c r="F121" s="3114">
        <v>15</v>
      </c>
    </row>
    <row r="122" spans="1:6" ht="24">
      <c r="A122" s="3114">
        <v>50</v>
      </c>
      <c r="B122" s="3788" t="s">
        <v>2757</v>
      </c>
      <c r="C122" s="3114" t="s">
        <v>2758</v>
      </c>
      <c r="D122" s="3088" t="s">
        <v>2759</v>
      </c>
      <c r="E122" s="3114">
        <v>0.1</v>
      </c>
      <c r="F122" s="3114">
        <v>15</v>
      </c>
    </row>
    <row r="123" spans="1:6" ht="24">
      <c r="A123" s="3114">
        <v>51</v>
      </c>
      <c r="B123" s="3788"/>
      <c r="C123" s="3114" t="s">
        <v>2760</v>
      </c>
      <c r="D123" s="3088" t="s">
        <v>2761</v>
      </c>
      <c r="E123" s="3114">
        <v>0.1</v>
      </c>
      <c r="F123" s="3114">
        <v>15</v>
      </c>
    </row>
    <row r="124" spans="1:6" ht="24">
      <c r="A124" s="3114">
        <v>52</v>
      </c>
      <c r="B124" s="3788" t="s">
        <v>2762</v>
      </c>
      <c r="C124" s="3114" t="s">
        <v>2763</v>
      </c>
      <c r="D124" s="3088" t="s">
        <v>2764</v>
      </c>
      <c r="E124" s="3114">
        <v>0.1</v>
      </c>
      <c r="F124" s="3114">
        <v>15</v>
      </c>
    </row>
    <row r="125" spans="1:6" ht="24">
      <c r="A125" s="3114">
        <v>53</v>
      </c>
      <c r="B125" s="3788"/>
      <c r="C125" s="3114" t="s">
        <v>2765</v>
      </c>
      <c r="D125" s="3088" t="s">
        <v>2766</v>
      </c>
      <c r="E125" s="3114">
        <v>0.1</v>
      </c>
      <c r="F125" s="3114">
        <v>15</v>
      </c>
    </row>
    <row r="126" spans="1:6" ht="13.5">
      <c r="A126" s="3114">
        <v>54</v>
      </c>
      <c r="B126" s="3114" t="s">
        <v>2767</v>
      </c>
      <c r="C126" s="3114" t="s">
        <v>2768</v>
      </c>
      <c r="D126" s="3088" t="s">
        <v>2769</v>
      </c>
      <c r="E126" s="3114">
        <v>0.1</v>
      </c>
      <c r="F126" s="3114">
        <v>15</v>
      </c>
    </row>
    <row r="127" spans="1:6" ht="13.5">
      <c r="A127" s="3114">
        <v>55</v>
      </c>
      <c r="B127" s="3788" t="s">
        <v>2770</v>
      </c>
      <c r="C127" s="3114" t="s">
        <v>2771</v>
      </c>
      <c r="D127" s="3088" t="s">
        <v>2772</v>
      </c>
      <c r="E127" s="3114">
        <v>0.1</v>
      </c>
      <c r="F127" s="3114">
        <v>15</v>
      </c>
    </row>
    <row r="128" spans="1:6" ht="13.5">
      <c r="A128" s="3114">
        <v>56</v>
      </c>
      <c r="B128" s="3788"/>
      <c r="C128" s="3114" t="s">
        <v>2773</v>
      </c>
      <c r="D128" s="3088" t="s">
        <v>2774</v>
      </c>
      <c r="E128" s="3114">
        <v>0.1</v>
      </c>
      <c r="F128" s="3114">
        <v>15</v>
      </c>
    </row>
    <row r="129" spans="1:6" ht="24">
      <c r="A129" s="3114">
        <v>57</v>
      </c>
      <c r="B129" s="3788"/>
      <c r="C129" s="3114" t="s">
        <v>2775</v>
      </c>
      <c r="D129" s="3088" t="s">
        <v>2776</v>
      </c>
      <c r="E129" s="3114">
        <v>0.1</v>
      </c>
      <c r="F129" s="3114">
        <v>15</v>
      </c>
    </row>
    <row r="130" spans="1:6" ht="24">
      <c r="A130" s="3114">
        <v>58</v>
      </c>
      <c r="B130" s="3788" t="s">
        <v>2777</v>
      </c>
      <c r="C130" s="3114" t="s">
        <v>2778</v>
      </c>
      <c r="D130" s="3088" t="s">
        <v>2779</v>
      </c>
      <c r="E130" s="3114">
        <v>0.1</v>
      </c>
      <c r="F130" s="3114">
        <v>15</v>
      </c>
    </row>
    <row r="131" spans="1:6" ht="13.5">
      <c r="A131" s="3114">
        <v>59</v>
      </c>
      <c r="B131" s="3788"/>
      <c r="C131" s="3114" t="s">
        <v>2780</v>
      </c>
      <c r="D131" s="3088" t="s">
        <v>2781</v>
      </c>
      <c r="E131" s="3114">
        <v>0.1</v>
      </c>
      <c r="F131" s="3114">
        <v>15</v>
      </c>
    </row>
    <row r="132" spans="1:6" ht="13.5">
      <c r="A132" s="3114">
        <v>60</v>
      </c>
      <c r="B132" s="3783" t="s">
        <v>2782</v>
      </c>
      <c r="C132" s="3114" t="s">
        <v>2783</v>
      </c>
      <c r="D132" s="3088" t="s">
        <v>2784</v>
      </c>
      <c r="E132" s="3114">
        <v>0.1</v>
      </c>
      <c r="F132" s="3114">
        <v>15</v>
      </c>
    </row>
    <row r="133" spans="1:6" ht="13.5">
      <c r="A133" s="3114">
        <v>61</v>
      </c>
      <c r="B133" s="3787"/>
      <c r="C133" s="3114" t="s">
        <v>2785</v>
      </c>
      <c r="D133" s="3088" t="s">
        <v>2786</v>
      </c>
      <c r="E133" s="3114">
        <v>0.1</v>
      </c>
      <c r="F133" s="3114">
        <v>15</v>
      </c>
    </row>
    <row r="134" spans="1:6" ht="24">
      <c r="A134" s="3114">
        <v>62</v>
      </c>
      <c r="B134" s="3114" t="s">
        <v>2787</v>
      </c>
      <c r="C134" s="3114" t="s">
        <v>2788</v>
      </c>
      <c r="D134" s="3088" t="s">
        <v>2789</v>
      </c>
      <c r="E134" s="3114">
        <v>0.1</v>
      </c>
      <c r="F134" s="3114">
        <v>15</v>
      </c>
    </row>
    <row r="135" spans="1:6" ht="13.5">
      <c r="A135" s="3114">
        <v>63</v>
      </c>
      <c r="B135" s="3788" t="s">
        <v>2790</v>
      </c>
      <c r="C135" s="3114" t="s">
        <v>2791</v>
      </c>
      <c r="D135" s="3088" t="s">
        <v>2792</v>
      </c>
      <c r="E135" s="3114">
        <v>0.1</v>
      </c>
      <c r="F135" s="3114">
        <v>15</v>
      </c>
    </row>
    <row r="136" spans="1:6" ht="13.5">
      <c r="A136" s="3114">
        <v>64</v>
      </c>
      <c r="B136" s="3788"/>
      <c r="C136" s="3114" t="s">
        <v>2793</v>
      </c>
      <c r="D136" s="3088" t="s">
        <v>2794</v>
      </c>
      <c r="E136" s="3114">
        <v>0.1</v>
      </c>
      <c r="F136" s="3114">
        <v>15</v>
      </c>
    </row>
    <row r="137" spans="1:6" ht="13.5">
      <c r="A137" s="3114">
        <v>65</v>
      </c>
      <c r="B137" s="3114" t="s">
        <v>2795</v>
      </c>
      <c r="C137" s="3114" t="s">
        <v>2796</v>
      </c>
      <c r="D137" s="3088" t="s">
        <v>2797</v>
      </c>
      <c r="E137" s="3114">
        <v>0.1</v>
      </c>
      <c r="F137" s="3114">
        <v>15</v>
      </c>
    </row>
    <row r="138" spans="1:6" ht="13.5">
      <c r="A138" s="3114"/>
      <c r="B138" s="3114"/>
      <c r="C138" s="3114"/>
      <c r="D138" s="3114"/>
      <c r="E138" s="3114" t="s">
        <v>2798</v>
      </c>
      <c r="F138" s="3114"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topLeftCell="A76"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2799</v>
      </c>
      <c r="B1" s="3123"/>
      <c r="C1" s="3123"/>
      <c r="D1" s="3123"/>
      <c r="E1" s="3123"/>
      <c r="F1" s="3123"/>
      <c r="G1" s="3123"/>
      <c r="H1" s="3123"/>
      <c r="I1" s="3123"/>
      <c r="J1" s="3123"/>
      <c r="K1" s="3123"/>
      <c r="L1" s="3123"/>
      <c r="M1" s="3123"/>
      <c r="N1" s="749"/>
    </row>
    <row r="2" spans="1:20">
      <c r="A2" s="3124" t="s">
        <v>2800</v>
      </c>
      <c r="B2" s="3125" t="s">
        <v>2596</v>
      </c>
      <c r="C2" s="3125" t="s">
        <v>2597</v>
      </c>
      <c r="D2" s="3125" t="s">
        <v>2598</v>
      </c>
      <c r="E2" s="3125" t="s">
        <v>2599</v>
      </c>
      <c r="F2" s="3125" t="s">
        <v>2600</v>
      </c>
      <c r="G2" s="3125" t="s">
        <v>2601</v>
      </c>
      <c r="H2" s="3126" t="s">
        <v>2602</v>
      </c>
      <c r="I2" s="3126" t="s">
        <v>2603</v>
      </c>
      <c r="J2" s="3127" t="s">
        <v>2604</v>
      </c>
      <c r="K2" s="3127" t="s">
        <v>2605</v>
      </c>
      <c r="L2" s="3127" t="s">
        <v>2606</v>
      </c>
      <c r="M2" s="3128" t="s">
        <v>2607</v>
      </c>
      <c r="Q2" s="3138" t="s">
        <v>2805</v>
      </c>
      <c r="R2" s="3138" t="s">
        <v>2806</v>
      </c>
      <c r="S2" s="3138" t="s">
        <v>2807</v>
      </c>
      <c r="T2" s="3138" t="s">
        <v>2808</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2801</v>
      </c>
      <c r="B93" s="3123"/>
      <c r="C93" s="3123"/>
      <c r="D93" s="3123"/>
      <c r="E93" s="3123"/>
      <c r="F93" s="3123"/>
      <c r="G93" s="3123"/>
      <c r="H93" s="3123"/>
      <c r="I93" s="3123"/>
      <c r="J93" s="3123"/>
      <c r="K93" s="3123"/>
      <c r="L93" s="3123"/>
      <c r="M93" s="3123"/>
    </row>
    <row r="94" spans="1:20">
      <c r="A94" s="3124" t="s">
        <v>2800</v>
      </c>
      <c r="B94" s="3125" t="s">
        <v>2596</v>
      </c>
      <c r="C94" s="3125" t="s">
        <v>2597</v>
      </c>
      <c r="D94" s="3125" t="s">
        <v>2598</v>
      </c>
      <c r="E94" s="3125" t="s">
        <v>2599</v>
      </c>
      <c r="F94" s="3125" t="s">
        <v>2600</v>
      </c>
      <c r="G94" s="3125" t="s">
        <v>2601</v>
      </c>
      <c r="H94" s="3126" t="s">
        <v>2602</v>
      </c>
      <c r="I94" s="3126" t="s">
        <v>2603</v>
      </c>
      <c r="J94" s="3127" t="s">
        <v>2604</v>
      </c>
      <c r="K94" s="3127" t="s">
        <v>2605</v>
      </c>
      <c r="L94" s="3127" t="s">
        <v>2606</v>
      </c>
      <c r="M94" s="3128" t="s">
        <v>2607</v>
      </c>
      <c r="N94" s="750">
        <f>SUMPRODUCT((A95:A184=ROUNDDOWN(基准地价修正!G3,1))*(B94:M94=基准地价修正!G2)*(B95:M184))</f>
        <v>1.1559999999999999</v>
      </c>
      <c r="Q94" s="3138" t="s">
        <v>2805</v>
      </c>
      <c r="R94" s="3138" t="s">
        <v>2806</v>
      </c>
      <c r="S94" s="3138" t="s">
        <v>2807</v>
      </c>
      <c r="T94" s="3138" t="s">
        <v>2808</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2802</v>
      </c>
      <c r="B185" s="3123"/>
      <c r="C185" s="3123"/>
      <c r="D185" s="3123"/>
      <c r="E185" s="3123"/>
      <c r="F185" s="3123"/>
      <c r="G185" s="3123"/>
      <c r="H185" s="3123"/>
      <c r="I185" s="3123"/>
      <c r="J185" s="3123"/>
      <c r="K185" s="3123"/>
      <c r="L185" s="3123"/>
      <c r="M185" s="3123"/>
    </row>
    <row r="186" spans="1:20">
      <c r="A186" s="3124" t="s">
        <v>2800</v>
      </c>
      <c r="B186" s="3125" t="s">
        <v>2596</v>
      </c>
      <c r="C186" s="3125" t="s">
        <v>2597</v>
      </c>
      <c r="D186" s="3125" t="s">
        <v>2598</v>
      </c>
      <c r="E186" s="3125" t="s">
        <v>2599</v>
      </c>
      <c r="F186" s="3125" t="s">
        <v>2600</v>
      </c>
      <c r="G186" s="3125" t="s">
        <v>2601</v>
      </c>
      <c r="H186" s="3126" t="s">
        <v>2602</v>
      </c>
      <c r="I186" s="3126" t="s">
        <v>2603</v>
      </c>
      <c r="J186" s="3127" t="s">
        <v>2604</v>
      </c>
      <c r="K186" s="3127" t="s">
        <v>2605</v>
      </c>
      <c r="L186" s="3127" t="s">
        <v>2606</v>
      </c>
      <c r="M186" s="3128" t="s">
        <v>2607</v>
      </c>
      <c r="Q186" s="3138" t="s">
        <v>2805</v>
      </c>
      <c r="R186" s="3138" t="s">
        <v>2806</v>
      </c>
      <c r="S186" s="3138" t="s">
        <v>2807</v>
      </c>
      <c r="T186" s="3138" t="s">
        <v>2808</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2803</v>
      </c>
      <c r="B277" s="3123"/>
      <c r="C277" s="3123"/>
      <c r="D277" s="3123"/>
      <c r="E277" s="3123"/>
      <c r="F277" s="3123"/>
      <c r="G277" s="3123"/>
      <c r="H277" s="3123"/>
      <c r="I277" s="3123"/>
      <c r="J277" s="3123"/>
      <c r="K277" s="3123"/>
      <c r="L277" s="3123"/>
      <c r="M277" s="3123"/>
    </row>
    <row r="278" spans="1:21">
      <c r="A278" s="3124" t="s">
        <v>2800</v>
      </c>
      <c r="B278" s="3125" t="s">
        <v>2596</v>
      </c>
      <c r="C278" s="3125" t="s">
        <v>2597</v>
      </c>
      <c r="D278" s="3125" t="s">
        <v>2598</v>
      </c>
      <c r="E278" s="3125" t="s">
        <v>2599</v>
      </c>
      <c r="F278" s="3125" t="s">
        <v>2600</v>
      </c>
      <c r="G278" s="3125" t="s">
        <v>2601</v>
      </c>
      <c r="H278" s="3126" t="s">
        <v>2602</v>
      </c>
      <c r="I278" s="3126" t="s">
        <v>2603</v>
      </c>
      <c r="J278" s="3127" t="s">
        <v>2604</v>
      </c>
      <c r="K278" s="3127" t="s">
        <v>2605</v>
      </c>
      <c r="L278" s="3127" t="s">
        <v>2606</v>
      </c>
      <c r="M278" s="3128" t="s">
        <v>2607</v>
      </c>
      <c r="Q278" s="3138" t="s">
        <v>2805</v>
      </c>
      <c r="R278" s="3138" t="s">
        <v>2806</v>
      </c>
      <c r="S278" s="3138" t="s">
        <v>2809</v>
      </c>
      <c r="T278" s="3138" t="s">
        <v>2810</v>
      </c>
      <c r="U278" s="3138" t="s">
        <v>2808</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2804</v>
      </c>
      <c r="B369" s="3136"/>
      <c r="C369" s="3136"/>
      <c r="D369" s="3136"/>
      <c r="E369" s="3136"/>
      <c r="F369" s="3136"/>
      <c r="G369" s="3136"/>
      <c r="H369" s="3136"/>
      <c r="I369" s="3136"/>
      <c r="J369" s="3136"/>
      <c r="K369" s="3136"/>
      <c r="L369" s="3136"/>
      <c r="M369" s="3136"/>
    </row>
    <row r="370" spans="1:20">
      <c r="A370" s="3124" t="s">
        <v>2800</v>
      </c>
      <c r="B370" s="3125" t="s">
        <v>2596</v>
      </c>
      <c r="C370" s="3125" t="s">
        <v>2597</v>
      </c>
      <c r="D370" s="3125" t="s">
        <v>2598</v>
      </c>
      <c r="E370" s="3125" t="s">
        <v>2599</v>
      </c>
      <c r="F370" s="3125" t="s">
        <v>2600</v>
      </c>
      <c r="G370" s="3125" t="s">
        <v>2601</v>
      </c>
      <c r="H370" s="3126" t="s">
        <v>2602</v>
      </c>
      <c r="I370" s="3126" t="s">
        <v>2603</v>
      </c>
      <c r="J370" s="3127" t="s">
        <v>2604</v>
      </c>
      <c r="K370" s="3127" t="s">
        <v>2605</v>
      </c>
      <c r="L370" s="3127" t="s">
        <v>2606</v>
      </c>
      <c r="M370" s="3128" t="s">
        <v>2607</v>
      </c>
      <c r="N370" s="750">
        <f>SUMPRODUCT((A371:A460=ROUNDDOWN(基准地价修正!G3,1))*(B370:M370=基准地价修正!G2)*(B371:M460))</f>
        <v>1.0995999999999999</v>
      </c>
      <c r="Q370" s="3138" t="s">
        <v>2805</v>
      </c>
      <c r="R370" s="3138" t="s">
        <v>2806</v>
      </c>
      <c r="S370" s="3138" t="s">
        <v>2807</v>
      </c>
      <c r="T370" s="3138" t="s">
        <v>2808</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v>
      </c>
      <c r="B3" s="3475"/>
      <c r="C3" s="3475"/>
      <c r="D3" s="3475"/>
      <c r="E3" s="3475"/>
    </row>
    <row r="4" spans="1:5" ht="19.5" thickBot="1">
      <c r="A4" s="1493"/>
      <c r="B4" s="3473" t="s">
        <v>917</v>
      </c>
      <c r="C4" s="3473"/>
      <c r="D4" s="3473"/>
      <c r="E4" s="1493"/>
    </row>
    <row r="5" spans="1:5" ht="16.5" thickTop="1">
      <c r="A5" s="1491"/>
      <c r="B5" s="3471" t="s">
        <v>909</v>
      </c>
      <c r="C5" s="1494" t="s">
        <v>910</v>
      </c>
      <c r="D5" s="850" t="e">
        <f ca="1">结果表!H101</f>
        <v>#REF!</v>
      </c>
      <c r="E5" s="1491"/>
    </row>
    <row r="6" spans="1:5" ht="15.75">
      <c r="A6" s="1491"/>
      <c r="B6" s="3471"/>
      <c r="C6" s="1494" t="s">
        <v>911</v>
      </c>
      <c r="D6" s="850" t="e">
        <f ca="1">NUMBERSTRING(INT(D5*10000),2)&amp;"元整"</f>
        <v>#REF!</v>
      </c>
      <c r="E6" s="1491"/>
    </row>
    <row r="7" spans="1:5" ht="15.75">
      <c r="A7" s="1491"/>
      <c r="B7" s="3476"/>
      <c r="C7" s="1495" t="s">
        <v>912</v>
      </c>
      <c r="D7" s="851" t="e">
        <f ca="1">结果表!H102</f>
        <v>#REF!</v>
      </c>
      <c r="E7" s="1491"/>
    </row>
    <row r="8" spans="1:5" ht="15.75">
      <c r="A8" s="1491"/>
      <c r="B8" s="3477" t="str">
        <f>结果表!E103</f>
        <v>2.估价师知悉的法定优先受偿款</v>
      </c>
      <c r="C8" s="1496" t="s">
        <v>913</v>
      </c>
      <c r="D8" s="851">
        <f>结果表!H103</f>
        <v>0</v>
      </c>
      <c r="E8" s="1491"/>
    </row>
    <row r="9" spans="1:5" ht="15.75">
      <c r="A9" s="1491"/>
      <c r="B9" s="347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0" t="str">
        <f>结果表!E107</f>
        <v>3.房地产抵押价值</v>
      </c>
      <c r="C13" s="1499" t="s">
        <v>910</v>
      </c>
      <c r="D13" s="853" t="e">
        <f ca="1">结果表!H107</f>
        <v>#REF!</v>
      </c>
      <c r="E13" s="1491"/>
    </row>
    <row r="14" spans="1:5" ht="15.75">
      <c r="A14" s="1491"/>
      <c r="B14" s="3471"/>
      <c r="C14" s="1494" t="s">
        <v>911</v>
      </c>
      <c r="D14" s="850" t="e">
        <f ca="1">NUMBERSTRING(INT(D13*10000),2)&amp;"元整"</f>
        <v>#REF!</v>
      </c>
      <c r="E14" s="1491"/>
    </row>
    <row r="15" spans="1:5" ht="15">
      <c r="A15" s="1491"/>
      <c r="B15" s="3476"/>
      <c r="C15" s="1495" t="s">
        <v>921</v>
      </c>
      <c r="D15" s="859" t="e">
        <f ca="1">结果表!H108</f>
        <v>#REF!</v>
      </c>
      <c r="E15" s="1491"/>
    </row>
    <row r="16" spans="1:5" ht="15">
      <c r="A16" s="1491"/>
      <c r="B16" s="3477" t="str">
        <f>结果表!E109</f>
        <v>——</v>
      </c>
      <c r="C16" s="1499" t="s">
        <v>922</v>
      </c>
      <c r="D16" s="1500" t="str">
        <f>结果表!H109</f>
        <v>——</v>
      </c>
      <c r="E16" s="1491"/>
    </row>
    <row r="17" spans="1:5" ht="15.75">
      <c r="A17" s="1491"/>
      <c r="B17" s="3478"/>
      <c r="C17" s="1494" t="s">
        <v>923</v>
      </c>
      <c r="D17" s="850" t="e">
        <f>NUMBERSTRING(INT(D16*10000),2)&amp;"元整"</f>
        <v>#VALUE!</v>
      </c>
      <c r="E17" s="1491"/>
    </row>
    <row r="18" spans="1:5" ht="15">
      <c r="A18" s="1491"/>
      <c r="B18" s="3479"/>
      <c r="C18" s="1495" t="s">
        <v>912</v>
      </c>
      <c r="D18" s="859" t="str">
        <f>结果表!H110</f>
        <v>——</v>
      </c>
      <c r="E18" s="1491"/>
    </row>
    <row r="19" spans="1:5" ht="15.75">
      <c r="A19" s="1491"/>
      <c r="B19" s="3470" t="str">
        <f>结果表!E111</f>
        <v>——</v>
      </c>
      <c r="C19" s="1499" t="s">
        <v>910</v>
      </c>
      <c r="D19" s="851" t="str">
        <f>结果表!H111</f>
        <v>——</v>
      </c>
      <c r="E19" s="1491"/>
    </row>
    <row r="20" spans="1:5" ht="15.75">
      <c r="A20" s="1491"/>
      <c r="B20" s="3471"/>
      <c r="C20" s="1494" t="s">
        <v>923</v>
      </c>
      <c r="D20" s="850" t="e">
        <f>NUMBERSTRING(INT(D19*10000),2)&amp;"元整"</f>
        <v>#VALUE!</v>
      </c>
      <c r="E20" s="1491"/>
    </row>
    <row r="21" spans="1:5" ht="15.75" thickBot="1">
      <c r="A21" s="1491"/>
      <c r="B21" s="347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28894</v>
      </c>
      <c r="C2" s="2" t="s">
        <v>106</v>
      </c>
      <c r="D2" s="199"/>
      <c r="E2" s="199"/>
      <c r="F2" s="199"/>
      <c r="G2" s="199"/>
    </row>
    <row r="3" spans="1:7" s="200" customFormat="1" ht="18" customHeight="1" thickBot="1">
      <c r="A3" s="203" t="s">
        <v>58</v>
      </c>
      <c r="B3" s="204">
        <f ca="1">ROUND(B2*10000/'数据-汇总表'!E3,0)</f>
        <v>3207593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90.08</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90.08</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2014</v>
      </c>
      <c r="D22" s="235">
        <f ca="1">C26</f>
        <v>5.0000000000000001E-4</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4164</v>
      </c>
      <c r="D27" s="235">
        <f>C29</f>
        <v>2E-3</v>
      </c>
      <c r="E27" s="236" t="s">
        <v>99</v>
      </c>
      <c r="F27" s="246">
        <f>'数据-取费表'!Q16</f>
        <v>0.2</v>
      </c>
      <c r="G27" s="247" t="s">
        <v>431</v>
      </c>
    </row>
    <row r="28" spans="1:7" s="214" customFormat="1" ht="13.5" customHeight="1">
      <c r="A28" s="780" t="s">
        <v>349</v>
      </c>
      <c r="B28" s="248" t="s">
        <v>424</v>
      </c>
      <c r="C28" s="249">
        <f>ROUND((C5+C19+C20)*F27*'数据-取费表'!B21/'数据-取费表'!B20,0)</f>
        <v>4164</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28869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27</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0.03</v>
      </c>
      <c r="G36" s="260" t="s">
        <v>35</v>
      </c>
    </row>
    <row r="37" spans="1:7" s="258" customFormat="1" ht="13.5" customHeight="1">
      <c r="A37" s="780" t="s">
        <v>353</v>
      </c>
      <c r="B37" s="215" t="s">
        <v>91</v>
      </c>
      <c r="C37" s="249">
        <f>ROUND(E37*D37*F34/10000,0)</f>
        <v>2</v>
      </c>
      <c r="D37" s="217">
        <f>'数据-汇总表'!E3</f>
        <v>90.08</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1</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52" t="s">
        <v>94</v>
      </c>
    </row>
    <row r="43" spans="1:7" ht="13.5" customHeight="1">
      <c r="A43" s="780" t="s">
        <v>347</v>
      </c>
      <c r="B43" s="215" t="s">
        <v>426</v>
      </c>
      <c r="C43" s="238">
        <f ca="1">ROUND(IF('数据-取费表'!B22&lt;=1,C39*F22*'数据-取费表'!B21/2,C39*(POWER((1+F22),'数据-取费表'!B21/2)-1)),0)</f>
        <v>0</v>
      </c>
      <c r="D43" s="238"/>
      <c r="E43" s="238"/>
      <c r="F43" s="239"/>
      <c r="G43" s="3653"/>
    </row>
    <row r="44" spans="1:7" ht="13.5" customHeight="1">
      <c r="A44" s="780" t="s">
        <v>348</v>
      </c>
      <c r="B44" s="215" t="s">
        <v>428</v>
      </c>
      <c r="C44" s="238">
        <f ca="1">ROUND(IF('数据-取费表'!B22&lt;=1,C40*F22*'数据-取费表'!B21/2,C40*(POWER((1+F22),'数据-取费表'!B21/2)-1)),4)</f>
        <v>5.0000000000000001E-4</v>
      </c>
      <c r="D44" s="238"/>
      <c r="E44" s="238"/>
      <c r="F44" s="239"/>
      <c r="G44" s="3654"/>
    </row>
    <row r="45" spans="1:7" s="214" customFormat="1" ht="13.5" customHeight="1">
      <c r="A45" s="777" t="s">
        <v>341</v>
      </c>
      <c r="B45" s="244" t="s">
        <v>85</v>
      </c>
      <c r="C45" s="245">
        <f>C46</f>
        <v>6</v>
      </c>
      <c r="D45" s="235">
        <f>C47</f>
        <v>2E-3</v>
      </c>
      <c r="E45" s="236" t="s">
        <v>102</v>
      </c>
      <c r="F45" s="246"/>
      <c r="G45" s="247" t="s">
        <v>434</v>
      </c>
    </row>
    <row r="46" spans="1:7" s="214" customFormat="1" ht="13.5" customHeight="1">
      <c r="A46" s="780" t="s">
        <v>349</v>
      </c>
      <c r="B46" s="248" t="s">
        <v>427</v>
      </c>
      <c r="C46" s="249">
        <f>ROUND((C33+C39)*F27,0)</f>
        <v>6</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41</v>
      </c>
      <c r="D49" s="232"/>
      <c r="E49" s="232"/>
      <c r="F49" s="264"/>
      <c r="G49" s="234" t="s">
        <v>435</v>
      </c>
    </row>
    <row r="50" spans="1:7" s="258" customFormat="1" ht="24">
      <c r="A50" s="777" t="s">
        <v>344</v>
      </c>
      <c r="B50" s="210" t="s">
        <v>97</v>
      </c>
      <c r="C50" s="232"/>
      <c r="D50" s="232"/>
      <c r="E50" s="232"/>
      <c r="F50" s="264">
        <f>IF('数据-取费表'!B24=0,'数据-取费表'!N16,1)</f>
        <v>0.61499999999999999</v>
      </c>
      <c r="G50" s="247" t="s">
        <v>98</v>
      </c>
    </row>
    <row r="51" spans="1:7" ht="16.5" customHeight="1">
      <c r="A51" s="777" t="s">
        <v>345</v>
      </c>
      <c r="B51" s="210" t="s">
        <v>105</v>
      </c>
      <c r="C51" s="232">
        <f ca="1">ROUND(C49*F50,0)</f>
        <v>25</v>
      </c>
      <c r="D51" s="232"/>
      <c r="E51" s="232"/>
      <c r="F51" s="264"/>
      <c r="G51" s="234" t="s">
        <v>37</v>
      </c>
    </row>
    <row r="52" spans="1:7" s="208" customFormat="1" ht="16.5" thickBot="1">
      <c r="A52" s="265" t="s">
        <v>38</v>
      </c>
      <c r="B52" s="266"/>
      <c r="C52" s="267">
        <f ca="1">C31+C51</f>
        <v>28894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topLeftCell="A211" zoomScale="80" zoomScaleNormal="80" workbookViewId="0">
      <selection activeCell="A3" sqref="A3:G233"/>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91" t="s">
        <v>2842</v>
      </c>
      <c r="B1" s="3791"/>
      <c r="C1" s="3791"/>
      <c r="D1" s="3791"/>
      <c r="E1" s="3791"/>
      <c r="F1" s="3791"/>
      <c r="G1" s="3792"/>
      <c r="I1" s="3219" t="s">
        <v>2843</v>
      </c>
      <c r="J1" s="3220" t="s">
        <v>2844</v>
      </c>
      <c r="K1" s="3220" t="s">
        <v>2845</v>
      </c>
      <c r="L1" s="3220" t="s">
        <v>2846</v>
      </c>
      <c r="M1" s="3220" t="s">
        <v>2847</v>
      </c>
      <c r="N1" s="3220" t="s">
        <v>2848</v>
      </c>
      <c r="O1" s="3220" t="s">
        <v>2849</v>
      </c>
      <c r="P1" s="3220" t="s">
        <v>2850</v>
      </c>
      <c r="Q1" s="3220" t="s">
        <v>2851</v>
      </c>
      <c r="R1" s="3220" t="s">
        <v>2852</v>
      </c>
      <c r="S1" s="3220" t="s">
        <v>2853</v>
      </c>
      <c r="T1" s="3221" t="s">
        <v>2854</v>
      </c>
    </row>
    <row r="2" spans="1:20" ht="12" thickBot="1">
      <c r="A2" s="3223" t="s">
        <v>2855</v>
      </c>
      <c r="B2" s="3223"/>
      <c r="C2" s="3223"/>
      <c r="D2" s="3223"/>
      <c r="E2" s="3223"/>
      <c r="F2" s="3223"/>
      <c r="G2" s="3224" t="s">
        <v>2856</v>
      </c>
      <c r="I2" s="3225" t="s">
        <v>2857</v>
      </c>
      <c r="J2" s="3225" t="s">
        <v>2858</v>
      </c>
      <c r="K2" s="3225" t="s">
        <v>2859</v>
      </c>
      <c r="L2" s="3225" t="s">
        <v>2860</v>
      </c>
      <c r="M2" s="3225" t="s">
        <v>2861</v>
      </c>
      <c r="N2" s="3225" t="s">
        <v>2862</v>
      </c>
      <c r="O2" s="3225" t="s">
        <v>2863</v>
      </c>
      <c r="P2" s="3225" t="s">
        <v>2864</v>
      </c>
      <c r="Q2" s="3225" t="s">
        <v>2865</v>
      </c>
      <c r="R2" s="3225" t="s">
        <v>2866</v>
      </c>
      <c r="S2" s="3225" t="s">
        <v>2867</v>
      </c>
      <c r="T2" s="3225" t="s">
        <v>2868</v>
      </c>
    </row>
    <row r="3" spans="1:20" s="3231" customFormat="1">
      <c r="A3" s="3789" t="s">
        <v>2869</v>
      </c>
      <c r="B3" s="3226"/>
      <c r="C3" s="3227" t="s">
        <v>2812</v>
      </c>
      <c r="D3" s="3227" t="s">
        <v>2870</v>
      </c>
      <c r="E3" s="3227" t="s">
        <v>2814</v>
      </c>
      <c r="F3" s="3227" t="s">
        <v>2871</v>
      </c>
      <c r="G3" s="3227" t="s">
        <v>2632</v>
      </c>
      <c r="H3" s="3228"/>
      <c r="I3" s="3229" t="s">
        <v>2872</v>
      </c>
      <c r="J3" s="3230" t="s">
        <v>128</v>
      </c>
      <c r="K3" s="3230" t="s">
        <v>129</v>
      </c>
      <c r="L3" s="3229" t="s">
        <v>130</v>
      </c>
      <c r="M3" s="3229" t="s">
        <v>131</v>
      </c>
      <c r="N3" s="3229" t="s">
        <v>132</v>
      </c>
      <c r="O3" s="3229" t="s">
        <v>133</v>
      </c>
      <c r="P3" s="3229" t="s">
        <v>134</v>
      </c>
      <c r="Q3" s="3229" t="s">
        <v>135</v>
      </c>
      <c r="R3" s="3229" t="s">
        <v>136</v>
      </c>
      <c r="S3" s="3229" t="s">
        <v>2873</v>
      </c>
      <c r="T3" s="3229" t="s">
        <v>2874</v>
      </c>
    </row>
    <row r="4" spans="1:20" s="3231" customFormat="1" ht="12" thickBot="1">
      <c r="A4" s="3790"/>
      <c r="B4" s="3232" t="s">
        <v>2875</v>
      </c>
      <c r="C4" s="3232" t="s">
        <v>2876</v>
      </c>
      <c r="D4" s="3232" t="s">
        <v>2876</v>
      </c>
      <c r="E4" s="3232" t="s">
        <v>2876</v>
      </c>
      <c r="F4" s="3233" t="s">
        <v>2876</v>
      </c>
      <c r="G4" s="3233" t="s">
        <v>2876</v>
      </c>
      <c r="H4" s="3228"/>
      <c r="I4" s="3230" t="s">
        <v>137</v>
      </c>
      <c r="J4" s="3230" t="s">
        <v>111</v>
      </c>
      <c r="K4" s="3230" t="s">
        <v>138</v>
      </c>
      <c r="L4" s="3229" t="s">
        <v>139</v>
      </c>
      <c r="M4" s="3229" t="s">
        <v>140</v>
      </c>
      <c r="N4" s="3229" t="s">
        <v>141</v>
      </c>
      <c r="O4" s="3229" t="s">
        <v>142</v>
      </c>
      <c r="P4" s="3229" t="s">
        <v>143</v>
      </c>
      <c r="Q4" s="3229" t="s">
        <v>2877</v>
      </c>
      <c r="R4" s="3229" t="s">
        <v>2878</v>
      </c>
      <c r="S4" s="3229" t="s">
        <v>2879</v>
      </c>
      <c r="T4" s="3229" t="s">
        <v>2880</v>
      </c>
    </row>
    <row r="5" spans="1:20" hidden="1">
      <c r="A5" s="3234" t="s">
        <v>2843</v>
      </c>
      <c r="B5" s="3225" t="s">
        <v>2857</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2881</v>
      </c>
      <c r="R5" s="3229" t="s">
        <v>2882</v>
      </c>
      <c r="S5" s="3229" t="s">
        <v>153</v>
      </c>
      <c r="T5" s="3229" t="s">
        <v>2883</v>
      </c>
    </row>
    <row r="6" spans="1:20" ht="12" hidden="1" thickBot="1">
      <c r="A6" s="3229" t="s">
        <v>144</v>
      </c>
      <c r="B6" s="3229" t="s">
        <v>2872</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2884</v>
      </c>
      <c r="Q6" s="3229" t="s">
        <v>2885</v>
      </c>
      <c r="R6" s="3229" t="s">
        <v>161</v>
      </c>
      <c r="S6" s="3229" t="s">
        <v>2886</v>
      </c>
      <c r="T6" s="3229" t="s">
        <v>2887</v>
      </c>
    </row>
    <row r="7" spans="1:20" hidden="1">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2888</v>
      </c>
      <c r="Q7" s="3229" t="s">
        <v>2889</v>
      </c>
      <c r="R7" s="3229" t="s">
        <v>2890</v>
      </c>
      <c r="S7" s="3229" t="s">
        <v>2891</v>
      </c>
      <c r="T7" s="3229" t="s">
        <v>2892</v>
      </c>
    </row>
    <row r="8" spans="1:20" ht="12" hidden="1"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2893</v>
      </c>
      <c r="Q8" s="3229" t="s">
        <v>174</v>
      </c>
      <c r="R8" s="3229" t="s">
        <v>2894</v>
      </c>
      <c r="S8" s="3229" t="s">
        <v>2895</v>
      </c>
      <c r="T8" s="3236" t="s">
        <v>2896</v>
      </c>
    </row>
    <row r="9" spans="1:20" ht="12" hidden="1"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2897</v>
      </c>
      <c r="Q9" s="3229" t="s">
        <v>182</v>
      </c>
      <c r="R9" s="3229" t="s">
        <v>183</v>
      </c>
      <c r="S9" s="3229" t="s">
        <v>200</v>
      </c>
    </row>
    <row r="10" spans="1:20" hidden="1">
      <c r="A10" s="3234" t="s">
        <v>184</v>
      </c>
      <c r="B10" s="3225" t="s">
        <v>2858</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2898</v>
      </c>
    </row>
    <row r="11" spans="1:20" hidden="1">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2899</v>
      </c>
      <c r="P11" s="3229" t="s">
        <v>191</v>
      </c>
      <c r="Q11" s="3229" t="s">
        <v>199</v>
      </c>
      <c r="R11" s="3229" t="s">
        <v>2900</v>
      </c>
      <c r="S11" s="3229" t="s">
        <v>2901</v>
      </c>
    </row>
    <row r="12" spans="1:20" hidden="1">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2902</v>
      </c>
      <c r="P12" s="3229" t="s">
        <v>2903</v>
      </c>
      <c r="Q12" s="3229" t="s">
        <v>2904</v>
      </c>
      <c r="R12" s="3229" t="s">
        <v>2905</v>
      </c>
      <c r="S12" s="3229" t="s">
        <v>2906</v>
      </c>
    </row>
    <row r="13" spans="1:20" hidden="1">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2907</v>
      </c>
      <c r="P13" s="3229" t="s">
        <v>206</v>
      </c>
      <c r="Q13" s="3229" t="s">
        <v>219</v>
      </c>
      <c r="R13" s="3229" t="s">
        <v>220</v>
      </c>
      <c r="S13" s="3229" t="s">
        <v>214</v>
      </c>
    </row>
    <row r="14" spans="1:20" hidden="1">
      <c r="A14" s="3229" t="s">
        <v>184</v>
      </c>
      <c r="B14" s="3230" t="s">
        <v>155</v>
      </c>
      <c r="C14" s="3229">
        <v>30520</v>
      </c>
      <c r="D14" s="3229">
        <v>29510</v>
      </c>
      <c r="E14" s="3229">
        <v>29400</v>
      </c>
      <c r="F14" s="3229">
        <v>9630</v>
      </c>
      <c r="G14" s="3229">
        <v>21480</v>
      </c>
      <c r="H14" s="3228"/>
      <c r="J14" s="3230" t="s">
        <v>2908</v>
      </c>
      <c r="K14" s="3230" t="s">
        <v>215</v>
      </c>
      <c r="L14" s="3229" t="s">
        <v>216</v>
      </c>
      <c r="M14" s="3229" t="s">
        <v>217</v>
      </c>
      <c r="N14" s="3229" t="s">
        <v>218</v>
      </c>
      <c r="O14" s="3229" t="s">
        <v>240</v>
      </c>
      <c r="P14" s="3229" t="s">
        <v>213</v>
      </c>
      <c r="Q14" s="3229" t="s">
        <v>2909</v>
      </c>
      <c r="R14" s="3229" t="s">
        <v>228</v>
      </c>
      <c r="S14" s="3229" t="s">
        <v>221</v>
      </c>
    </row>
    <row r="15" spans="1:20" hidden="1">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2910</v>
      </c>
      <c r="P15" s="3229" t="s">
        <v>2911</v>
      </c>
      <c r="Q15" s="3229" t="s">
        <v>242</v>
      </c>
      <c r="R15" s="3229" t="s">
        <v>2912</v>
      </c>
      <c r="S15" s="3229" t="s">
        <v>229</v>
      </c>
    </row>
    <row r="16" spans="1:20" hidden="1">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2913</v>
      </c>
      <c r="P16" s="3229" t="s">
        <v>227</v>
      </c>
      <c r="Q16" s="3229" t="s">
        <v>250</v>
      </c>
      <c r="R16" s="3229" t="s">
        <v>207</v>
      </c>
      <c r="S16" s="3229" t="s">
        <v>2914</v>
      </c>
    </row>
    <row r="17" spans="1:19" ht="14.25" hidden="1"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2915</v>
      </c>
      <c r="P17" s="3229" t="s">
        <v>2916</v>
      </c>
      <c r="Q17" s="3229" t="s">
        <v>256</v>
      </c>
      <c r="R17" s="3229" t="s">
        <v>2917</v>
      </c>
      <c r="S17" s="3229" t="s">
        <v>258</v>
      </c>
    </row>
    <row r="18" spans="1:19" ht="14.25" hidden="1"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2918</v>
      </c>
      <c r="P18" s="3229" t="s">
        <v>241</v>
      </c>
      <c r="Q18" s="3229" t="s">
        <v>2919</v>
      </c>
      <c r="R18" s="3229" t="s">
        <v>257</v>
      </c>
      <c r="S18" s="3229" t="s">
        <v>266</v>
      </c>
    </row>
    <row r="19" spans="1:19" ht="14.25" hidden="1"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2920</v>
      </c>
      <c r="P19" s="3229" t="s">
        <v>249</v>
      </c>
      <c r="Q19" s="3229" t="s">
        <v>2921</v>
      </c>
      <c r="R19" s="3229" t="s">
        <v>265</v>
      </c>
      <c r="S19" s="3229" t="s">
        <v>2922</v>
      </c>
    </row>
    <row r="20" spans="1:19" ht="14.25" hidden="1"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2923</v>
      </c>
      <c r="P20" s="3229" t="s">
        <v>2924</v>
      </c>
      <c r="Q20" s="3229" t="s">
        <v>290</v>
      </c>
      <c r="R20" s="3229" t="s">
        <v>2925</v>
      </c>
      <c r="S20" s="3229" t="s">
        <v>277</v>
      </c>
    </row>
    <row r="21" spans="1:19" ht="14.25" hidden="1" customHeight="1" thickBot="1">
      <c r="A21" s="3229" t="s">
        <v>184</v>
      </c>
      <c r="B21" s="3230" t="s">
        <v>208</v>
      </c>
      <c r="C21" s="3229">
        <v>32370</v>
      </c>
      <c r="D21" s="3229">
        <v>26730</v>
      </c>
      <c r="E21" s="3229">
        <v>26640</v>
      </c>
      <c r="F21" s="3229"/>
      <c r="G21" s="3229">
        <v>19440</v>
      </c>
      <c r="J21" s="3236" t="s">
        <v>2926</v>
      </c>
      <c r="K21" s="3230" t="s">
        <v>267</v>
      </c>
      <c r="L21" s="3229" t="s">
        <v>268</v>
      </c>
      <c r="M21" s="3229" t="s">
        <v>269</v>
      </c>
      <c r="N21" s="3229" t="s">
        <v>270</v>
      </c>
      <c r="O21" s="3229" t="s">
        <v>264</v>
      </c>
      <c r="P21" s="3229" t="s">
        <v>283</v>
      </c>
      <c r="Q21" s="3229" t="s">
        <v>293</v>
      </c>
      <c r="R21" s="3229" t="s">
        <v>2927</v>
      </c>
      <c r="S21" s="3236" t="s">
        <v>2928</v>
      </c>
    </row>
    <row r="22" spans="1:19" ht="14.25" hidden="1" customHeight="1">
      <c r="A22" s="3229" t="s">
        <v>184</v>
      </c>
      <c r="B22" s="3230" t="s">
        <v>2908</v>
      </c>
      <c r="C22" s="3229">
        <v>29830</v>
      </c>
      <c r="D22" s="3229">
        <v>27600</v>
      </c>
      <c r="E22" s="3229">
        <v>28150</v>
      </c>
      <c r="F22" s="3229"/>
      <c r="G22" s="3229">
        <v>20080</v>
      </c>
      <c r="K22" s="3230" t="s">
        <v>2929</v>
      </c>
      <c r="L22" s="3229" t="s">
        <v>272</v>
      </c>
      <c r="M22" s="3229" t="s">
        <v>273</v>
      </c>
      <c r="N22" s="3229" t="s">
        <v>274</v>
      </c>
      <c r="O22" s="3229" t="s">
        <v>2930</v>
      </c>
      <c r="P22" s="3229" t="s">
        <v>286</v>
      </c>
      <c r="Q22" s="3229" t="s">
        <v>295</v>
      </c>
      <c r="R22" s="3229" t="s">
        <v>243</v>
      </c>
    </row>
    <row r="23" spans="1:19" ht="14.25" hidden="1" customHeight="1">
      <c r="A23" s="3229" t="s">
        <v>184</v>
      </c>
      <c r="B23" s="3230" t="s">
        <v>222</v>
      </c>
      <c r="C23" s="3229">
        <v>27800</v>
      </c>
      <c r="D23" s="3229">
        <v>26900</v>
      </c>
      <c r="E23" s="3229">
        <v>27170</v>
      </c>
      <c r="F23" s="3229"/>
      <c r="G23" s="3229">
        <v>19570</v>
      </c>
      <c r="K23" s="3230" t="s">
        <v>2931</v>
      </c>
      <c r="L23" s="3229" t="s">
        <v>278</v>
      </c>
      <c r="M23" s="3229" t="s">
        <v>279</v>
      </c>
      <c r="N23" s="3229" t="s">
        <v>2932</v>
      </c>
      <c r="O23" s="3229" t="s">
        <v>2933</v>
      </c>
      <c r="P23" s="3229" t="s">
        <v>289</v>
      </c>
      <c r="Q23" s="3229" t="s">
        <v>298</v>
      </c>
      <c r="R23" s="3229" t="s">
        <v>2934</v>
      </c>
    </row>
    <row r="24" spans="1:19" ht="14.25" hidden="1" customHeight="1">
      <c r="A24" s="3229" t="s">
        <v>184</v>
      </c>
      <c r="B24" s="3230" t="s">
        <v>230</v>
      </c>
      <c r="C24" s="3229">
        <v>27930</v>
      </c>
      <c r="D24" s="3229">
        <v>32260</v>
      </c>
      <c r="E24" s="3229">
        <v>32120</v>
      </c>
      <c r="F24" s="3229"/>
      <c r="G24" s="3229">
        <v>23470</v>
      </c>
      <c r="K24" s="3230" t="s">
        <v>2935</v>
      </c>
      <c r="L24" s="3229" t="s">
        <v>281</v>
      </c>
      <c r="M24" s="3229" t="s">
        <v>282</v>
      </c>
      <c r="N24" s="3229" t="s">
        <v>2936</v>
      </c>
      <c r="O24" s="3229" t="s">
        <v>285</v>
      </c>
      <c r="P24" s="3229" t="s">
        <v>2937</v>
      </c>
      <c r="Q24" s="3238" t="s">
        <v>2938</v>
      </c>
      <c r="R24" s="3229" t="s">
        <v>2939</v>
      </c>
    </row>
    <row r="25" spans="1:19" ht="14.25" hidden="1" customHeight="1">
      <c r="A25" s="3229" t="s">
        <v>184</v>
      </c>
      <c r="B25" s="3230" t="s">
        <v>235</v>
      </c>
      <c r="C25" s="3229">
        <v>32230</v>
      </c>
      <c r="D25" s="3229">
        <v>29640</v>
      </c>
      <c r="E25" s="3229">
        <v>29510</v>
      </c>
      <c r="F25" s="3229"/>
      <c r="G25" s="3229">
        <v>21560</v>
      </c>
      <c r="K25" s="3230" t="s">
        <v>2940</v>
      </c>
      <c r="L25" s="3229" t="s">
        <v>2941</v>
      </c>
      <c r="M25" s="3229" t="s">
        <v>284</v>
      </c>
      <c r="N25" s="3229" t="s">
        <v>292</v>
      </c>
      <c r="O25" s="3229" t="s">
        <v>288</v>
      </c>
      <c r="P25" s="3229" t="s">
        <v>275</v>
      </c>
      <c r="Q25" s="3238" t="s">
        <v>271</v>
      </c>
      <c r="R25" s="3229" t="s">
        <v>2942</v>
      </c>
    </row>
    <row r="26" spans="1:19" ht="14.25" hidden="1" customHeight="1" thickBot="1">
      <c r="A26" s="3229" t="s">
        <v>184</v>
      </c>
      <c r="B26" s="3230" t="s">
        <v>244</v>
      </c>
      <c r="C26" s="3229">
        <v>31690</v>
      </c>
      <c r="D26" s="3229">
        <v>27650</v>
      </c>
      <c r="E26" s="3229">
        <v>28200</v>
      </c>
      <c r="F26" s="3229"/>
      <c r="G26" s="3229">
        <v>20110</v>
      </c>
      <c r="K26" s="3235" t="s">
        <v>2943</v>
      </c>
      <c r="L26" s="3229" t="s">
        <v>2944</v>
      </c>
      <c r="M26" s="3229" t="s">
        <v>287</v>
      </c>
      <c r="N26" s="3229" t="s">
        <v>294</v>
      </c>
      <c r="O26" s="3229" t="s">
        <v>2945</v>
      </c>
      <c r="P26" s="3229" t="s">
        <v>2946</v>
      </c>
      <c r="Q26" s="3238" t="s">
        <v>276</v>
      </c>
      <c r="R26" s="3229" t="s">
        <v>2947</v>
      </c>
    </row>
    <row r="27" spans="1:19" ht="14.25" hidden="1" customHeight="1">
      <c r="A27" s="3229" t="s">
        <v>184</v>
      </c>
      <c r="B27" s="3230" t="s">
        <v>251</v>
      </c>
      <c r="C27" s="3229">
        <v>29610</v>
      </c>
      <c r="D27" s="3229">
        <v>27770</v>
      </c>
      <c r="E27" s="3229">
        <v>28300</v>
      </c>
      <c r="F27" s="3229"/>
      <c r="G27" s="3229">
        <v>20210</v>
      </c>
      <c r="L27" s="3229" t="s">
        <v>2948</v>
      </c>
      <c r="M27" s="3229" t="s">
        <v>291</v>
      </c>
      <c r="N27" s="3229" t="s">
        <v>297</v>
      </c>
      <c r="O27" s="3229" t="s">
        <v>2949</v>
      </c>
      <c r="P27" s="3229" t="s">
        <v>2950</v>
      </c>
      <c r="Q27" s="3229" t="s">
        <v>2951</v>
      </c>
      <c r="R27" s="3229" t="s">
        <v>2952</v>
      </c>
    </row>
    <row r="28" spans="1:19" ht="14.25" hidden="1" customHeight="1">
      <c r="A28" s="3229" t="s">
        <v>184</v>
      </c>
      <c r="B28" s="3230" t="s">
        <v>259</v>
      </c>
      <c r="C28" s="3229"/>
      <c r="D28" s="3229">
        <v>31520</v>
      </c>
      <c r="E28" s="3229">
        <v>31410</v>
      </c>
      <c r="F28" s="3229"/>
      <c r="G28" s="3229">
        <v>22940</v>
      </c>
      <c r="L28" s="3229" t="s">
        <v>2953</v>
      </c>
      <c r="M28" s="3229" t="s">
        <v>2954</v>
      </c>
      <c r="N28" s="3229" t="s">
        <v>2955</v>
      </c>
      <c r="O28" s="3229" t="s">
        <v>2956</v>
      </c>
      <c r="P28" s="3229" t="s">
        <v>2957</v>
      </c>
      <c r="Q28" s="3229" t="s">
        <v>2958</v>
      </c>
      <c r="R28" s="3229" t="s">
        <v>2959</v>
      </c>
    </row>
    <row r="29" spans="1:19" ht="14.25" hidden="1" customHeight="1" thickBot="1">
      <c r="A29" s="3237" t="s">
        <v>184</v>
      </c>
      <c r="B29" s="3239" t="s">
        <v>2926</v>
      </c>
      <c r="C29" s="3240"/>
      <c r="D29" s="3240">
        <v>29460</v>
      </c>
      <c r="E29" s="3240">
        <v>28640</v>
      </c>
      <c r="F29" s="3240"/>
      <c r="G29" s="3240">
        <v>21430</v>
      </c>
      <c r="L29" s="3229" t="s">
        <v>2960</v>
      </c>
      <c r="M29" s="3229" t="s">
        <v>2961</v>
      </c>
      <c r="N29" s="3229" t="s">
        <v>2962</v>
      </c>
      <c r="O29" s="3229" t="s">
        <v>2963</v>
      </c>
      <c r="P29" s="3229" t="s">
        <v>2964</v>
      </c>
      <c r="Q29" s="3229" t="s">
        <v>2965</v>
      </c>
      <c r="R29" s="3229" t="s">
        <v>280</v>
      </c>
    </row>
    <row r="30" spans="1:19" ht="14.25" hidden="1" customHeight="1">
      <c r="A30" s="3234" t="s">
        <v>296</v>
      </c>
      <c r="B30" s="3225" t="s">
        <v>2859</v>
      </c>
      <c r="C30" s="3225">
        <v>26890</v>
      </c>
      <c r="D30" s="3225">
        <v>26770</v>
      </c>
      <c r="E30" s="3225">
        <v>25700</v>
      </c>
      <c r="F30" s="3225">
        <v>8180</v>
      </c>
      <c r="G30" s="3241">
        <v>18740</v>
      </c>
      <c r="L30" s="3229" t="s">
        <v>2966</v>
      </c>
      <c r="M30" s="3229" t="s">
        <v>2967</v>
      </c>
      <c r="N30" s="3229" t="s">
        <v>2968</v>
      </c>
      <c r="O30" s="3229" t="s">
        <v>2969</v>
      </c>
      <c r="P30" s="3229" t="s">
        <v>2970</v>
      </c>
      <c r="Q30" s="3229" t="s">
        <v>2971</v>
      </c>
      <c r="R30" s="3229" t="s">
        <v>2972</v>
      </c>
    </row>
    <row r="31" spans="1:19" ht="14.25" hidden="1" customHeight="1">
      <c r="A31" s="3229" t="s">
        <v>296</v>
      </c>
      <c r="B31" s="3230" t="s">
        <v>129</v>
      </c>
      <c r="C31" s="3229">
        <v>24550</v>
      </c>
      <c r="D31" s="3229">
        <v>23990</v>
      </c>
      <c r="E31" s="3229">
        <v>22930</v>
      </c>
      <c r="F31" s="3229">
        <v>7470</v>
      </c>
      <c r="G31" s="3242">
        <v>16790</v>
      </c>
      <c r="L31" s="3229" t="s">
        <v>2973</v>
      </c>
      <c r="M31" s="3229" t="s">
        <v>2974</v>
      </c>
      <c r="N31" s="3229" t="s">
        <v>2975</v>
      </c>
      <c r="O31" s="3229" t="s">
        <v>2976</v>
      </c>
      <c r="P31" s="3229" t="s">
        <v>2977</v>
      </c>
      <c r="Q31" s="3229" t="s">
        <v>2978</v>
      </c>
      <c r="R31" s="3229" t="s">
        <v>2979</v>
      </c>
    </row>
    <row r="32" spans="1:19" ht="14.25" hidden="1" customHeight="1" thickBot="1">
      <c r="A32" s="3229" t="s">
        <v>296</v>
      </c>
      <c r="B32" s="3230" t="s">
        <v>138</v>
      </c>
      <c r="C32" s="3229">
        <v>27210</v>
      </c>
      <c r="D32" s="3229">
        <v>23240</v>
      </c>
      <c r="E32" s="3229">
        <v>23260</v>
      </c>
      <c r="F32" s="3229">
        <v>7130</v>
      </c>
      <c r="G32" s="3242">
        <v>16270</v>
      </c>
      <c r="L32" s="3229" t="s">
        <v>2980</v>
      </c>
      <c r="M32" s="3229" t="s">
        <v>2981</v>
      </c>
      <c r="N32" s="3229" t="s">
        <v>300</v>
      </c>
      <c r="O32" s="3229" t="s">
        <v>2982</v>
      </c>
      <c r="P32" s="3229" t="s">
        <v>299</v>
      </c>
      <c r="Q32" s="3229" t="s">
        <v>2983</v>
      </c>
      <c r="R32" s="3236" t="s">
        <v>2984</v>
      </c>
    </row>
    <row r="33" spans="1:17" ht="14.25" hidden="1" customHeight="1" thickBot="1">
      <c r="A33" s="3229" t="s">
        <v>296</v>
      </c>
      <c r="B33" s="3230" t="s">
        <v>147</v>
      </c>
      <c r="C33" s="3229">
        <v>27300</v>
      </c>
      <c r="D33" s="3229">
        <v>22980</v>
      </c>
      <c r="E33" s="3229">
        <v>24260</v>
      </c>
      <c r="F33" s="3229">
        <v>5860</v>
      </c>
      <c r="G33" s="3242">
        <v>16090</v>
      </c>
      <c r="L33" s="3236" t="s">
        <v>2985</v>
      </c>
      <c r="M33" s="3229" t="s">
        <v>2986</v>
      </c>
      <c r="N33" s="3229" t="s">
        <v>301</v>
      </c>
      <c r="O33" s="3229" t="s">
        <v>2987</v>
      </c>
      <c r="P33" s="3229" t="s">
        <v>2988</v>
      </c>
      <c r="Q33" s="3229" t="s">
        <v>2989</v>
      </c>
    </row>
    <row r="34" spans="1:17" ht="14.25" hidden="1" customHeight="1">
      <c r="A34" s="3229" t="s">
        <v>296</v>
      </c>
      <c r="B34" s="3230" t="s">
        <v>156</v>
      </c>
      <c r="C34" s="3229">
        <v>23090</v>
      </c>
      <c r="D34" s="3229">
        <v>23390</v>
      </c>
      <c r="E34" s="3229">
        <v>23510</v>
      </c>
      <c r="F34" s="3229">
        <v>6700</v>
      </c>
      <c r="G34" s="3242">
        <v>16370</v>
      </c>
      <c r="M34" s="3229" t="s">
        <v>2990</v>
      </c>
      <c r="N34" s="3229" t="s">
        <v>302</v>
      </c>
      <c r="O34" s="3229" t="s">
        <v>2991</v>
      </c>
      <c r="P34" s="3229" t="s">
        <v>2992</v>
      </c>
      <c r="Q34" s="3229" t="s">
        <v>2993</v>
      </c>
    </row>
    <row r="35" spans="1:17" ht="14.25" hidden="1" customHeight="1">
      <c r="A35" s="3229" t="s">
        <v>296</v>
      </c>
      <c r="B35" s="3230" t="s">
        <v>163</v>
      </c>
      <c r="C35" s="3229">
        <v>27270</v>
      </c>
      <c r="D35" s="3229">
        <v>24270</v>
      </c>
      <c r="E35" s="3229">
        <v>24950</v>
      </c>
      <c r="F35" s="3229">
        <v>6600</v>
      </c>
      <c r="G35" s="3242">
        <v>16990</v>
      </c>
      <c r="M35" s="3229" t="s">
        <v>2994</v>
      </c>
      <c r="N35" s="3229" t="s">
        <v>2995</v>
      </c>
      <c r="O35" s="3229" t="s">
        <v>2996</v>
      </c>
      <c r="P35" s="3229" t="s">
        <v>2997</v>
      </c>
      <c r="Q35" s="3229" t="s">
        <v>2998</v>
      </c>
    </row>
    <row r="36" spans="1:17" ht="14.25" hidden="1" customHeight="1">
      <c r="A36" s="3229" t="s">
        <v>296</v>
      </c>
      <c r="B36" s="3230" t="s">
        <v>169</v>
      </c>
      <c r="C36" s="3229">
        <v>23490</v>
      </c>
      <c r="D36" s="3229">
        <v>23020</v>
      </c>
      <c r="E36" s="3229">
        <v>25230</v>
      </c>
      <c r="F36" s="3229">
        <v>6780</v>
      </c>
      <c r="G36" s="3242">
        <v>16120</v>
      </c>
      <c r="M36" s="3229" t="s">
        <v>2999</v>
      </c>
      <c r="N36" s="3229" t="s">
        <v>3000</v>
      </c>
      <c r="O36" s="3229" t="s">
        <v>3001</v>
      </c>
      <c r="P36" s="3229" t="s">
        <v>3002</v>
      </c>
      <c r="Q36" s="3229" t="s">
        <v>3003</v>
      </c>
    </row>
    <row r="37" spans="1:17" ht="14.25" hidden="1" customHeight="1">
      <c r="A37" s="3229" t="s">
        <v>296</v>
      </c>
      <c r="B37" s="3230" t="s">
        <v>176</v>
      </c>
      <c r="C37" s="3229">
        <v>24380</v>
      </c>
      <c r="D37" s="3229">
        <v>22240</v>
      </c>
      <c r="E37" s="3229">
        <v>25980</v>
      </c>
      <c r="F37" s="3229">
        <v>8160</v>
      </c>
      <c r="G37" s="3242">
        <v>15570</v>
      </c>
      <c r="M37" s="3229" t="s">
        <v>3004</v>
      </c>
      <c r="N37" s="3229" t="s">
        <v>3005</v>
      </c>
      <c r="O37" s="3229" t="s">
        <v>3006</v>
      </c>
      <c r="P37" s="3229" t="s">
        <v>3007</v>
      </c>
      <c r="Q37" s="3229" t="s">
        <v>3008</v>
      </c>
    </row>
    <row r="38" spans="1:17" ht="14.25" hidden="1" customHeight="1">
      <c r="A38" s="3229" t="s">
        <v>296</v>
      </c>
      <c r="B38" s="3230" t="s">
        <v>186</v>
      </c>
      <c r="C38" s="3229">
        <v>23120</v>
      </c>
      <c r="D38" s="3229">
        <v>24630</v>
      </c>
      <c r="E38" s="3229">
        <v>25030</v>
      </c>
      <c r="F38" s="3229">
        <v>7710</v>
      </c>
      <c r="G38" s="3242">
        <v>17240</v>
      </c>
      <c r="M38" s="3229" t="s">
        <v>3009</v>
      </c>
      <c r="N38" s="3229" t="s">
        <v>3010</v>
      </c>
      <c r="O38" s="3229" t="s">
        <v>3011</v>
      </c>
      <c r="P38" s="3229" t="s">
        <v>3012</v>
      </c>
      <c r="Q38" s="3229" t="s">
        <v>3013</v>
      </c>
    </row>
    <row r="39" spans="1:17" ht="14.25" hidden="1" customHeight="1">
      <c r="A39" s="3229" t="s">
        <v>296</v>
      </c>
      <c r="B39" s="3230" t="s">
        <v>195</v>
      </c>
      <c r="C39" s="3229">
        <v>22330</v>
      </c>
      <c r="D39" s="3229">
        <v>21140</v>
      </c>
      <c r="E39" s="3229">
        <v>23970</v>
      </c>
      <c r="F39" s="3229">
        <v>7940</v>
      </c>
      <c r="G39" s="3242">
        <v>14790</v>
      </c>
      <c r="M39" s="3229" t="s">
        <v>3014</v>
      </c>
      <c r="N39" s="3229" t="s">
        <v>3015</v>
      </c>
      <c r="O39" s="3229" t="s">
        <v>3016</v>
      </c>
      <c r="P39" s="3229" t="s">
        <v>3017</v>
      </c>
      <c r="Q39" s="3229" t="s">
        <v>3018</v>
      </c>
    </row>
    <row r="40" spans="1:17" ht="14.25" hidden="1" customHeight="1">
      <c r="A40" s="3229" t="s">
        <v>296</v>
      </c>
      <c r="B40" s="3230" t="s">
        <v>202</v>
      </c>
      <c r="C40" s="3229">
        <v>24740</v>
      </c>
      <c r="D40" s="3229">
        <v>24690</v>
      </c>
      <c r="E40" s="3229">
        <v>22610</v>
      </c>
      <c r="F40" s="3229"/>
      <c r="G40" s="3242">
        <v>17280</v>
      </c>
      <c r="M40" s="3229" t="s">
        <v>3019</v>
      </c>
      <c r="N40" s="3229" t="s">
        <v>3020</v>
      </c>
      <c r="O40" s="3229" t="s">
        <v>3021</v>
      </c>
      <c r="P40" s="3229" t="s">
        <v>3022</v>
      </c>
      <c r="Q40" s="3229" t="s">
        <v>3023</v>
      </c>
    </row>
    <row r="41" spans="1:17" ht="14.25" hidden="1" customHeight="1" thickBot="1">
      <c r="A41" s="3229" t="s">
        <v>296</v>
      </c>
      <c r="B41" s="3230" t="s">
        <v>209</v>
      </c>
      <c r="C41" s="3229">
        <v>21220</v>
      </c>
      <c r="D41" s="3229">
        <v>21120</v>
      </c>
      <c r="E41" s="3229">
        <v>22590</v>
      </c>
      <c r="F41" s="3229"/>
      <c r="G41" s="3242">
        <v>14780</v>
      </c>
      <c r="M41" s="3236" t="s">
        <v>3024</v>
      </c>
      <c r="N41" s="3229" t="s">
        <v>3025</v>
      </c>
      <c r="O41" s="3229" t="s">
        <v>3026</v>
      </c>
      <c r="P41" s="3229" t="s">
        <v>3027</v>
      </c>
      <c r="Q41" s="3229" t="s">
        <v>3028</v>
      </c>
    </row>
    <row r="42" spans="1:17" ht="14.25" hidden="1" customHeight="1">
      <c r="A42" s="3229" t="s">
        <v>296</v>
      </c>
      <c r="B42" s="3230" t="s">
        <v>215</v>
      </c>
      <c r="C42" s="3229">
        <v>24800</v>
      </c>
      <c r="D42" s="3229">
        <v>22280</v>
      </c>
      <c r="E42" s="3229">
        <v>24350</v>
      </c>
      <c r="F42" s="3229"/>
      <c r="G42" s="3242">
        <v>15590</v>
      </c>
      <c r="N42" s="3229" t="s">
        <v>3029</v>
      </c>
      <c r="O42" s="3229" t="s">
        <v>3030</v>
      </c>
      <c r="P42" s="3229" t="s">
        <v>3031</v>
      </c>
      <c r="Q42" s="3229" t="s">
        <v>3032</v>
      </c>
    </row>
    <row r="43" spans="1:17" ht="14.25" hidden="1" customHeight="1">
      <c r="A43" s="3229" t="s">
        <v>3033</v>
      </c>
      <c r="B43" s="3230" t="s">
        <v>223</v>
      </c>
      <c r="C43" s="3229">
        <v>21210</v>
      </c>
      <c r="D43" s="3229">
        <v>21160</v>
      </c>
      <c r="E43" s="3229">
        <v>22650</v>
      </c>
      <c r="F43" s="3229"/>
      <c r="G43" s="3242">
        <v>14800</v>
      </c>
      <c r="N43" s="3229" t="s">
        <v>3034</v>
      </c>
      <c r="O43" s="3229" t="s">
        <v>3035</v>
      </c>
      <c r="P43" s="3229" t="s">
        <v>3036</v>
      </c>
      <c r="Q43" s="3229" t="s">
        <v>3037</v>
      </c>
    </row>
    <row r="44" spans="1:17" ht="14.25" hidden="1" customHeight="1" thickBot="1">
      <c r="A44" s="3229" t="s">
        <v>296</v>
      </c>
      <c r="B44" s="3230" t="s">
        <v>231</v>
      </c>
      <c r="C44" s="3229">
        <v>22370</v>
      </c>
      <c r="D44" s="3229">
        <v>23140</v>
      </c>
      <c r="E44" s="3229">
        <v>25090</v>
      </c>
      <c r="F44" s="3229"/>
      <c r="G44" s="3242">
        <v>16190</v>
      </c>
      <c r="N44" s="3229" t="s">
        <v>3038</v>
      </c>
      <c r="O44" s="3229" t="s">
        <v>3039</v>
      </c>
      <c r="P44" s="3236" t="s">
        <v>3040</v>
      </c>
      <c r="Q44" s="3229" t="s">
        <v>3041</v>
      </c>
    </row>
    <row r="45" spans="1:17" ht="14.25" hidden="1" customHeight="1" thickBot="1">
      <c r="A45" s="3229" t="s">
        <v>296</v>
      </c>
      <c r="B45" s="3230" t="s">
        <v>236</v>
      </c>
      <c r="C45" s="3229">
        <v>21240</v>
      </c>
      <c r="D45" s="3229">
        <v>27050</v>
      </c>
      <c r="E45" s="3229">
        <v>28000</v>
      </c>
      <c r="F45" s="3229"/>
      <c r="G45" s="3242">
        <v>18940</v>
      </c>
      <c r="N45" s="3229" t="s">
        <v>3042</v>
      </c>
      <c r="O45" s="3236" t="s">
        <v>3043</v>
      </c>
      <c r="Q45" s="3229" t="s">
        <v>3044</v>
      </c>
    </row>
    <row r="46" spans="1:17" ht="14.25" hidden="1" customHeight="1">
      <c r="A46" s="3229" t="s">
        <v>296</v>
      </c>
      <c r="B46" s="3230" t="s">
        <v>245</v>
      </c>
      <c r="C46" s="3229">
        <v>23240</v>
      </c>
      <c r="D46" s="3229">
        <v>23000</v>
      </c>
      <c r="E46" s="3229">
        <v>24980</v>
      </c>
      <c r="F46" s="3229"/>
      <c r="G46" s="3242">
        <v>16100</v>
      </c>
      <c r="N46" s="3229" t="s">
        <v>3045</v>
      </c>
      <c r="Q46" s="3229" t="s">
        <v>3046</v>
      </c>
    </row>
    <row r="47" spans="1:17" ht="14.25" hidden="1" customHeight="1">
      <c r="A47" s="3229" t="s">
        <v>296</v>
      </c>
      <c r="B47" s="3230" t="s">
        <v>252</v>
      </c>
      <c r="C47" s="3229">
        <v>27150</v>
      </c>
      <c r="D47" s="3229">
        <v>23310</v>
      </c>
      <c r="E47" s="3229">
        <v>25150</v>
      </c>
      <c r="F47" s="3229"/>
      <c r="G47" s="3242">
        <v>16310</v>
      </c>
      <c r="N47" s="3229" t="s">
        <v>3047</v>
      </c>
      <c r="Q47" s="3229" t="s">
        <v>3048</v>
      </c>
    </row>
    <row r="48" spans="1:17" ht="14.25" hidden="1" customHeight="1">
      <c r="A48" s="3229" t="s">
        <v>296</v>
      </c>
      <c r="B48" s="3230" t="s">
        <v>260</v>
      </c>
      <c r="C48" s="3229">
        <v>23100</v>
      </c>
      <c r="D48" s="3229">
        <v>21110</v>
      </c>
      <c r="E48" s="3229">
        <v>23080</v>
      </c>
      <c r="F48" s="3229"/>
      <c r="G48" s="3242">
        <v>14780</v>
      </c>
      <c r="N48" s="3229" t="s">
        <v>3049</v>
      </c>
      <c r="Q48" s="3229" t="s">
        <v>3050</v>
      </c>
    </row>
    <row r="49" spans="1:17" ht="14.25" hidden="1" customHeight="1">
      <c r="A49" s="3229" t="s">
        <v>296</v>
      </c>
      <c r="B49" s="3230" t="s">
        <v>267</v>
      </c>
      <c r="C49" s="3229">
        <v>23400</v>
      </c>
      <c r="D49" s="3229">
        <v>22920</v>
      </c>
      <c r="E49" s="3229">
        <v>24900</v>
      </c>
      <c r="F49" s="3229"/>
      <c r="G49" s="3242">
        <v>16040</v>
      </c>
      <c r="N49" s="3229" t="s">
        <v>3051</v>
      </c>
      <c r="Q49" s="3229" t="s">
        <v>3052</v>
      </c>
    </row>
    <row r="50" spans="1:17" ht="14.25" hidden="1" customHeight="1">
      <c r="A50" s="3229" t="s">
        <v>296</v>
      </c>
      <c r="B50" s="3230" t="s">
        <v>2929</v>
      </c>
      <c r="C50" s="3229">
        <v>21200</v>
      </c>
      <c r="D50" s="3229">
        <v>26540</v>
      </c>
      <c r="E50" s="3229">
        <v>23200</v>
      </c>
      <c r="F50" s="3229"/>
      <c r="G50" s="3242">
        <v>18580</v>
      </c>
      <c r="N50" s="3229" t="s">
        <v>3053</v>
      </c>
      <c r="Q50" s="3230" t="s">
        <v>3054</v>
      </c>
    </row>
    <row r="51" spans="1:17" ht="14.25" hidden="1" customHeight="1" thickBot="1">
      <c r="A51" s="3229" t="s">
        <v>296</v>
      </c>
      <c r="B51" s="3230" t="s">
        <v>2931</v>
      </c>
      <c r="C51" s="3229">
        <v>23000</v>
      </c>
      <c r="D51" s="3229">
        <v>23460</v>
      </c>
      <c r="E51" s="3229">
        <v>25290</v>
      </c>
      <c r="F51" s="3229"/>
      <c r="G51" s="3242">
        <v>16420</v>
      </c>
      <c r="N51" s="3229" t="s">
        <v>3055</v>
      </c>
      <c r="Q51" s="3236" t="s">
        <v>3056</v>
      </c>
    </row>
    <row r="52" spans="1:17" ht="14.25" hidden="1" customHeight="1">
      <c r="A52" s="3229" t="s">
        <v>296</v>
      </c>
      <c r="B52" s="3230" t="s">
        <v>2935</v>
      </c>
      <c r="C52" s="3229">
        <v>26660</v>
      </c>
      <c r="D52" s="3229">
        <v>22350</v>
      </c>
      <c r="E52" s="3229">
        <v>22920</v>
      </c>
      <c r="F52" s="3229"/>
      <c r="G52" s="3242">
        <v>15640</v>
      </c>
      <c r="N52" s="3229" t="s">
        <v>3057</v>
      </c>
    </row>
    <row r="53" spans="1:17" ht="14.25" hidden="1" customHeight="1">
      <c r="A53" s="3229" t="s">
        <v>296</v>
      </c>
      <c r="B53" s="3230" t="s">
        <v>2940</v>
      </c>
      <c r="C53" s="3229">
        <v>23580</v>
      </c>
      <c r="D53" s="3229"/>
      <c r="E53" s="3229">
        <v>24280</v>
      </c>
      <c r="F53" s="3229"/>
      <c r="G53" s="3242"/>
      <c r="N53" s="3229" t="s">
        <v>3058</v>
      </c>
    </row>
    <row r="54" spans="1:17" ht="14.25" hidden="1" customHeight="1" thickBot="1">
      <c r="A54" s="3243" t="s">
        <v>296</v>
      </c>
      <c r="B54" s="3235" t="s">
        <v>2943</v>
      </c>
      <c r="C54" s="3236">
        <v>22460</v>
      </c>
      <c r="D54" s="3236"/>
      <c r="E54" s="3236"/>
      <c r="F54" s="3236"/>
      <c r="G54" s="3244"/>
      <c r="N54" s="3229" t="s">
        <v>3059</v>
      </c>
    </row>
    <row r="55" spans="1:17" ht="14.25" hidden="1" customHeight="1">
      <c r="A55" s="3234" t="s">
        <v>110</v>
      </c>
      <c r="B55" s="3225" t="s">
        <v>3060</v>
      </c>
      <c r="C55" s="3229">
        <v>21970</v>
      </c>
      <c r="D55" s="3229">
        <v>20370</v>
      </c>
      <c r="E55" s="3229">
        <v>20180</v>
      </c>
      <c r="F55" s="3229">
        <v>5730</v>
      </c>
      <c r="G55" s="3229">
        <v>13820</v>
      </c>
      <c r="N55" s="3229" t="s">
        <v>3061</v>
      </c>
    </row>
    <row r="56" spans="1:17" ht="14.25" hidden="1" customHeight="1">
      <c r="A56" s="3229" t="s">
        <v>110</v>
      </c>
      <c r="B56" s="3229" t="s">
        <v>130</v>
      </c>
      <c r="C56" s="3229">
        <v>20470</v>
      </c>
      <c r="D56" s="3229">
        <v>20700</v>
      </c>
      <c r="E56" s="3229">
        <v>20380</v>
      </c>
      <c r="F56" s="3229">
        <v>4760</v>
      </c>
      <c r="G56" s="3229">
        <v>14050</v>
      </c>
      <c r="N56" s="3229" t="s">
        <v>3062</v>
      </c>
    </row>
    <row r="57" spans="1:17" ht="14.25" hidden="1" customHeight="1">
      <c r="A57" s="3229" t="s">
        <v>110</v>
      </c>
      <c r="B57" s="3229" t="s">
        <v>139</v>
      </c>
      <c r="C57" s="3229">
        <v>20790</v>
      </c>
      <c r="D57" s="3229">
        <v>21370</v>
      </c>
      <c r="E57" s="3229">
        <v>20890</v>
      </c>
      <c r="F57" s="3229">
        <v>4910</v>
      </c>
      <c r="G57" s="3229">
        <v>14510</v>
      </c>
      <c r="N57" s="3229" t="s">
        <v>3063</v>
      </c>
    </row>
    <row r="58" spans="1:17" ht="14.25" hidden="1" customHeight="1">
      <c r="A58" s="3229" t="s">
        <v>110</v>
      </c>
      <c r="B58" s="3229" t="s">
        <v>148</v>
      </c>
      <c r="C58" s="3229">
        <v>21460</v>
      </c>
      <c r="D58" s="3229">
        <v>20920</v>
      </c>
      <c r="E58" s="3229">
        <v>23410</v>
      </c>
      <c r="F58" s="3229">
        <v>5100</v>
      </c>
      <c r="G58" s="3229">
        <v>14200</v>
      </c>
      <c r="N58" s="3229" t="s">
        <v>3064</v>
      </c>
    </row>
    <row r="59" spans="1:17" ht="14.25" hidden="1" customHeight="1">
      <c r="A59" s="3229" t="s">
        <v>110</v>
      </c>
      <c r="B59" s="3229" t="s">
        <v>157</v>
      </c>
      <c r="C59" s="3229">
        <v>21000</v>
      </c>
      <c r="D59" s="3229">
        <v>21550</v>
      </c>
      <c r="E59" s="3229">
        <v>21150</v>
      </c>
      <c r="F59" s="3229">
        <v>5250</v>
      </c>
      <c r="G59" s="3229">
        <v>14630</v>
      </c>
      <c r="N59" s="3229" t="s">
        <v>3065</v>
      </c>
    </row>
    <row r="60" spans="1:17" ht="14.25" hidden="1" customHeight="1">
      <c r="A60" s="3229" t="s">
        <v>110</v>
      </c>
      <c r="B60" s="3229" t="s">
        <v>164</v>
      </c>
      <c r="C60" s="3229">
        <v>21640</v>
      </c>
      <c r="D60" s="3229">
        <v>21260</v>
      </c>
      <c r="E60" s="3229">
        <v>24040</v>
      </c>
      <c r="F60" s="3229">
        <v>4470</v>
      </c>
      <c r="G60" s="3229">
        <v>14430</v>
      </c>
      <c r="N60" s="3229" t="s">
        <v>3066</v>
      </c>
    </row>
    <row r="61" spans="1:17" ht="14.25" hidden="1" customHeight="1">
      <c r="A61" s="3229" t="s">
        <v>110</v>
      </c>
      <c r="B61" s="3229" t="s">
        <v>170</v>
      </c>
      <c r="C61" s="3229">
        <v>21330</v>
      </c>
      <c r="D61" s="3229">
        <v>18640</v>
      </c>
      <c r="E61" s="3229">
        <v>21190</v>
      </c>
      <c r="F61" s="3229">
        <v>4180</v>
      </c>
      <c r="G61" s="3229">
        <v>12650</v>
      </c>
      <c r="N61" s="3229" t="s">
        <v>3067</v>
      </c>
    </row>
    <row r="62" spans="1:17" ht="14.25" hidden="1" customHeight="1">
      <c r="A62" s="3229" t="s">
        <v>110</v>
      </c>
      <c r="B62" s="3229" t="s">
        <v>177</v>
      </c>
      <c r="C62" s="3229">
        <v>18710</v>
      </c>
      <c r="D62" s="3229">
        <v>19400</v>
      </c>
      <c r="E62" s="3229">
        <v>23750</v>
      </c>
      <c r="F62" s="3229">
        <v>4860</v>
      </c>
      <c r="G62" s="3229">
        <v>13170</v>
      </c>
      <c r="N62" s="3229" t="s">
        <v>3068</v>
      </c>
    </row>
    <row r="63" spans="1:17" ht="14.25" hidden="1" customHeight="1">
      <c r="A63" s="3229" t="s">
        <v>110</v>
      </c>
      <c r="B63" s="3229" t="s">
        <v>187</v>
      </c>
      <c r="C63" s="3229">
        <v>19480</v>
      </c>
      <c r="D63" s="3229">
        <v>16830</v>
      </c>
      <c r="E63" s="3229">
        <v>21590</v>
      </c>
      <c r="F63" s="3229">
        <v>4560</v>
      </c>
      <c r="G63" s="3229">
        <v>11420</v>
      </c>
      <c r="N63" s="3229" t="s">
        <v>3069</v>
      </c>
    </row>
    <row r="64" spans="1:17" ht="14.25" hidden="1" customHeight="1" thickBot="1">
      <c r="A64" s="3229" t="s">
        <v>110</v>
      </c>
      <c r="B64" s="3229" t="s">
        <v>196</v>
      </c>
      <c r="C64" s="3229">
        <v>16920</v>
      </c>
      <c r="D64" s="3229">
        <v>19190</v>
      </c>
      <c r="E64" s="3229">
        <v>22200</v>
      </c>
      <c r="F64" s="3229">
        <v>4390</v>
      </c>
      <c r="G64" s="3229">
        <v>13030</v>
      </c>
      <c r="N64" s="3236" t="s">
        <v>3070</v>
      </c>
    </row>
    <row r="65" spans="1:7" s="3218" customFormat="1" ht="14.25" hidden="1" customHeight="1">
      <c r="A65" s="3229" t="s">
        <v>110</v>
      </c>
      <c r="B65" s="3229" t="s">
        <v>203</v>
      </c>
      <c r="C65" s="3229">
        <v>19290</v>
      </c>
      <c r="D65" s="3229">
        <v>17020</v>
      </c>
      <c r="E65" s="3229">
        <v>19880</v>
      </c>
      <c r="F65" s="3229">
        <v>4070</v>
      </c>
      <c r="G65" s="3229">
        <v>11550</v>
      </c>
    </row>
    <row r="66" spans="1:7" s="3218" customFormat="1" ht="14.25" hidden="1" customHeight="1">
      <c r="A66" s="3229" t="s">
        <v>110</v>
      </c>
      <c r="B66" s="3229" t="s">
        <v>210</v>
      </c>
      <c r="C66" s="3229">
        <v>17090</v>
      </c>
      <c r="D66" s="3229">
        <v>18340</v>
      </c>
      <c r="E66" s="3229">
        <v>21830</v>
      </c>
      <c r="F66" s="3229">
        <v>4690</v>
      </c>
      <c r="G66" s="3229">
        <v>12450</v>
      </c>
    </row>
    <row r="67" spans="1:7" s="3218" customFormat="1" ht="14.25" hidden="1" customHeight="1">
      <c r="A67" s="3229" t="s">
        <v>110</v>
      </c>
      <c r="B67" s="3229" t="s">
        <v>216</v>
      </c>
      <c r="C67" s="3229">
        <v>18420</v>
      </c>
      <c r="D67" s="3229">
        <v>16360</v>
      </c>
      <c r="E67" s="3229">
        <v>20020</v>
      </c>
      <c r="F67" s="3229">
        <v>5150</v>
      </c>
      <c r="G67" s="3229">
        <v>11110</v>
      </c>
    </row>
    <row r="68" spans="1:7" s="3218" customFormat="1" ht="14.25" hidden="1" customHeight="1">
      <c r="A68" s="3229" t="s">
        <v>110</v>
      </c>
      <c r="B68" s="3229" t="s">
        <v>224</v>
      </c>
      <c r="C68" s="3229">
        <v>16450</v>
      </c>
      <c r="D68" s="3229">
        <v>18430</v>
      </c>
      <c r="E68" s="3229">
        <v>21010</v>
      </c>
      <c r="F68" s="3229">
        <v>4720</v>
      </c>
      <c r="G68" s="3229">
        <v>12510</v>
      </c>
    </row>
    <row r="69" spans="1:7" s="3218" customFormat="1" ht="14.25" hidden="1" customHeight="1">
      <c r="A69" s="3229" t="s">
        <v>110</v>
      </c>
      <c r="B69" s="3229" t="s">
        <v>232</v>
      </c>
      <c r="C69" s="3229">
        <v>18510</v>
      </c>
      <c r="D69" s="3229">
        <v>16300</v>
      </c>
      <c r="E69" s="3229">
        <v>18830</v>
      </c>
      <c r="F69" s="3229">
        <v>5400</v>
      </c>
      <c r="G69" s="3229">
        <v>11070</v>
      </c>
    </row>
    <row r="70" spans="1:7" s="3218" customFormat="1" ht="14.25" hidden="1" customHeight="1">
      <c r="A70" s="3229" t="s">
        <v>110</v>
      </c>
      <c r="B70" s="3229" t="s">
        <v>237</v>
      </c>
      <c r="C70" s="3229">
        <v>16370</v>
      </c>
      <c r="D70" s="3229">
        <v>18620</v>
      </c>
      <c r="E70" s="3229">
        <v>21100</v>
      </c>
      <c r="F70" s="3229">
        <v>5700</v>
      </c>
      <c r="G70" s="3229">
        <v>12640</v>
      </c>
    </row>
    <row r="71" spans="1:7" s="3218" customFormat="1" ht="14.25" hidden="1" customHeight="1">
      <c r="A71" s="3229" t="s">
        <v>110</v>
      </c>
      <c r="B71" s="3229" t="s">
        <v>246</v>
      </c>
      <c r="C71" s="3229">
        <v>18700</v>
      </c>
      <c r="D71" s="3229">
        <v>16290</v>
      </c>
      <c r="E71" s="3229">
        <v>18760</v>
      </c>
      <c r="F71" s="3229">
        <v>4780</v>
      </c>
      <c r="G71" s="3229">
        <v>11050</v>
      </c>
    </row>
    <row r="72" spans="1:7" s="3218" customFormat="1" ht="14.25" hidden="1" customHeight="1">
      <c r="A72" s="3229" t="s">
        <v>110</v>
      </c>
      <c r="B72" s="3229" t="s">
        <v>253</v>
      </c>
      <c r="C72" s="3229">
        <v>16340</v>
      </c>
      <c r="D72" s="3229">
        <v>17520</v>
      </c>
      <c r="E72" s="3229">
        <v>21170</v>
      </c>
      <c r="F72" s="3229"/>
      <c r="G72" s="3229">
        <v>11900</v>
      </c>
    </row>
    <row r="73" spans="1:7" s="3218" customFormat="1" ht="14.25" hidden="1" customHeight="1">
      <c r="A73" s="3229" t="s">
        <v>110</v>
      </c>
      <c r="B73" s="3229" t="s">
        <v>261</v>
      </c>
      <c r="C73" s="3229">
        <v>17610</v>
      </c>
      <c r="D73" s="3229">
        <v>18520</v>
      </c>
      <c r="E73" s="3229">
        <v>18720</v>
      </c>
      <c r="F73" s="3229"/>
      <c r="G73" s="3229">
        <v>12570</v>
      </c>
    </row>
    <row r="74" spans="1:7" s="3218" customFormat="1" ht="14.25" hidden="1" customHeight="1">
      <c r="A74" s="3229" t="s">
        <v>110</v>
      </c>
      <c r="B74" s="3229" t="s">
        <v>268</v>
      </c>
      <c r="C74" s="3229">
        <v>18600</v>
      </c>
      <c r="D74" s="3229">
        <v>16480</v>
      </c>
      <c r="E74" s="3229">
        <v>20100</v>
      </c>
      <c r="F74" s="3229"/>
      <c r="G74" s="3229">
        <v>11190</v>
      </c>
    </row>
    <row r="75" spans="1:7" s="3218" customFormat="1" ht="14.25" hidden="1" customHeight="1">
      <c r="A75" s="3229" t="s">
        <v>110</v>
      </c>
      <c r="B75" s="3229" t="s">
        <v>272</v>
      </c>
      <c r="C75" s="3229">
        <v>16570</v>
      </c>
      <c r="D75" s="3229">
        <v>17530</v>
      </c>
      <c r="E75" s="3229">
        <v>21030</v>
      </c>
      <c r="F75" s="3229"/>
      <c r="G75" s="3229">
        <v>11900</v>
      </c>
    </row>
    <row r="76" spans="1:7" s="3218" customFormat="1" ht="14.25" hidden="1" customHeight="1">
      <c r="A76" s="3229" t="s">
        <v>110</v>
      </c>
      <c r="B76" s="3229" t="s">
        <v>278</v>
      </c>
      <c r="C76" s="3229">
        <v>17610</v>
      </c>
      <c r="D76" s="3229">
        <v>20800</v>
      </c>
      <c r="E76" s="3229">
        <v>18920</v>
      </c>
      <c r="F76" s="3229"/>
      <c r="G76" s="3229">
        <v>14120</v>
      </c>
    </row>
    <row r="77" spans="1:7" s="3218" customFormat="1" ht="14.25" hidden="1" customHeight="1">
      <c r="A77" s="3229" t="s">
        <v>110</v>
      </c>
      <c r="B77" s="3229" t="s">
        <v>281</v>
      </c>
      <c r="C77" s="3229">
        <v>20890</v>
      </c>
      <c r="D77" s="3229">
        <v>19740</v>
      </c>
      <c r="E77" s="3229">
        <v>20110</v>
      </c>
      <c r="F77" s="3229"/>
      <c r="G77" s="3229">
        <v>13400</v>
      </c>
    </row>
    <row r="78" spans="1:7" s="3218" customFormat="1" ht="14.25" hidden="1" customHeight="1">
      <c r="A78" s="3229" t="s">
        <v>110</v>
      </c>
      <c r="B78" s="3229" t="s">
        <v>2941</v>
      </c>
      <c r="C78" s="3229">
        <v>19820</v>
      </c>
      <c r="D78" s="3229">
        <v>19780</v>
      </c>
      <c r="E78" s="3229">
        <v>18560</v>
      </c>
      <c r="F78" s="3229"/>
      <c r="G78" s="3229">
        <v>13430</v>
      </c>
    </row>
    <row r="79" spans="1:7" s="3218" customFormat="1" ht="14.25" hidden="1" customHeight="1">
      <c r="A79" s="3229" t="s">
        <v>110</v>
      </c>
      <c r="B79" s="3229" t="s">
        <v>2944</v>
      </c>
      <c r="C79" s="3229">
        <v>21660</v>
      </c>
      <c r="D79" s="3229">
        <v>18000</v>
      </c>
      <c r="E79" s="3229">
        <v>22570</v>
      </c>
      <c r="F79" s="3229"/>
      <c r="G79" s="3229">
        <v>12220</v>
      </c>
    </row>
    <row r="80" spans="1:7" s="3218" customFormat="1" ht="14.25" hidden="1" customHeight="1">
      <c r="A80" s="3229" t="s">
        <v>110</v>
      </c>
      <c r="B80" s="3229" t="s">
        <v>2948</v>
      </c>
      <c r="C80" s="3229">
        <v>19850</v>
      </c>
      <c r="D80" s="3229"/>
      <c r="E80" s="3229">
        <v>21700</v>
      </c>
      <c r="F80" s="3229"/>
      <c r="G80" s="3229"/>
    </row>
    <row r="81" spans="1:7" s="3218" customFormat="1" ht="14.25" hidden="1" customHeight="1">
      <c r="A81" s="3229" t="s">
        <v>110</v>
      </c>
      <c r="B81" s="3229" t="s">
        <v>2953</v>
      </c>
      <c r="C81" s="3229">
        <v>18080</v>
      </c>
      <c r="D81" s="3229"/>
      <c r="E81" s="3229">
        <v>20900</v>
      </c>
      <c r="F81" s="3229"/>
      <c r="G81" s="3229"/>
    </row>
    <row r="82" spans="1:7" s="3218" customFormat="1" ht="14.25" hidden="1" customHeight="1">
      <c r="A82" s="3229" t="s">
        <v>110</v>
      </c>
      <c r="B82" s="3229" t="s">
        <v>2960</v>
      </c>
      <c r="C82" s="3229"/>
      <c r="D82" s="3229"/>
      <c r="E82" s="3229">
        <v>20840</v>
      </c>
      <c r="F82" s="3229"/>
      <c r="G82" s="3229"/>
    </row>
    <row r="83" spans="1:7" s="3218" customFormat="1" ht="14.25" hidden="1" customHeight="1">
      <c r="A83" s="3229" t="s">
        <v>110</v>
      </c>
      <c r="B83" s="3229" t="s">
        <v>3071</v>
      </c>
      <c r="C83" s="3229"/>
      <c r="D83" s="3229"/>
      <c r="E83" s="3229"/>
      <c r="F83" s="3229">
        <v>4770</v>
      </c>
      <c r="G83" s="3229"/>
    </row>
    <row r="84" spans="1:7" s="3218" customFormat="1" ht="14.25" hidden="1" customHeight="1">
      <c r="A84" s="3229" t="s">
        <v>110</v>
      </c>
      <c r="B84" s="3229" t="s">
        <v>3072</v>
      </c>
      <c r="C84" s="3229"/>
      <c r="D84" s="3229"/>
      <c r="E84" s="3229"/>
      <c r="F84" s="3229">
        <v>4600</v>
      </c>
      <c r="G84" s="3229"/>
    </row>
    <row r="85" spans="1:7" s="3218" customFormat="1" ht="14.25" hidden="1" customHeight="1">
      <c r="A85" s="3229" t="s">
        <v>110</v>
      </c>
      <c r="B85" s="3229" t="s">
        <v>3073</v>
      </c>
      <c r="C85" s="3229"/>
      <c r="D85" s="3229"/>
      <c r="E85" s="3229"/>
      <c r="F85" s="3229">
        <v>4680</v>
      </c>
      <c r="G85" s="3229"/>
    </row>
    <row r="86" spans="1:7" s="3218" customFormat="1" ht="14.25" hidden="1" customHeight="1" thickBot="1">
      <c r="A86" s="3237" t="s">
        <v>110</v>
      </c>
      <c r="B86" s="3239" t="s">
        <v>3074</v>
      </c>
      <c r="C86" s="3240">
        <v>16610</v>
      </c>
      <c r="D86" s="3240">
        <v>16540</v>
      </c>
      <c r="E86" s="3240">
        <v>18850</v>
      </c>
      <c r="F86" s="3240"/>
      <c r="G86" s="3240">
        <v>11220</v>
      </c>
    </row>
    <row r="87" spans="1:7" s="3218" customFormat="1" ht="14.25" hidden="1" customHeight="1">
      <c r="A87" s="3234" t="s">
        <v>303</v>
      </c>
      <c r="B87" s="3225" t="s">
        <v>3075</v>
      </c>
      <c r="C87" s="3225">
        <v>15240</v>
      </c>
      <c r="D87" s="3225">
        <v>15170</v>
      </c>
      <c r="E87" s="3225">
        <v>18260</v>
      </c>
      <c r="F87" s="3225">
        <v>3830</v>
      </c>
      <c r="G87" s="3241">
        <v>10020</v>
      </c>
    </row>
    <row r="88" spans="1:7" s="3218" customFormat="1" ht="14.25" hidden="1" customHeight="1">
      <c r="A88" s="3229" t="s">
        <v>303</v>
      </c>
      <c r="B88" s="3229" t="s">
        <v>131</v>
      </c>
      <c r="C88" s="3229">
        <v>17310</v>
      </c>
      <c r="D88" s="3229">
        <v>17220</v>
      </c>
      <c r="E88" s="3229">
        <v>18610</v>
      </c>
      <c r="F88" s="3229">
        <v>3990</v>
      </c>
      <c r="G88" s="3242">
        <v>11380</v>
      </c>
    </row>
    <row r="89" spans="1:7" s="3218" customFormat="1" ht="14.25" hidden="1" customHeight="1">
      <c r="A89" s="3229" t="s">
        <v>303</v>
      </c>
      <c r="B89" s="3229" t="s">
        <v>140</v>
      </c>
      <c r="C89" s="3229">
        <v>15600</v>
      </c>
      <c r="D89" s="3229">
        <v>15550</v>
      </c>
      <c r="E89" s="3229">
        <v>19200</v>
      </c>
      <c r="F89" s="3229">
        <v>4110</v>
      </c>
      <c r="G89" s="3242">
        <v>10270</v>
      </c>
    </row>
    <row r="90" spans="1:7" s="3218" customFormat="1" ht="14.25" hidden="1" customHeight="1">
      <c r="A90" s="3229" t="s">
        <v>303</v>
      </c>
      <c r="B90" s="3229" t="s">
        <v>149</v>
      </c>
      <c r="C90" s="3229">
        <v>17330</v>
      </c>
      <c r="D90" s="3229">
        <v>17240</v>
      </c>
      <c r="E90" s="3229">
        <v>18570</v>
      </c>
      <c r="F90" s="3229">
        <v>4070</v>
      </c>
      <c r="G90" s="3242">
        <v>11390</v>
      </c>
    </row>
    <row r="91" spans="1:7" s="3218" customFormat="1" ht="14.25" hidden="1" customHeight="1">
      <c r="A91" s="3229" t="s">
        <v>303</v>
      </c>
      <c r="B91" s="3229" t="s">
        <v>158</v>
      </c>
      <c r="C91" s="3229">
        <v>16330</v>
      </c>
      <c r="D91" s="3229">
        <v>16260</v>
      </c>
      <c r="E91" s="3229">
        <v>16800</v>
      </c>
      <c r="F91" s="3229">
        <v>3410</v>
      </c>
      <c r="G91" s="3242">
        <v>10740</v>
      </c>
    </row>
    <row r="92" spans="1:7" s="3218" customFormat="1" ht="14.25" hidden="1" customHeight="1">
      <c r="A92" s="3229" t="s">
        <v>303</v>
      </c>
      <c r="B92" s="3229" t="s">
        <v>165</v>
      </c>
      <c r="C92" s="3229">
        <v>15570</v>
      </c>
      <c r="D92" s="3229">
        <v>15500</v>
      </c>
      <c r="E92" s="3229">
        <v>17360</v>
      </c>
      <c r="F92" s="3229">
        <v>3510</v>
      </c>
      <c r="G92" s="3242">
        <v>10240</v>
      </c>
    </row>
    <row r="93" spans="1:7" s="3218" customFormat="1" ht="14.25" hidden="1" customHeight="1">
      <c r="A93" s="3229" t="s">
        <v>303</v>
      </c>
      <c r="B93" s="3229" t="s">
        <v>171</v>
      </c>
      <c r="C93" s="3229">
        <v>14000</v>
      </c>
      <c r="D93" s="3229">
        <v>13930</v>
      </c>
      <c r="E93" s="3229">
        <v>18200</v>
      </c>
      <c r="F93" s="3229">
        <v>3640</v>
      </c>
      <c r="G93" s="3242">
        <v>9210</v>
      </c>
    </row>
    <row r="94" spans="1:7" s="3218" customFormat="1" ht="14.25" hidden="1" customHeight="1">
      <c r="A94" s="3229" t="s">
        <v>303</v>
      </c>
      <c r="B94" s="3229" t="s">
        <v>178</v>
      </c>
      <c r="C94" s="3229">
        <v>14530</v>
      </c>
      <c r="D94" s="3229">
        <v>14470</v>
      </c>
      <c r="E94" s="3229">
        <v>18240</v>
      </c>
      <c r="F94" s="3229">
        <v>3180</v>
      </c>
      <c r="G94" s="3242">
        <v>9560</v>
      </c>
    </row>
    <row r="95" spans="1:7" s="3218" customFormat="1" ht="14.25" hidden="1" customHeight="1">
      <c r="A95" s="3229" t="s">
        <v>303</v>
      </c>
      <c r="B95" s="3229" t="s">
        <v>188</v>
      </c>
      <c r="C95" s="3229">
        <v>17330</v>
      </c>
      <c r="D95" s="3229">
        <v>17260</v>
      </c>
      <c r="E95" s="3229">
        <v>18420</v>
      </c>
      <c r="F95" s="3229">
        <v>3060</v>
      </c>
      <c r="G95" s="3242">
        <v>11410</v>
      </c>
    </row>
    <row r="96" spans="1:7" s="3218" customFormat="1" ht="14.25" hidden="1" customHeight="1">
      <c r="A96" s="3229" t="s">
        <v>303</v>
      </c>
      <c r="B96" s="3229" t="s">
        <v>197</v>
      </c>
      <c r="C96" s="3229">
        <v>15030</v>
      </c>
      <c r="D96" s="3229">
        <v>14970</v>
      </c>
      <c r="E96" s="3229">
        <v>17580</v>
      </c>
      <c r="F96" s="3229">
        <v>2970</v>
      </c>
      <c r="G96" s="3242">
        <v>9890</v>
      </c>
    </row>
    <row r="97" spans="1:7" s="3218" customFormat="1" ht="14.25" hidden="1" customHeight="1">
      <c r="A97" s="3229" t="s">
        <v>303</v>
      </c>
      <c r="B97" s="3229" t="s">
        <v>204</v>
      </c>
      <c r="C97" s="3229">
        <v>17400</v>
      </c>
      <c r="D97" s="3229">
        <v>17330</v>
      </c>
      <c r="E97" s="3229">
        <v>16430</v>
      </c>
      <c r="F97" s="3229">
        <v>2950</v>
      </c>
      <c r="G97" s="3242">
        <v>11450</v>
      </c>
    </row>
    <row r="98" spans="1:7" s="3218" customFormat="1" ht="14.25" hidden="1" customHeight="1">
      <c r="A98" s="3229" t="s">
        <v>303</v>
      </c>
      <c r="B98" s="3229" t="s">
        <v>211</v>
      </c>
      <c r="C98" s="3229">
        <v>15200</v>
      </c>
      <c r="D98" s="3229">
        <v>15120</v>
      </c>
      <c r="E98" s="3229">
        <v>17550</v>
      </c>
      <c r="F98" s="3229">
        <v>3080</v>
      </c>
      <c r="G98" s="3242">
        <v>9990</v>
      </c>
    </row>
    <row r="99" spans="1:7" s="3218" customFormat="1" ht="14.25" hidden="1" customHeight="1">
      <c r="A99" s="3229" t="s">
        <v>303</v>
      </c>
      <c r="B99" s="3229" t="s">
        <v>217</v>
      </c>
      <c r="C99" s="3229">
        <v>17520</v>
      </c>
      <c r="D99" s="3229">
        <v>17430</v>
      </c>
      <c r="E99" s="3229">
        <v>16350</v>
      </c>
      <c r="F99" s="3229">
        <v>3260</v>
      </c>
      <c r="G99" s="3242">
        <v>11510</v>
      </c>
    </row>
    <row r="100" spans="1:7" s="3218" customFormat="1" ht="14.25" hidden="1" customHeight="1">
      <c r="A100" s="3229" t="s">
        <v>303</v>
      </c>
      <c r="B100" s="3229" t="s">
        <v>225</v>
      </c>
      <c r="C100" s="3229">
        <v>15340</v>
      </c>
      <c r="D100" s="3229">
        <v>15260</v>
      </c>
      <c r="E100" s="3229">
        <v>15930</v>
      </c>
      <c r="F100" s="3229">
        <v>2740</v>
      </c>
      <c r="G100" s="3242">
        <v>10080</v>
      </c>
    </row>
    <row r="101" spans="1:7" s="3218" customFormat="1" ht="14.25" hidden="1" customHeight="1">
      <c r="A101" s="3229" t="s">
        <v>303</v>
      </c>
      <c r="B101" s="3229" t="s">
        <v>233</v>
      </c>
      <c r="C101" s="3229">
        <v>14620</v>
      </c>
      <c r="D101" s="3229">
        <v>14560</v>
      </c>
      <c r="E101" s="3229">
        <v>15570</v>
      </c>
      <c r="F101" s="3229">
        <v>3500</v>
      </c>
      <c r="G101" s="3242">
        <v>9630</v>
      </c>
    </row>
    <row r="102" spans="1:7" s="3218" customFormat="1" ht="14.25" hidden="1" customHeight="1">
      <c r="A102" s="3229" t="s">
        <v>303</v>
      </c>
      <c r="B102" s="3229" t="s">
        <v>238</v>
      </c>
      <c r="C102" s="3229">
        <v>13680</v>
      </c>
      <c r="D102" s="3229">
        <v>13610</v>
      </c>
      <c r="E102" s="3229">
        <v>15690</v>
      </c>
      <c r="F102" s="3229">
        <v>2870</v>
      </c>
      <c r="G102" s="3242">
        <v>8990</v>
      </c>
    </row>
    <row r="103" spans="1:7" s="3218" customFormat="1" ht="14.25" hidden="1" customHeight="1">
      <c r="A103" s="3229" t="s">
        <v>303</v>
      </c>
      <c r="B103" s="3229" t="s">
        <v>247</v>
      </c>
      <c r="C103" s="3229">
        <v>14620</v>
      </c>
      <c r="D103" s="3229">
        <v>14540</v>
      </c>
      <c r="E103" s="3229">
        <v>15240</v>
      </c>
      <c r="F103" s="3229">
        <v>2840</v>
      </c>
      <c r="G103" s="3242">
        <v>9610</v>
      </c>
    </row>
    <row r="104" spans="1:7" s="3218" customFormat="1" ht="14.25" hidden="1" customHeight="1">
      <c r="A104" s="3229" t="s">
        <v>303</v>
      </c>
      <c r="B104" s="3229" t="s">
        <v>254</v>
      </c>
      <c r="C104" s="3229">
        <v>13610</v>
      </c>
      <c r="D104" s="3229">
        <v>13540</v>
      </c>
      <c r="E104" s="3229">
        <v>15750</v>
      </c>
      <c r="F104" s="3229">
        <v>2770</v>
      </c>
      <c r="G104" s="3242">
        <v>8940</v>
      </c>
    </row>
    <row r="105" spans="1:7" s="3218" customFormat="1" ht="14.25" hidden="1" customHeight="1">
      <c r="A105" s="3229" t="s">
        <v>303</v>
      </c>
      <c r="B105" s="3229" t="s">
        <v>262</v>
      </c>
      <c r="C105" s="3229">
        <v>13310</v>
      </c>
      <c r="D105" s="3229">
        <v>13240</v>
      </c>
      <c r="E105" s="3229">
        <v>16280</v>
      </c>
      <c r="F105" s="3229">
        <v>3210</v>
      </c>
      <c r="G105" s="3242">
        <v>8750</v>
      </c>
    </row>
    <row r="106" spans="1:7" s="3218" customFormat="1" ht="14.25" hidden="1" customHeight="1">
      <c r="A106" s="3229" t="s">
        <v>303</v>
      </c>
      <c r="B106" s="3229" t="s">
        <v>269</v>
      </c>
      <c r="C106" s="3229">
        <v>13010</v>
      </c>
      <c r="D106" s="3229">
        <v>12930</v>
      </c>
      <c r="E106" s="3229">
        <v>14960</v>
      </c>
      <c r="F106" s="3229">
        <v>3530</v>
      </c>
      <c r="G106" s="3242">
        <v>8550</v>
      </c>
    </row>
    <row r="107" spans="1:7" s="3218" customFormat="1" ht="14.25" hidden="1" customHeight="1">
      <c r="A107" s="3229" t="s">
        <v>303</v>
      </c>
      <c r="B107" s="3229" t="s">
        <v>273</v>
      </c>
      <c r="C107" s="3229">
        <v>13070</v>
      </c>
      <c r="D107" s="3229">
        <v>13000</v>
      </c>
      <c r="E107" s="3229">
        <v>15910</v>
      </c>
      <c r="F107" s="3229">
        <v>3990</v>
      </c>
      <c r="G107" s="3242">
        <v>8580</v>
      </c>
    </row>
    <row r="108" spans="1:7" s="3218" customFormat="1" ht="14.25" hidden="1" customHeight="1">
      <c r="A108" s="3229" t="s">
        <v>303</v>
      </c>
      <c r="B108" s="3229" t="s">
        <v>279</v>
      </c>
      <c r="C108" s="3229">
        <v>12640</v>
      </c>
      <c r="D108" s="3229">
        <v>12580</v>
      </c>
      <c r="E108" s="3229">
        <v>15730</v>
      </c>
      <c r="F108" s="3229"/>
      <c r="G108" s="3242">
        <v>8310</v>
      </c>
    </row>
    <row r="109" spans="1:7" s="3218" customFormat="1" ht="14.25" hidden="1" customHeight="1">
      <c r="A109" s="3229" t="s">
        <v>303</v>
      </c>
      <c r="B109" s="3229" t="s">
        <v>282</v>
      </c>
      <c r="C109" s="3229">
        <v>13130</v>
      </c>
      <c r="D109" s="3229">
        <v>13070</v>
      </c>
      <c r="E109" s="3229">
        <v>15000</v>
      </c>
      <c r="F109" s="3229"/>
      <c r="G109" s="3242">
        <v>8630</v>
      </c>
    </row>
    <row r="110" spans="1:7" s="3218" customFormat="1" ht="14.25" hidden="1" customHeight="1">
      <c r="A110" s="3229" t="s">
        <v>303</v>
      </c>
      <c r="B110" s="3229" t="s">
        <v>284</v>
      </c>
      <c r="C110" s="3229">
        <v>13560</v>
      </c>
      <c r="D110" s="3229">
        <v>13490</v>
      </c>
      <c r="E110" s="3229">
        <v>16300</v>
      </c>
      <c r="F110" s="3229"/>
      <c r="G110" s="3242">
        <v>8920</v>
      </c>
    </row>
    <row r="111" spans="1:7" s="3218" customFormat="1" ht="14.25" hidden="1" customHeight="1">
      <c r="A111" s="3229" t="s">
        <v>303</v>
      </c>
      <c r="B111" s="3229" t="s">
        <v>287</v>
      </c>
      <c r="C111" s="3229">
        <v>12440</v>
      </c>
      <c r="D111" s="3229">
        <v>12380</v>
      </c>
      <c r="E111" s="3229">
        <v>17850</v>
      </c>
      <c r="F111" s="3229"/>
      <c r="G111" s="3242">
        <v>8180</v>
      </c>
    </row>
    <row r="112" spans="1:7" s="3218" customFormat="1" ht="14.25" hidden="1" customHeight="1">
      <c r="A112" s="3229" t="s">
        <v>303</v>
      </c>
      <c r="B112" s="3229" t="s">
        <v>291</v>
      </c>
      <c r="C112" s="3229">
        <v>13260</v>
      </c>
      <c r="D112" s="3229">
        <v>13180</v>
      </c>
      <c r="E112" s="3229">
        <v>19740</v>
      </c>
      <c r="F112" s="3229"/>
      <c r="G112" s="3242">
        <v>8710</v>
      </c>
    </row>
    <row r="113" spans="1:7" s="3218" customFormat="1" ht="14.25" hidden="1" customHeight="1">
      <c r="A113" s="3229" t="s">
        <v>303</v>
      </c>
      <c r="B113" s="3229" t="s">
        <v>2954</v>
      </c>
      <c r="C113" s="3229">
        <v>15520</v>
      </c>
      <c r="D113" s="3229">
        <v>15450</v>
      </c>
      <c r="E113" s="3229"/>
      <c r="F113" s="3229"/>
      <c r="G113" s="3242">
        <v>10210</v>
      </c>
    </row>
    <row r="114" spans="1:7" s="3218" customFormat="1" ht="14.25" hidden="1" customHeight="1">
      <c r="A114" s="3229" t="s">
        <v>303</v>
      </c>
      <c r="B114" s="3229" t="s">
        <v>2961</v>
      </c>
      <c r="C114" s="3229">
        <v>13110</v>
      </c>
      <c r="D114" s="3229">
        <v>13050</v>
      </c>
      <c r="E114" s="3229"/>
      <c r="F114" s="3229"/>
      <c r="G114" s="3242">
        <v>8620</v>
      </c>
    </row>
    <row r="115" spans="1:7" s="3218" customFormat="1" ht="14.25" hidden="1" customHeight="1">
      <c r="A115" s="3229" t="s">
        <v>303</v>
      </c>
      <c r="B115" s="3229" t="s">
        <v>2967</v>
      </c>
      <c r="C115" s="3229">
        <v>12460</v>
      </c>
      <c r="D115" s="3229">
        <v>12390</v>
      </c>
      <c r="E115" s="3229"/>
      <c r="F115" s="3229"/>
      <c r="G115" s="3242">
        <v>8190</v>
      </c>
    </row>
    <row r="116" spans="1:7" s="3218" customFormat="1" ht="14.25" hidden="1" customHeight="1">
      <c r="A116" s="3229" t="s">
        <v>303</v>
      </c>
      <c r="B116" s="3229" t="s">
        <v>2974</v>
      </c>
      <c r="C116" s="3229">
        <v>13580</v>
      </c>
      <c r="D116" s="3229">
        <v>13520</v>
      </c>
      <c r="E116" s="3229"/>
      <c r="F116" s="3229"/>
      <c r="G116" s="3242">
        <v>8930</v>
      </c>
    </row>
    <row r="117" spans="1:7" s="3218" customFormat="1" ht="14.25" hidden="1" customHeight="1">
      <c r="A117" s="3229" t="s">
        <v>303</v>
      </c>
      <c r="B117" s="3229" t="s">
        <v>2981</v>
      </c>
      <c r="C117" s="3229">
        <v>17120</v>
      </c>
      <c r="D117" s="3229">
        <v>17040</v>
      </c>
      <c r="E117" s="3229"/>
      <c r="F117" s="3229"/>
      <c r="G117" s="3242">
        <v>11260</v>
      </c>
    </row>
    <row r="118" spans="1:7" s="3218" customFormat="1" ht="14.25" hidden="1" customHeight="1">
      <c r="A118" s="3229" t="s">
        <v>303</v>
      </c>
      <c r="B118" s="3229" t="s">
        <v>2986</v>
      </c>
      <c r="C118" s="3229">
        <v>14860</v>
      </c>
      <c r="D118" s="3229">
        <v>14790</v>
      </c>
      <c r="E118" s="3229"/>
      <c r="F118" s="3229"/>
      <c r="G118" s="3242">
        <v>9780</v>
      </c>
    </row>
    <row r="119" spans="1:7" s="3218" customFormat="1" ht="14.25" hidden="1" customHeight="1">
      <c r="A119" s="3229" t="s">
        <v>303</v>
      </c>
      <c r="B119" s="3229" t="s">
        <v>2990</v>
      </c>
      <c r="C119" s="3229">
        <v>16470</v>
      </c>
      <c r="D119" s="3229">
        <v>16400</v>
      </c>
      <c r="E119" s="3229"/>
      <c r="F119" s="3229"/>
      <c r="G119" s="3242">
        <v>10840</v>
      </c>
    </row>
    <row r="120" spans="1:7" s="3218" customFormat="1" ht="14.25" hidden="1" customHeight="1">
      <c r="A120" s="3229" t="s">
        <v>303</v>
      </c>
      <c r="B120" s="3229" t="s">
        <v>3076</v>
      </c>
      <c r="C120" s="3229"/>
      <c r="D120" s="3229"/>
      <c r="E120" s="3229"/>
      <c r="F120" s="3229">
        <v>4160</v>
      </c>
      <c r="G120" s="3242"/>
    </row>
    <row r="121" spans="1:7" s="3218" customFormat="1" ht="14.25" hidden="1" customHeight="1">
      <c r="A121" s="3229" t="s">
        <v>303</v>
      </c>
      <c r="B121" s="3229" t="s">
        <v>3077</v>
      </c>
      <c r="C121" s="3229"/>
      <c r="D121" s="3229"/>
      <c r="E121" s="3229"/>
      <c r="F121" s="3229">
        <v>3880</v>
      </c>
      <c r="G121" s="3242"/>
    </row>
    <row r="122" spans="1:7" s="3218" customFormat="1" ht="14.25" hidden="1" customHeight="1">
      <c r="A122" s="3229" t="s">
        <v>303</v>
      </c>
      <c r="B122" s="3229" t="s">
        <v>3078</v>
      </c>
      <c r="C122" s="3229">
        <v>13750</v>
      </c>
      <c r="D122" s="3229">
        <v>13680</v>
      </c>
      <c r="E122" s="3229">
        <v>16460</v>
      </c>
      <c r="F122" s="3229">
        <v>2880</v>
      </c>
      <c r="G122" s="3242">
        <v>9040</v>
      </c>
    </row>
    <row r="123" spans="1:7" s="3218" customFormat="1" ht="14.25" hidden="1" customHeight="1">
      <c r="A123" s="3229" t="s">
        <v>303</v>
      </c>
      <c r="B123" s="3229" t="s">
        <v>3009</v>
      </c>
      <c r="C123" s="3229">
        <v>13590</v>
      </c>
      <c r="D123" s="3229">
        <v>13520</v>
      </c>
      <c r="E123" s="3229">
        <v>16290</v>
      </c>
      <c r="F123" s="3229">
        <v>2790</v>
      </c>
      <c r="G123" s="3242">
        <v>8930</v>
      </c>
    </row>
    <row r="124" spans="1:7" s="3218" customFormat="1" ht="14.25" hidden="1" customHeight="1">
      <c r="A124" s="3229" t="s">
        <v>303</v>
      </c>
      <c r="B124" s="3229" t="s">
        <v>3014</v>
      </c>
      <c r="C124" s="3229">
        <v>13400</v>
      </c>
      <c r="D124" s="3229">
        <v>13320</v>
      </c>
      <c r="E124" s="3229">
        <v>16100</v>
      </c>
      <c r="F124" s="3229">
        <v>2320</v>
      </c>
      <c r="G124" s="3242">
        <v>8800</v>
      </c>
    </row>
    <row r="125" spans="1:7" s="3218" customFormat="1" ht="14.25" hidden="1" customHeight="1">
      <c r="A125" s="3229" t="s">
        <v>303</v>
      </c>
      <c r="B125" s="3229" t="s">
        <v>3019</v>
      </c>
      <c r="C125" s="3229">
        <v>12860</v>
      </c>
      <c r="D125" s="3229">
        <v>12790</v>
      </c>
      <c r="E125" s="3229">
        <v>15370</v>
      </c>
      <c r="F125" s="3229">
        <v>2280</v>
      </c>
      <c r="G125" s="3242">
        <v>8450</v>
      </c>
    </row>
    <row r="126" spans="1:7" s="3218" customFormat="1" ht="14.25" hidden="1" customHeight="1" thickBot="1">
      <c r="A126" s="3243" t="s">
        <v>303</v>
      </c>
      <c r="B126" s="3236" t="s">
        <v>3024</v>
      </c>
      <c r="C126" s="3236">
        <v>12960</v>
      </c>
      <c r="D126" s="3236">
        <v>12890</v>
      </c>
      <c r="E126" s="3236">
        <v>15530</v>
      </c>
      <c r="F126" s="3236">
        <v>2910</v>
      </c>
      <c r="G126" s="3244">
        <v>8520</v>
      </c>
    </row>
    <row r="127" spans="1:7" s="3218" customFormat="1" ht="14.25" hidden="1" customHeight="1">
      <c r="A127" s="3234" t="s">
        <v>29</v>
      </c>
      <c r="B127" s="3225" t="s">
        <v>3079</v>
      </c>
      <c r="C127" s="3229">
        <v>12280</v>
      </c>
      <c r="D127" s="3229">
        <v>12250</v>
      </c>
      <c r="E127" s="3229">
        <v>15130</v>
      </c>
      <c r="F127" s="3229">
        <v>2710</v>
      </c>
      <c r="G127" s="3229">
        <v>7870</v>
      </c>
    </row>
    <row r="128" spans="1:7" s="3218" customFormat="1" ht="14.25" hidden="1" customHeight="1">
      <c r="A128" s="3229" t="s">
        <v>29</v>
      </c>
      <c r="B128" s="3229" t="s">
        <v>132</v>
      </c>
      <c r="C128" s="3229">
        <v>13180</v>
      </c>
      <c r="D128" s="3229">
        <v>13150</v>
      </c>
      <c r="E128" s="3229">
        <v>16190</v>
      </c>
      <c r="F128" s="3229">
        <v>2820</v>
      </c>
      <c r="G128" s="3229">
        <v>8460</v>
      </c>
    </row>
    <row r="129" spans="1:7" s="3218" customFormat="1" ht="14.25" hidden="1" customHeight="1">
      <c r="A129" s="3229" t="s">
        <v>29</v>
      </c>
      <c r="B129" s="3229" t="s">
        <v>141</v>
      </c>
      <c r="C129" s="3229">
        <v>10950</v>
      </c>
      <c r="D129" s="3229">
        <v>10920</v>
      </c>
      <c r="E129" s="3229">
        <v>13820</v>
      </c>
      <c r="F129" s="3229">
        <v>2500</v>
      </c>
      <c r="G129" s="3229">
        <v>7020</v>
      </c>
    </row>
    <row r="130" spans="1:7" s="3218" customFormat="1" ht="14.25" hidden="1" customHeight="1">
      <c r="A130" s="3229" t="s">
        <v>29</v>
      </c>
      <c r="B130" s="3229" t="s">
        <v>150</v>
      </c>
      <c r="C130" s="3229">
        <v>10910</v>
      </c>
      <c r="D130" s="3229">
        <v>10860</v>
      </c>
      <c r="E130" s="3229">
        <v>13730</v>
      </c>
      <c r="F130" s="3229">
        <v>2760</v>
      </c>
      <c r="G130" s="3229">
        <v>6990</v>
      </c>
    </row>
    <row r="131" spans="1:7" s="3218" customFormat="1" ht="14.25" hidden="1" customHeight="1">
      <c r="A131" s="3229" t="s">
        <v>29</v>
      </c>
      <c r="B131" s="3229" t="s">
        <v>159</v>
      </c>
      <c r="C131" s="3229">
        <v>12910</v>
      </c>
      <c r="D131" s="3229">
        <v>12870</v>
      </c>
      <c r="E131" s="3229">
        <v>15720</v>
      </c>
      <c r="F131" s="3229">
        <v>2750</v>
      </c>
      <c r="G131" s="3229">
        <v>8280</v>
      </c>
    </row>
    <row r="132" spans="1:7" s="3218" customFormat="1" ht="14.25" hidden="1" customHeight="1">
      <c r="A132" s="3229" t="s">
        <v>29</v>
      </c>
      <c r="B132" s="3229" t="s">
        <v>166</v>
      </c>
      <c r="C132" s="3229">
        <v>11910</v>
      </c>
      <c r="D132" s="3229">
        <v>11860</v>
      </c>
      <c r="E132" s="3229">
        <v>14730</v>
      </c>
      <c r="F132" s="3229">
        <v>2360</v>
      </c>
      <c r="G132" s="3229">
        <v>7630</v>
      </c>
    </row>
    <row r="133" spans="1:7" s="3218" customFormat="1" ht="14.25" hidden="1" customHeight="1">
      <c r="A133" s="3229" t="s">
        <v>29</v>
      </c>
      <c r="B133" s="3229" t="s">
        <v>172</v>
      </c>
      <c r="C133" s="3229">
        <v>12270</v>
      </c>
      <c r="D133" s="3229">
        <v>12210</v>
      </c>
      <c r="E133" s="3229">
        <v>15010</v>
      </c>
      <c r="F133" s="3229">
        <v>2580</v>
      </c>
      <c r="G133" s="3229">
        <v>7860</v>
      </c>
    </row>
    <row r="134" spans="1:7" s="3218" customFormat="1" ht="14.25" hidden="1" customHeight="1">
      <c r="A134" s="3229" t="s">
        <v>29</v>
      </c>
      <c r="B134" s="3229" t="s">
        <v>179</v>
      </c>
      <c r="C134" s="3229">
        <v>10800</v>
      </c>
      <c r="D134" s="3229">
        <v>10780</v>
      </c>
      <c r="E134" s="3229">
        <v>13640</v>
      </c>
      <c r="F134" s="3229">
        <v>2110</v>
      </c>
      <c r="G134" s="3229">
        <v>6930</v>
      </c>
    </row>
    <row r="135" spans="1:7" s="3218" customFormat="1" ht="14.25" hidden="1" customHeight="1">
      <c r="A135" s="3229" t="s">
        <v>29</v>
      </c>
      <c r="B135" s="3229" t="s">
        <v>189</v>
      </c>
      <c r="C135" s="3229">
        <v>10430</v>
      </c>
      <c r="D135" s="3229">
        <v>10390</v>
      </c>
      <c r="E135" s="3229">
        <v>13140</v>
      </c>
      <c r="F135" s="3229">
        <v>2240</v>
      </c>
      <c r="G135" s="3229">
        <v>6680</v>
      </c>
    </row>
    <row r="136" spans="1:7" s="3218" customFormat="1" ht="14.25" hidden="1" customHeight="1">
      <c r="A136" s="3229" t="s">
        <v>29</v>
      </c>
      <c r="B136" s="3229" t="s">
        <v>198</v>
      </c>
      <c r="C136" s="3229">
        <v>11930</v>
      </c>
      <c r="D136" s="3229">
        <v>11880</v>
      </c>
      <c r="E136" s="3229">
        <v>14770</v>
      </c>
      <c r="F136" s="3229">
        <v>1970</v>
      </c>
      <c r="G136" s="3229">
        <v>7640</v>
      </c>
    </row>
    <row r="137" spans="1:7" s="3218" customFormat="1" ht="14.25" hidden="1" customHeight="1">
      <c r="A137" s="3229" t="s">
        <v>29</v>
      </c>
      <c r="B137" s="3229" t="s">
        <v>205</v>
      </c>
      <c r="C137" s="3229">
        <v>10470</v>
      </c>
      <c r="D137" s="3229">
        <v>10430</v>
      </c>
      <c r="E137" s="3229">
        <v>13190</v>
      </c>
      <c r="F137" s="3229">
        <v>1990</v>
      </c>
      <c r="G137" s="3229">
        <v>6710</v>
      </c>
    </row>
    <row r="138" spans="1:7" s="3218" customFormat="1" ht="14.25" hidden="1" customHeight="1">
      <c r="A138" s="3229" t="s">
        <v>29</v>
      </c>
      <c r="B138" s="3229" t="s">
        <v>212</v>
      </c>
      <c r="C138" s="3229">
        <v>10410</v>
      </c>
      <c r="D138" s="3229">
        <v>10380</v>
      </c>
      <c r="E138" s="3229">
        <v>13130</v>
      </c>
      <c r="F138" s="3229">
        <v>2030</v>
      </c>
      <c r="G138" s="3229">
        <v>6680</v>
      </c>
    </row>
    <row r="139" spans="1:7" s="3218" customFormat="1" ht="14.25" hidden="1" customHeight="1">
      <c r="A139" s="3229" t="s">
        <v>29</v>
      </c>
      <c r="B139" s="3229" t="s">
        <v>218</v>
      </c>
      <c r="C139" s="3229">
        <v>9460</v>
      </c>
      <c r="D139" s="3229">
        <v>9410</v>
      </c>
      <c r="E139" s="3229">
        <v>12050</v>
      </c>
      <c r="F139" s="3229">
        <v>2140</v>
      </c>
      <c r="G139" s="3229">
        <v>6050</v>
      </c>
    </row>
    <row r="140" spans="1:7" s="3218" customFormat="1" ht="14.25" hidden="1" customHeight="1">
      <c r="A140" s="3229" t="s">
        <v>29</v>
      </c>
      <c r="B140" s="3229" t="s">
        <v>226</v>
      </c>
      <c r="C140" s="3229">
        <v>11030</v>
      </c>
      <c r="D140" s="3229">
        <v>10980</v>
      </c>
      <c r="E140" s="3229">
        <v>13880</v>
      </c>
      <c r="F140" s="3229">
        <v>2210</v>
      </c>
      <c r="G140" s="3229">
        <v>7060</v>
      </c>
    </row>
    <row r="141" spans="1:7" s="3218" customFormat="1" ht="14.25" hidden="1" customHeight="1">
      <c r="A141" s="3229" t="s">
        <v>29</v>
      </c>
      <c r="B141" s="3229" t="s">
        <v>234</v>
      </c>
      <c r="C141" s="3229">
        <v>11200</v>
      </c>
      <c r="D141" s="3229">
        <v>11150</v>
      </c>
      <c r="E141" s="3229">
        <v>14100</v>
      </c>
      <c r="F141" s="3229">
        <v>2470</v>
      </c>
      <c r="G141" s="3229">
        <v>7170</v>
      </c>
    </row>
    <row r="142" spans="1:7" s="3218" customFormat="1" ht="14.25" hidden="1" customHeight="1">
      <c r="A142" s="3229" t="s">
        <v>29</v>
      </c>
      <c r="B142" s="3229" t="s">
        <v>239</v>
      </c>
      <c r="C142" s="3229">
        <v>10780</v>
      </c>
      <c r="D142" s="3229">
        <v>10730</v>
      </c>
      <c r="E142" s="3229">
        <v>13540</v>
      </c>
      <c r="F142" s="3229">
        <v>2280</v>
      </c>
      <c r="G142" s="3229">
        <v>6900</v>
      </c>
    </row>
    <row r="143" spans="1:7" s="3218" customFormat="1" ht="14.25" hidden="1" customHeight="1">
      <c r="A143" s="3229" t="s">
        <v>29</v>
      </c>
      <c r="B143" s="3229" t="s">
        <v>248</v>
      </c>
      <c r="C143" s="3229">
        <v>11550</v>
      </c>
      <c r="D143" s="3229">
        <v>11490</v>
      </c>
      <c r="E143" s="3229">
        <v>14480</v>
      </c>
      <c r="F143" s="3229">
        <v>2070</v>
      </c>
      <c r="G143" s="3229">
        <v>7390</v>
      </c>
    </row>
    <row r="144" spans="1:7" s="3218" customFormat="1" ht="14.25" hidden="1" customHeight="1">
      <c r="A144" s="3229" t="s">
        <v>29</v>
      </c>
      <c r="B144" s="3229" t="s">
        <v>255</v>
      </c>
      <c r="C144" s="3229">
        <v>10720</v>
      </c>
      <c r="D144" s="3229">
        <v>10680</v>
      </c>
      <c r="E144" s="3229">
        <v>13480</v>
      </c>
      <c r="F144" s="3229">
        <v>2440</v>
      </c>
      <c r="G144" s="3229">
        <v>6870</v>
      </c>
    </row>
    <row r="145" spans="1:7" s="3218" customFormat="1" ht="14.25" hidden="1" customHeight="1">
      <c r="A145" s="3229" t="s">
        <v>29</v>
      </c>
      <c r="B145" s="3229" t="s">
        <v>263</v>
      </c>
      <c r="C145" s="3229">
        <v>10340</v>
      </c>
      <c r="D145" s="3229">
        <v>10290</v>
      </c>
      <c r="E145" s="3229">
        <v>12880</v>
      </c>
      <c r="F145" s="3229">
        <v>2650</v>
      </c>
      <c r="G145" s="3229">
        <v>6620</v>
      </c>
    </row>
    <row r="146" spans="1:7" s="3218" customFormat="1" ht="14.25" hidden="1" customHeight="1">
      <c r="A146" s="3229" t="s">
        <v>29</v>
      </c>
      <c r="B146" s="3229" t="s">
        <v>270</v>
      </c>
      <c r="C146" s="3229">
        <v>11890</v>
      </c>
      <c r="D146" s="3229">
        <v>11830</v>
      </c>
      <c r="E146" s="3229">
        <v>14670</v>
      </c>
      <c r="F146" s="3229"/>
      <c r="G146" s="3229">
        <v>7610</v>
      </c>
    </row>
    <row r="147" spans="1:7" s="3218" customFormat="1" ht="14.25" hidden="1" customHeight="1">
      <c r="A147" s="3229" t="s">
        <v>29</v>
      </c>
      <c r="B147" s="3229" t="s">
        <v>274</v>
      </c>
      <c r="C147" s="3229">
        <v>12650</v>
      </c>
      <c r="D147" s="3229">
        <v>12600</v>
      </c>
      <c r="E147" s="3229">
        <v>15440</v>
      </c>
      <c r="F147" s="3229"/>
      <c r="G147" s="3229">
        <v>8110</v>
      </c>
    </row>
    <row r="148" spans="1:7" s="3218" customFormat="1" ht="14.25" hidden="1" customHeight="1">
      <c r="A148" s="3229" t="s">
        <v>29</v>
      </c>
      <c r="B148" s="3229" t="s">
        <v>3080</v>
      </c>
      <c r="C148" s="3229">
        <v>10370</v>
      </c>
      <c r="D148" s="3229">
        <v>10310</v>
      </c>
      <c r="E148" s="3229">
        <v>12970</v>
      </c>
      <c r="F148" s="3229"/>
      <c r="G148" s="3229">
        <v>6630</v>
      </c>
    </row>
    <row r="149" spans="1:7" s="3218" customFormat="1" ht="14.25" hidden="1" customHeight="1">
      <c r="A149" s="3229" t="s">
        <v>29</v>
      </c>
      <c r="B149" s="3229" t="s">
        <v>3081</v>
      </c>
      <c r="C149" s="3229">
        <v>11600</v>
      </c>
      <c r="D149" s="3229">
        <v>11560</v>
      </c>
      <c r="E149" s="3229">
        <v>14540</v>
      </c>
      <c r="F149" s="3229">
        <v>2390</v>
      </c>
      <c r="G149" s="3229">
        <v>7430</v>
      </c>
    </row>
    <row r="150" spans="1:7" s="3218" customFormat="1" ht="14.25" hidden="1" customHeight="1">
      <c r="A150" s="3229" t="s">
        <v>29</v>
      </c>
      <c r="B150" s="3229" t="s">
        <v>292</v>
      </c>
      <c r="C150" s="3229">
        <v>9950</v>
      </c>
      <c r="D150" s="3229">
        <v>9890</v>
      </c>
      <c r="E150" s="3229">
        <v>12590</v>
      </c>
      <c r="F150" s="3229">
        <v>1970</v>
      </c>
      <c r="G150" s="3229">
        <v>6360</v>
      </c>
    </row>
    <row r="151" spans="1:7" s="3218" customFormat="1" ht="14.25" hidden="1" customHeight="1">
      <c r="A151" s="3229" t="s">
        <v>29</v>
      </c>
      <c r="B151" s="3229" t="s">
        <v>294</v>
      </c>
      <c r="C151" s="3229">
        <v>10700</v>
      </c>
      <c r="D151" s="3229">
        <v>10650</v>
      </c>
      <c r="E151" s="3229">
        <v>13420</v>
      </c>
      <c r="F151" s="3229">
        <v>2020</v>
      </c>
      <c r="G151" s="3229">
        <v>6850</v>
      </c>
    </row>
    <row r="152" spans="1:7" s="3218" customFormat="1" ht="14.25" hidden="1" customHeight="1">
      <c r="A152" s="3229" t="s">
        <v>29</v>
      </c>
      <c r="B152" s="3229" t="s">
        <v>297</v>
      </c>
      <c r="C152" s="3229">
        <v>10310</v>
      </c>
      <c r="D152" s="3229">
        <v>10260</v>
      </c>
      <c r="E152" s="3229">
        <v>12820</v>
      </c>
      <c r="F152" s="3229">
        <v>1980</v>
      </c>
      <c r="G152" s="3229">
        <v>6600</v>
      </c>
    </row>
    <row r="153" spans="1:7" s="3218" customFormat="1" ht="14.25" hidden="1" customHeight="1">
      <c r="A153" s="3229" t="s">
        <v>29</v>
      </c>
      <c r="B153" s="3229" t="s">
        <v>2955</v>
      </c>
      <c r="C153" s="3229">
        <v>10880</v>
      </c>
      <c r="D153" s="3229">
        <v>10820</v>
      </c>
      <c r="E153" s="3229">
        <v>13660</v>
      </c>
      <c r="F153" s="3229">
        <v>2260</v>
      </c>
      <c r="G153" s="3229">
        <v>6970</v>
      </c>
    </row>
    <row r="154" spans="1:7" s="3218" customFormat="1" ht="14.25" hidden="1" customHeight="1">
      <c r="A154" s="3229" t="s">
        <v>29</v>
      </c>
      <c r="B154" s="3229" t="s">
        <v>3082</v>
      </c>
      <c r="C154" s="3229">
        <v>11220</v>
      </c>
      <c r="D154" s="3229">
        <v>11160</v>
      </c>
      <c r="E154" s="3229">
        <v>14130</v>
      </c>
      <c r="F154" s="3229">
        <v>2230</v>
      </c>
      <c r="G154" s="3229">
        <v>7180</v>
      </c>
    </row>
    <row r="155" spans="1:7" s="3218" customFormat="1" ht="14.25" hidden="1" customHeight="1">
      <c r="A155" s="3229" t="s">
        <v>29</v>
      </c>
      <c r="B155" s="3229" t="s">
        <v>2968</v>
      </c>
      <c r="C155" s="3229">
        <v>10430</v>
      </c>
      <c r="D155" s="3229">
        <v>10380</v>
      </c>
      <c r="E155" s="3229">
        <v>13140</v>
      </c>
      <c r="F155" s="3229">
        <v>2080</v>
      </c>
      <c r="G155" s="3229">
        <v>6650</v>
      </c>
    </row>
    <row r="156" spans="1:7" s="3218" customFormat="1" ht="14.25" hidden="1" customHeight="1">
      <c r="A156" s="3229" t="s">
        <v>29</v>
      </c>
      <c r="B156" s="3229" t="s">
        <v>3083</v>
      </c>
      <c r="C156" s="3229">
        <v>10440</v>
      </c>
      <c r="D156" s="3229">
        <v>10400</v>
      </c>
      <c r="E156" s="3229">
        <v>13150</v>
      </c>
      <c r="F156" s="3229">
        <v>2490</v>
      </c>
      <c r="G156" s="3229">
        <v>6690</v>
      </c>
    </row>
    <row r="157" spans="1:7" s="3218" customFormat="1" ht="14.25" hidden="1" customHeight="1">
      <c r="A157" s="3229" t="s">
        <v>29</v>
      </c>
      <c r="B157" s="3229" t="s">
        <v>300</v>
      </c>
      <c r="C157" s="3229">
        <v>10970</v>
      </c>
      <c r="D157" s="3229">
        <v>10920</v>
      </c>
      <c r="E157" s="3229">
        <v>13840</v>
      </c>
      <c r="F157" s="3229">
        <v>2420</v>
      </c>
      <c r="G157" s="3229">
        <v>7020</v>
      </c>
    </row>
    <row r="158" spans="1:7" s="3218" customFormat="1" ht="14.25" hidden="1" customHeight="1">
      <c r="A158" s="3229" t="s">
        <v>29</v>
      </c>
      <c r="B158" s="3229" t="s">
        <v>301</v>
      </c>
      <c r="C158" s="3229">
        <v>9590</v>
      </c>
      <c r="D158" s="3229">
        <v>9540</v>
      </c>
      <c r="E158" s="3229">
        <v>12210</v>
      </c>
      <c r="F158" s="3229">
        <v>2100</v>
      </c>
      <c r="G158" s="3229">
        <v>6130</v>
      </c>
    </row>
    <row r="159" spans="1:7" s="3218" customFormat="1" ht="14.25" hidden="1" customHeight="1">
      <c r="A159" s="3229" t="s">
        <v>29</v>
      </c>
      <c r="B159" s="3229" t="s">
        <v>302</v>
      </c>
      <c r="C159" s="3229">
        <v>11190</v>
      </c>
      <c r="D159" s="3229">
        <v>11140</v>
      </c>
      <c r="E159" s="3229">
        <v>14090</v>
      </c>
      <c r="F159" s="3229">
        <v>2470</v>
      </c>
      <c r="G159" s="3229">
        <v>7170</v>
      </c>
    </row>
    <row r="160" spans="1:7" s="3218" customFormat="1" ht="14.25" hidden="1" customHeight="1">
      <c r="A160" s="3229" t="s">
        <v>29</v>
      </c>
      <c r="B160" s="3229" t="s">
        <v>3084</v>
      </c>
      <c r="C160" s="3229">
        <v>11180</v>
      </c>
      <c r="D160" s="3229">
        <v>11140</v>
      </c>
      <c r="E160" s="3229">
        <v>14050</v>
      </c>
      <c r="F160" s="3229">
        <v>2270</v>
      </c>
      <c r="G160" s="3229">
        <v>7170</v>
      </c>
    </row>
    <row r="161" spans="1:7" s="3218" customFormat="1" ht="14.25" hidden="1" customHeight="1">
      <c r="A161" s="3229" t="s">
        <v>29</v>
      </c>
      <c r="B161" s="3229" t="s">
        <v>3000</v>
      </c>
      <c r="C161" s="3229">
        <v>11160</v>
      </c>
      <c r="D161" s="3229">
        <v>11120</v>
      </c>
      <c r="E161" s="3229">
        <v>14020</v>
      </c>
      <c r="F161" s="3229">
        <v>2150</v>
      </c>
      <c r="G161" s="3229">
        <v>7160</v>
      </c>
    </row>
    <row r="162" spans="1:7" s="3218" customFormat="1" ht="14.25" hidden="1" customHeight="1">
      <c r="A162" s="3229" t="s">
        <v>29</v>
      </c>
      <c r="B162" s="3229" t="s">
        <v>3005</v>
      </c>
      <c r="C162" s="3229">
        <v>9620</v>
      </c>
      <c r="D162" s="3229">
        <v>9570</v>
      </c>
      <c r="E162" s="3229">
        <v>12320</v>
      </c>
      <c r="F162" s="3229">
        <v>2010</v>
      </c>
      <c r="G162" s="3229">
        <v>6160</v>
      </c>
    </row>
    <row r="163" spans="1:7" s="3218" customFormat="1" ht="14.25" hidden="1" customHeight="1">
      <c r="A163" s="3229" t="s">
        <v>29</v>
      </c>
      <c r="B163" s="3229" t="s">
        <v>3010</v>
      </c>
      <c r="C163" s="3229">
        <v>9320</v>
      </c>
      <c r="D163" s="3229">
        <v>9270</v>
      </c>
      <c r="E163" s="3229">
        <v>11790</v>
      </c>
      <c r="F163" s="3229">
        <v>1920</v>
      </c>
      <c r="G163" s="3229">
        <v>5960</v>
      </c>
    </row>
    <row r="164" spans="1:7" s="3218" customFormat="1" ht="14.25" hidden="1" customHeight="1">
      <c r="A164" s="3229" t="s">
        <v>29</v>
      </c>
      <c r="B164" s="3229" t="s">
        <v>3015</v>
      </c>
      <c r="C164" s="3229"/>
      <c r="D164" s="3229"/>
      <c r="E164" s="3229"/>
      <c r="F164" s="3229">
        <v>1980</v>
      </c>
      <c r="G164" s="3229"/>
    </row>
    <row r="165" spans="1:7" s="3218" customFormat="1" ht="14.25" hidden="1" customHeight="1">
      <c r="A165" s="3229" t="s">
        <v>29</v>
      </c>
      <c r="B165" s="3229" t="s">
        <v>3085</v>
      </c>
      <c r="C165" s="3229">
        <v>11060</v>
      </c>
      <c r="D165" s="3229">
        <v>11030</v>
      </c>
      <c r="E165" s="3229">
        <v>13850</v>
      </c>
      <c r="F165" s="3229">
        <v>2170</v>
      </c>
      <c r="G165" s="3229">
        <v>7090</v>
      </c>
    </row>
    <row r="166" spans="1:7" s="3218" customFormat="1" ht="14.25" hidden="1" customHeight="1">
      <c r="A166" s="3229" t="s">
        <v>29</v>
      </c>
      <c r="B166" s="3229" t="s">
        <v>3025</v>
      </c>
      <c r="C166" s="3229">
        <v>11050</v>
      </c>
      <c r="D166" s="3229">
        <v>11010</v>
      </c>
      <c r="E166" s="3229">
        <v>13920</v>
      </c>
      <c r="F166" s="3229">
        <v>2140</v>
      </c>
      <c r="G166" s="3229">
        <v>7080</v>
      </c>
    </row>
    <row r="167" spans="1:7" s="3218" customFormat="1" ht="14.25" hidden="1" customHeight="1">
      <c r="A167" s="3229" t="s">
        <v>29</v>
      </c>
      <c r="B167" s="3229" t="s">
        <v>3029</v>
      </c>
      <c r="C167" s="3229">
        <v>10930</v>
      </c>
      <c r="D167" s="3229">
        <v>10890</v>
      </c>
      <c r="E167" s="3229">
        <v>13790</v>
      </c>
      <c r="F167" s="3229">
        <v>2010</v>
      </c>
      <c r="G167" s="3229">
        <v>7000</v>
      </c>
    </row>
    <row r="168" spans="1:7" s="3218" customFormat="1" ht="14.25" hidden="1" customHeight="1">
      <c r="A168" s="3229" t="s">
        <v>29</v>
      </c>
      <c r="B168" s="3229" t="s">
        <v>3034</v>
      </c>
      <c r="C168" s="3229">
        <v>9420</v>
      </c>
      <c r="D168" s="3229">
        <v>9380</v>
      </c>
      <c r="E168" s="3229">
        <v>11970</v>
      </c>
      <c r="F168" s="3229"/>
      <c r="G168" s="3229">
        <v>6040</v>
      </c>
    </row>
    <row r="169" spans="1:7" s="3218" customFormat="1" ht="14.25" hidden="1" customHeight="1">
      <c r="A169" s="3229" t="s">
        <v>29</v>
      </c>
      <c r="B169" s="3229" t="s">
        <v>3086</v>
      </c>
      <c r="C169" s="3229"/>
      <c r="D169" s="3229"/>
      <c r="E169" s="3229"/>
      <c r="F169" s="3229">
        <v>2880</v>
      </c>
      <c r="G169" s="3229"/>
    </row>
    <row r="170" spans="1:7" s="3218" customFormat="1" ht="14.25" hidden="1" customHeight="1">
      <c r="A170" s="3229" t="s">
        <v>29</v>
      </c>
      <c r="B170" s="3229" t="s">
        <v>3042</v>
      </c>
      <c r="C170" s="3229"/>
      <c r="D170" s="3229"/>
      <c r="E170" s="3229"/>
      <c r="F170" s="3229">
        <v>2880</v>
      </c>
      <c r="G170" s="3229"/>
    </row>
    <row r="171" spans="1:7" s="3218" customFormat="1" ht="14.25" hidden="1" customHeight="1">
      <c r="A171" s="3229" t="s">
        <v>29</v>
      </c>
      <c r="B171" s="3229" t="s">
        <v>3045</v>
      </c>
      <c r="C171" s="3229"/>
      <c r="D171" s="3229"/>
      <c r="E171" s="3229"/>
      <c r="F171" s="3229">
        <v>2880</v>
      </c>
      <c r="G171" s="3229"/>
    </row>
    <row r="172" spans="1:7" s="3218" customFormat="1" ht="14.25" hidden="1" customHeight="1">
      <c r="A172" s="3229" t="s">
        <v>29</v>
      </c>
      <c r="B172" s="3229" t="s">
        <v>3047</v>
      </c>
      <c r="C172" s="3229"/>
      <c r="D172" s="3229"/>
      <c r="E172" s="3229"/>
      <c r="F172" s="3229">
        <v>2880</v>
      </c>
      <c r="G172" s="3229"/>
    </row>
    <row r="173" spans="1:7" s="3218" customFormat="1" ht="14.25" hidden="1" customHeight="1">
      <c r="A173" s="3229" t="s">
        <v>29</v>
      </c>
      <c r="B173" s="3229" t="s">
        <v>3049</v>
      </c>
      <c r="C173" s="3229"/>
      <c r="D173" s="3229"/>
      <c r="E173" s="3229"/>
      <c r="F173" s="3229">
        <v>2150</v>
      </c>
      <c r="G173" s="3229"/>
    </row>
    <row r="174" spans="1:7" s="3218" customFormat="1" ht="14.25" hidden="1" customHeight="1">
      <c r="A174" s="3229" t="s">
        <v>29</v>
      </c>
      <c r="B174" s="3229" t="s">
        <v>3051</v>
      </c>
      <c r="C174" s="3229"/>
      <c r="D174" s="3229"/>
      <c r="E174" s="3229"/>
      <c r="F174" s="3229">
        <v>2030</v>
      </c>
      <c r="G174" s="3229"/>
    </row>
    <row r="175" spans="1:7" s="3218" customFormat="1" ht="14.25" hidden="1" customHeight="1">
      <c r="A175" s="3229" t="s">
        <v>29</v>
      </c>
      <c r="B175" s="3229" t="s">
        <v>3053</v>
      </c>
      <c r="C175" s="3229"/>
      <c r="D175" s="3229"/>
      <c r="E175" s="3229"/>
      <c r="F175" s="3229">
        <v>2780</v>
      </c>
      <c r="G175" s="3229"/>
    </row>
    <row r="176" spans="1:7" s="3218" customFormat="1" ht="14.25" hidden="1" customHeight="1">
      <c r="A176" s="3229" t="s">
        <v>29</v>
      </c>
      <c r="B176" s="3229" t="s">
        <v>3055</v>
      </c>
      <c r="C176" s="3229"/>
      <c r="D176" s="3229"/>
      <c r="E176" s="3229"/>
      <c r="F176" s="3229">
        <v>2780</v>
      </c>
      <c r="G176" s="3229"/>
    </row>
    <row r="177" spans="1:7" s="3218" customFormat="1" ht="14.25" hidden="1" customHeight="1">
      <c r="A177" s="3229" t="s">
        <v>29</v>
      </c>
      <c r="B177" s="3229" t="s">
        <v>3087</v>
      </c>
      <c r="C177" s="3229"/>
      <c r="D177" s="3229"/>
      <c r="E177" s="3229"/>
      <c r="F177" s="3229">
        <v>2780</v>
      </c>
      <c r="G177" s="3229"/>
    </row>
    <row r="178" spans="1:7" s="3218" customFormat="1" ht="14.25" hidden="1" customHeight="1">
      <c r="A178" s="3229" t="s">
        <v>29</v>
      </c>
      <c r="B178" s="3229" t="s">
        <v>3088</v>
      </c>
      <c r="C178" s="3229"/>
      <c r="D178" s="3229"/>
      <c r="E178" s="3229"/>
      <c r="F178" s="3229">
        <v>2060</v>
      </c>
      <c r="G178" s="3229"/>
    </row>
    <row r="179" spans="1:7" s="3218" customFormat="1" ht="14.25" hidden="1" customHeight="1">
      <c r="A179" s="3229" t="s">
        <v>29</v>
      </c>
      <c r="B179" s="3229" t="s">
        <v>3089</v>
      </c>
      <c r="C179" s="3229"/>
      <c r="D179" s="3229"/>
      <c r="E179" s="3229"/>
      <c r="F179" s="3229">
        <v>2120</v>
      </c>
      <c r="G179" s="3229"/>
    </row>
    <row r="180" spans="1:7" s="3218" customFormat="1" ht="14.25" hidden="1" customHeight="1">
      <c r="A180" s="3229" t="s">
        <v>29</v>
      </c>
      <c r="B180" s="3229" t="s">
        <v>3061</v>
      </c>
      <c r="C180" s="3229"/>
      <c r="D180" s="3229"/>
      <c r="E180" s="3229"/>
      <c r="F180" s="3229">
        <v>2340</v>
      </c>
      <c r="G180" s="3229"/>
    </row>
    <row r="181" spans="1:7" s="3218" customFormat="1" ht="14.25" hidden="1" customHeight="1">
      <c r="A181" s="3229" t="s">
        <v>29</v>
      </c>
      <c r="B181" s="3229" t="s">
        <v>3062</v>
      </c>
      <c r="C181" s="3229"/>
      <c r="D181" s="3229"/>
      <c r="E181" s="3229"/>
      <c r="F181" s="3229">
        <v>2340</v>
      </c>
      <c r="G181" s="3229"/>
    </row>
    <row r="182" spans="1:7" s="3218" customFormat="1" ht="14.25" hidden="1" customHeight="1">
      <c r="A182" s="3229" t="s">
        <v>29</v>
      </c>
      <c r="B182" s="3229" t="s">
        <v>3063</v>
      </c>
      <c r="C182" s="3229"/>
      <c r="D182" s="3229"/>
      <c r="E182" s="3229"/>
      <c r="F182" s="3229">
        <v>2340</v>
      </c>
      <c r="G182" s="3229"/>
    </row>
    <row r="183" spans="1:7" s="3218" customFormat="1" ht="14.25" hidden="1" customHeight="1">
      <c r="A183" s="3229" t="s">
        <v>29</v>
      </c>
      <c r="B183" s="3229" t="s">
        <v>3064</v>
      </c>
      <c r="C183" s="3229"/>
      <c r="D183" s="3229"/>
      <c r="E183" s="3229"/>
      <c r="F183" s="3229">
        <v>2340</v>
      </c>
      <c r="G183" s="3229"/>
    </row>
    <row r="184" spans="1:7" s="3218" customFormat="1" ht="14.25" hidden="1" customHeight="1">
      <c r="A184" s="3229" t="s">
        <v>29</v>
      </c>
      <c r="B184" s="3229" t="s">
        <v>3065</v>
      </c>
      <c r="C184" s="3229"/>
      <c r="D184" s="3229"/>
      <c r="E184" s="3229"/>
      <c r="F184" s="3229">
        <v>2340</v>
      </c>
      <c r="G184" s="3229"/>
    </row>
    <row r="185" spans="1:7" s="3218" customFormat="1" ht="14.25" hidden="1" customHeight="1">
      <c r="A185" s="3229" t="s">
        <v>29</v>
      </c>
      <c r="B185" s="3229" t="s">
        <v>3066</v>
      </c>
      <c r="C185" s="3229"/>
      <c r="D185" s="3229"/>
      <c r="E185" s="3229"/>
      <c r="F185" s="3229">
        <v>2530</v>
      </c>
      <c r="G185" s="3229"/>
    </row>
    <row r="186" spans="1:7" s="3218" customFormat="1" ht="14.25" hidden="1" customHeight="1">
      <c r="A186" s="3229" t="s">
        <v>29</v>
      </c>
      <c r="B186" s="3229" t="s">
        <v>3067</v>
      </c>
      <c r="C186" s="3229"/>
      <c r="D186" s="3229"/>
      <c r="E186" s="3229"/>
      <c r="F186" s="3229">
        <v>2550</v>
      </c>
      <c r="G186" s="3229"/>
    </row>
    <row r="187" spans="1:7" s="3218" customFormat="1" ht="14.25" hidden="1" customHeight="1">
      <c r="A187" s="3229" t="s">
        <v>29</v>
      </c>
      <c r="B187" s="3229" t="s">
        <v>3068</v>
      </c>
      <c r="C187" s="3229"/>
      <c r="D187" s="3229"/>
      <c r="E187" s="3229"/>
      <c r="F187" s="3229">
        <v>2070</v>
      </c>
      <c r="G187" s="3229"/>
    </row>
    <row r="188" spans="1:7" s="3218" customFormat="1" ht="14.25" hidden="1" customHeight="1">
      <c r="A188" s="3229" t="s">
        <v>29</v>
      </c>
      <c r="B188" s="3229" t="s">
        <v>3069</v>
      </c>
      <c r="C188" s="3229"/>
      <c r="D188" s="3229"/>
      <c r="E188" s="3229"/>
      <c r="F188" s="3229">
        <v>2340</v>
      </c>
      <c r="G188" s="3229"/>
    </row>
    <row r="189" spans="1:7" s="3218" customFormat="1" ht="14.25" hidden="1" customHeight="1" thickBot="1">
      <c r="A189" s="3237" t="s">
        <v>29</v>
      </c>
      <c r="B189" s="3240" t="s">
        <v>3070</v>
      </c>
      <c r="C189" s="3240"/>
      <c r="D189" s="3240"/>
      <c r="E189" s="3240"/>
      <c r="F189" s="3240">
        <v>2050</v>
      </c>
      <c r="G189" s="3240"/>
    </row>
    <row r="190" spans="1:7" s="3218" customFormat="1" ht="14.25" customHeight="1">
      <c r="A190" s="3234" t="s">
        <v>304</v>
      </c>
      <c r="B190" s="3225" t="s">
        <v>3090</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3091</v>
      </c>
      <c r="C199" s="3229">
        <v>8690</v>
      </c>
      <c r="D199" s="3229">
        <v>8630</v>
      </c>
      <c r="E199" s="3229">
        <v>11350</v>
      </c>
      <c r="F199" s="3229">
        <v>1600</v>
      </c>
      <c r="G199" s="3242">
        <v>5450</v>
      </c>
    </row>
    <row r="200" spans="1:7" s="3218" customFormat="1" ht="14.25" customHeight="1">
      <c r="A200" s="3229" t="s">
        <v>304</v>
      </c>
      <c r="B200" s="3229" t="s">
        <v>2902</v>
      </c>
      <c r="C200" s="3229"/>
      <c r="D200" s="3229"/>
      <c r="E200" s="3229"/>
      <c r="F200" s="3229">
        <v>1510</v>
      </c>
      <c r="G200" s="3242"/>
    </row>
    <row r="201" spans="1:7" s="3218" customFormat="1" ht="14.25" customHeight="1">
      <c r="A201" s="3229" t="s">
        <v>304</v>
      </c>
      <c r="B201" s="3229" t="s">
        <v>3092</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3093</v>
      </c>
      <c r="C203" s="3229">
        <v>8130</v>
      </c>
      <c r="D203" s="3229">
        <v>8070</v>
      </c>
      <c r="E203" s="3229">
        <v>10820</v>
      </c>
      <c r="F203" s="3229">
        <v>1690</v>
      </c>
      <c r="G203" s="3242">
        <v>5100</v>
      </c>
    </row>
    <row r="204" spans="1:7" s="3218" customFormat="1" ht="14.25" customHeight="1">
      <c r="A204" s="3229" t="s">
        <v>304</v>
      </c>
      <c r="B204" s="3229" t="s">
        <v>2913</v>
      </c>
      <c r="C204" s="3229">
        <v>8350</v>
      </c>
      <c r="D204" s="3229">
        <v>8290</v>
      </c>
      <c r="E204" s="3229">
        <v>11080</v>
      </c>
      <c r="F204" s="3229">
        <v>1450</v>
      </c>
      <c r="G204" s="3242">
        <v>5240</v>
      </c>
    </row>
    <row r="205" spans="1:7" s="3218" customFormat="1" ht="14.25" customHeight="1">
      <c r="A205" s="3229" t="s">
        <v>304</v>
      </c>
      <c r="B205" s="3229" t="s">
        <v>2915</v>
      </c>
      <c r="C205" s="3229">
        <v>7190</v>
      </c>
      <c r="D205" s="3229">
        <v>7130</v>
      </c>
      <c r="E205" s="3229">
        <v>9490</v>
      </c>
      <c r="F205" s="3229">
        <v>1470</v>
      </c>
      <c r="G205" s="3242">
        <v>4510</v>
      </c>
    </row>
    <row r="206" spans="1:7" s="3218" customFormat="1" ht="14.25" customHeight="1">
      <c r="A206" s="3229" t="s">
        <v>304</v>
      </c>
      <c r="B206" s="3229" t="s">
        <v>2918</v>
      </c>
      <c r="C206" s="3229">
        <v>7000</v>
      </c>
      <c r="D206" s="3229">
        <v>6950</v>
      </c>
      <c r="E206" s="3229">
        <v>9170</v>
      </c>
      <c r="F206" s="3229">
        <v>1400</v>
      </c>
      <c r="G206" s="3242">
        <v>4380</v>
      </c>
    </row>
    <row r="207" spans="1:7" s="3218" customFormat="1" ht="14.25" customHeight="1">
      <c r="A207" s="3229" t="s">
        <v>304</v>
      </c>
      <c r="B207" s="3229" t="s">
        <v>2920</v>
      </c>
      <c r="C207" s="3229">
        <v>6950</v>
      </c>
      <c r="D207" s="3229">
        <v>6900</v>
      </c>
      <c r="E207" s="3229">
        <v>9110</v>
      </c>
      <c r="F207" s="3229">
        <v>1790</v>
      </c>
      <c r="G207" s="3242">
        <v>4360</v>
      </c>
    </row>
    <row r="208" spans="1:7" s="3218" customFormat="1" ht="14.25" customHeight="1">
      <c r="A208" s="3229" t="s">
        <v>304</v>
      </c>
      <c r="B208" s="3229" t="s">
        <v>3094</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2930</v>
      </c>
      <c r="C210" s="3229">
        <v>8710</v>
      </c>
      <c r="D210" s="3229">
        <v>8660</v>
      </c>
      <c r="E210" s="3229">
        <v>11440</v>
      </c>
      <c r="F210" s="3229">
        <v>1740</v>
      </c>
      <c r="G210" s="3242">
        <v>5470</v>
      </c>
    </row>
    <row r="211" spans="1:7" s="3218" customFormat="1" ht="14.25" customHeight="1">
      <c r="A211" s="3229" t="s">
        <v>304</v>
      </c>
      <c r="B211" s="3229" t="s">
        <v>3095</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3096</v>
      </c>
      <c r="C214" s="3229">
        <v>8090</v>
      </c>
      <c r="D214" s="3229">
        <v>8030</v>
      </c>
      <c r="E214" s="3229">
        <v>10780</v>
      </c>
      <c r="F214" s="3229">
        <v>1570</v>
      </c>
      <c r="G214" s="3242">
        <v>5070</v>
      </c>
    </row>
    <row r="215" spans="1:7" s="3218" customFormat="1" ht="14.25" customHeight="1">
      <c r="A215" s="3229" t="s">
        <v>304</v>
      </c>
      <c r="B215" s="3229" t="s">
        <v>3097</v>
      </c>
      <c r="C215" s="3229">
        <v>7950</v>
      </c>
      <c r="D215" s="3229">
        <v>7900</v>
      </c>
      <c r="E215" s="3229">
        <v>10560</v>
      </c>
      <c r="F215" s="3229">
        <v>1630</v>
      </c>
      <c r="G215" s="3242">
        <v>4990</v>
      </c>
    </row>
    <row r="216" spans="1:7" s="3218" customFormat="1" ht="14.25" customHeight="1">
      <c r="A216" s="3229" t="s">
        <v>304</v>
      </c>
      <c r="B216" s="3229" t="s">
        <v>3098</v>
      </c>
      <c r="C216" s="3229">
        <v>8490</v>
      </c>
      <c r="D216" s="3229">
        <v>8440</v>
      </c>
      <c r="E216" s="3229">
        <v>11260</v>
      </c>
      <c r="F216" s="3229">
        <v>1690</v>
      </c>
      <c r="G216" s="3242">
        <v>5330</v>
      </c>
    </row>
    <row r="217" spans="1:7" s="3218" customFormat="1" ht="14.25" customHeight="1">
      <c r="A217" s="3229" t="s">
        <v>304</v>
      </c>
      <c r="B217" s="3229" t="s">
        <v>2963</v>
      </c>
      <c r="C217" s="3229">
        <v>8200</v>
      </c>
      <c r="D217" s="3229">
        <v>8150</v>
      </c>
      <c r="E217" s="3229">
        <v>10910</v>
      </c>
      <c r="F217" s="3229">
        <v>1670</v>
      </c>
      <c r="G217" s="3242">
        <v>5150</v>
      </c>
    </row>
    <row r="218" spans="1:7" s="3218" customFormat="1" ht="14.25" customHeight="1">
      <c r="A218" s="3229" t="s">
        <v>304</v>
      </c>
      <c r="B218" s="3229" t="s">
        <v>3099</v>
      </c>
      <c r="C218" s="3229"/>
      <c r="D218" s="3229"/>
      <c r="E218" s="3229"/>
      <c r="F218" s="3229">
        <v>2040</v>
      </c>
      <c r="G218" s="3242"/>
    </row>
    <row r="219" spans="1:7" s="3218" customFormat="1" ht="14.25" customHeight="1">
      <c r="A219" s="3229" t="s">
        <v>304</v>
      </c>
      <c r="B219" s="3229" t="s">
        <v>3100</v>
      </c>
      <c r="C219" s="3229"/>
      <c r="D219" s="3229"/>
      <c r="E219" s="3229"/>
      <c r="F219" s="3229">
        <v>2040</v>
      </c>
      <c r="G219" s="3242"/>
    </row>
    <row r="220" spans="1:7" s="3218" customFormat="1" ht="14.25" customHeight="1">
      <c r="A220" s="3229" t="s">
        <v>304</v>
      </c>
      <c r="B220" s="3229" t="s">
        <v>3101</v>
      </c>
      <c r="C220" s="3229"/>
      <c r="D220" s="3229"/>
      <c r="E220" s="3229"/>
      <c r="F220" s="3229">
        <v>2040</v>
      </c>
      <c r="G220" s="3242"/>
    </row>
    <row r="221" spans="1:7" s="3218" customFormat="1" ht="14.25" customHeight="1">
      <c r="A221" s="3229" t="s">
        <v>304</v>
      </c>
      <c r="B221" s="3229" t="s">
        <v>3102</v>
      </c>
      <c r="C221" s="3229"/>
      <c r="D221" s="3229"/>
      <c r="E221" s="3229"/>
      <c r="F221" s="3229">
        <v>2040</v>
      </c>
      <c r="G221" s="3242"/>
    </row>
    <row r="222" spans="1:7" s="3218" customFormat="1" ht="14.25" customHeight="1">
      <c r="A222" s="3229" t="s">
        <v>304</v>
      </c>
      <c r="B222" s="3229" t="s">
        <v>3103</v>
      </c>
      <c r="C222" s="3229"/>
      <c r="D222" s="3229"/>
      <c r="E222" s="3229"/>
      <c r="F222" s="3229">
        <v>2040</v>
      </c>
      <c r="G222" s="3242"/>
    </row>
    <row r="223" spans="1:7" s="3218" customFormat="1" ht="14.25" customHeight="1">
      <c r="A223" s="3229" t="s">
        <v>304</v>
      </c>
      <c r="B223" s="3229" t="s">
        <v>3104</v>
      </c>
      <c r="C223" s="3229"/>
      <c r="D223" s="3229"/>
      <c r="E223" s="3229"/>
      <c r="F223" s="3229">
        <v>1930</v>
      </c>
      <c r="G223" s="3242"/>
    </row>
    <row r="224" spans="1:7" s="3218" customFormat="1" ht="14.25" customHeight="1">
      <c r="A224" s="3229" t="s">
        <v>304</v>
      </c>
      <c r="B224" s="3229" t="s">
        <v>3105</v>
      </c>
      <c r="C224" s="3229"/>
      <c r="D224" s="3229"/>
      <c r="E224" s="3229"/>
      <c r="F224" s="3229">
        <v>1930</v>
      </c>
      <c r="G224" s="3242"/>
    </row>
    <row r="225" spans="1:7" s="3218" customFormat="1" ht="14.25" customHeight="1">
      <c r="A225" s="3229" t="s">
        <v>304</v>
      </c>
      <c r="B225" s="3229" t="s">
        <v>3106</v>
      </c>
      <c r="C225" s="3229"/>
      <c r="D225" s="3229"/>
      <c r="E225" s="3229"/>
      <c r="F225" s="3229">
        <v>1930</v>
      </c>
      <c r="G225" s="3242"/>
    </row>
    <row r="226" spans="1:7" s="3218" customFormat="1" ht="14.25" customHeight="1">
      <c r="A226" s="3229" t="s">
        <v>304</v>
      </c>
      <c r="B226" s="3229" t="s">
        <v>3107</v>
      </c>
      <c r="C226" s="3229"/>
      <c r="D226" s="3229"/>
      <c r="E226" s="3229"/>
      <c r="F226" s="3229">
        <v>1700</v>
      </c>
      <c r="G226" s="3242"/>
    </row>
    <row r="227" spans="1:7" s="3218" customFormat="1" ht="14.25" customHeight="1">
      <c r="A227" s="3229" t="s">
        <v>304</v>
      </c>
      <c r="B227" s="3229" t="s">
        <v>3108</v>
      </c>
      <c r="C227" s="3229"/>
      <c r="D227" s="3229"/>
      <c r="E227" s="3229"/>
      <c r="F227" s="3229">
        <v>1520</v>
      </c>
      <c r="G227" s="3242"/>
    </row>
    <row r="228" spans="1:7" s="3218" customFormat="1" ht="14.25" customHeight="1">
      <c r="A228" s="3229" t="s">
        <v>304</v>
      </c>
      <c r="B228" s="3229" t="s">
        <v>3109</v>
      </c>
      <c r="C228" s="3229"/>
      <c r="D228" s="3229"/>
      <c r="E228" s="3229"/>
      <c r="F228" s="3229">
        <v>1520</v>
      </c>
      <c r="G228" s="3242"/>
    </row>
    <row r="229" spans="1:7" s="3218" customFormat="1" ht="14.25" customHeight="1">
      <c r="A229" s="3229" t="s">
        <v>304</v>
      </c>
      <c r="B229" s="3229" t="s">
        <v>3026</v>
      </c>
      <c r="C229" s="3229"/>
      <c r="D229" s="3229"/>
      <c r="E229" s="3229"/>
      <c r="F229" s="3229">
        <v>1520</v>
      </c>
      <c r="G229" s="3242"/>
    </row>
    <row r="230" spans="1:7" s="3218" customFormat="1" ht="14.25" customHeight="1">
      <c r="A230" s="3229" t="s">
        <v>304</v>
      </c>
      <c r="B230" s="3229" t="s">
        <v>3110</v>
      </c>
      <c r="C230" s="3229"/>
      <c r="D230" s="3229"/>
      <c r="E230" s="3229"/>
      <c r="F230" s="3229">
        <v>1820</v>
      </c>
      <c r="G230" s="3242"/>
    </row>
    <row r="231" spans="1:7" s="3218" customFormat="1" ht="14.25" customHeight="1">
      <c r="A231" s="3229" t="s">
        <v>304</v>
      </c>
      <c r="B231" s="3229" t="s">
        <v>3111</v>
      </c>
      <c r="C231" s="3229"/>
      <c r="D231" s="3229"/>
      <c r="E231" s="3229"/>
      <c r="F231" s="3229">
        <v>1760</v>
      </c>
      <c r="G231" s="3242"/>
    </row>
    <row r="232" spans="1:7" s="3218" customFormat="1" ht="14.25" customHeight="1">
      <c r="A232" s="3229" t="s">
        <v>304</v>
      </c>
      <c r="B232" s="3229" t="s">
        <v>3112</v>
      </c>
      <c r="C232" s="3229"/>
      <c r="D232" s="3229"/>
      <c r="E232" s="3229"/>
      <c r="F232" s="3229">
        <v>1840</v>
      </c>
      <c r="G232" s="3242"/>
    </row>
    <row r="233" spans="1:7" s="3218" customFormat="1" ht="14.25" customHeight="1" thickBot="1">
      <c r="A233" s="3243" t="s">
        <v>304</v>
      </c>
      <c r="B233" s="3236" t="s">
        <v>3043</v>
      </c>
      <c r="C233" s="3236"/>
      <c r="D233" s="3236"/>
      <c r="E233" s="3236"/>
      <c r="F233" s="3236">
        <v>1770</v>
      </c>
      <c r="G233" s="3244"/>
    </row>
    <row r="234" spans="1:7" s="3218" customFormat="1" ht="14.25" customHeight="1">
      <c r="A234" s="3234" t="s">
        <v>305</v>
      </c>
      <c r="B234" s="3225" t="s">
        <v>3113</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2884</v>
      </c>
      <c r="C238" s="3229">
        <v>6920</v>
      </c>
      <c r="D238" s="3229">
        <v>6890</v>
      </c>
      <c r="E238" s="3229">
        <v>8640</v>
      </c>
      <c r="F238" s="3229">
        <v>1310</v>
      </c>
      <c r="G238" s="3229">
        <v>4230</v>
      </c>
    </row>
    <row r="239" spans="1:7" s="3218" customFormat="1" ht="14.25" customHeight="1">
      <c r="A239" s="3229" t="s">
        <v>305</v>
      </c>
      <c r="B239" s="3229" t="s">
        <v>3114</v>
      </c>
      <c r="C239" s="3229">
        <v>6780</v>
      </c>
      <c r="D239" s="3229">
        <v>6750</v>
      </c>
      <c r="E239" s="3229">
        <v>8440</v>
      </c>
      <c r="F239" s="3229">
        <v>1160</v>
      </c>
      <c r="G239" s="3229">
        <v>4140</v>
      </c>
    </row>
    <row r="240" spans="1:7" s="3218" customFormat="1" ht="14.25" customHeight="1">
      <c r="A240" s="3229" t="s">
        <v>305</v>
      </c>
      <c r="B240" s="3229" t="s">
        <v>3115</v>
      </c>
      <c r="C240" s="3229">
        <v>5420</v>
      </c>
      <c r="D240" s="3229">
        <v>5380</v>
      </c>
      <c r="E240" s="3229">
        <v>6640</v>
      </c>
      <c r="F240" s="3229">
        <v>1020</v>
      </c>
      <c r="G240" s="3229">
        <v>3300</v>
      </c>
    </row>
    <row r="241" spans="1:7" s="3218" customFormat="1" ht="14.25" customHeight="1">
      <c r="A241" s="3229" t="s">
        <v>305</v>
      </c>
      <c r="B241" s="3229" t="s">
        <v>3116</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3117</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3118</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3119</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3120</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3121</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2946</v>
      </c>
      <c r="C258" s="3229">
        <v>6190</v>
      </c>
      <c r="D258" s="3229">
        <v>6160</v>
      </c>
      <c r="E258" s="3229">
        <v>7680</v>
      </c>
      <c r="F258" s="3229">
        <v>1170</v>
      </c>
      <c r="G258" s="3229">
        <v>3780</v>
      </c>
    </row>
    <row r="259" spans="1:7" s="3218" customFormat="1" ht="14.25" customHeight="1">
      <c r="A259" s="3229" t="s">
        <v>305</v>
      </c>
      <c r="B259" s="3229" t="s">
        <v>3122</v>
      </c>
      <c r="C259" s="3229">
        <v>7610</v>
      </c>
      <c r="D259" s="3229">
        <v>7570</v>
      </c>
      <c r="E259" s="3229">
        <v>9350</v>
      </c>
      <c r="F259" s="3229">
        <v>1350</v>
      </c>
      <c r="G259" s="3229">
        <v>4650</v>
      </c>
    </row>
    <row r="260" spans="1:7" s="3218" customFormat="1" ht="14.25" customHeight="1">
      <c r="A260" s="3229" t="s">
        <v>305</v>
      </c>
      <c r="B260" s="3229" t="s">
        <v>3123</v>
      </c>
      <c r="C260" s="3229">
        <v>6920</v>
      </c>
      <c r="D260" s="3229">
        <v>6880</v>
      </c>
      <c r="E260" s="3229">
        <v>8380</v>
      </c>
      <c r="F260" s="3229">
        <v>1160</v>
      </c>
      <c r="G260" s="3229">
        <v>4220</v>
      </c>
    </row>
    <row r="261" spans="1:7" s="3218" customFormat="1" ht="14.25" customHeight="1">
      <c r="A261" s="3229" t="s">
        <v>305</v>
      </c>
      <c r="B261" s="3229" t="s">
        <v>3124</v>
      </c>
      <c r="C261" s="3229">
        <v>6850</v>
      </c>
      <c r="D261" s="3229">
        <v>6810</v>
      </c>
      <c r="E261" s="3229">
        <v>8290</v>
      </c>
      <c r="F261" s="3229">
        <v>1130</v>
      </c>
      <c r="G261" s="3229">
        <v>4180</v>
      </c>
    </row>
    <row r="262" spans="1:7" s="3218" customFormat="1" ht="14.25" customHeight="1">
      <c r="A262" s="3229" t="s">
        <v>305</v>
      </c>
      <c r="B262" s="3229" t="s">
        <v>3125</v>
      </c>
      <c r="C262" s="3229">
        <v>5860</v>
      </c>
      <c r="D262" s="3229">
        <v>5820</v>
      </c>
      <c r="E262" s="3229">
        <v>7640</v>
      </c>
      <c r="F262" s="3229">
        <v>1070</v>
      </c>
      <c r="G262" s="3229">
        <v>3570</v>
      </c>
    </row>
    <row r="263" spans="1:7" s="3218" customFormat="1" ht="14.25" customHeight="1">
      <c r="A263" s="3229" t="s">
        <v>305</v>
      </c>
      <c r="B263" s="3229" t="s">
        <v>3126</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3127</v>
      </c>
      <c r="C265" s="3229"/>
      <c r="D265" s="3229"/>
      <c r="E265" s="3229"/>
      <c r="F265" s="3229">
        <v>1500</v>
      </c>
      <c r="G265" s="3229"/>
    </row>
    <row r="266" spans="1:7" s="3218" customFormat="1" ht="14.25" customHeight="1">
      <c r="A266" s="3229" t="s">
        <v>305</v>
      </c>
      <c r="B266" s="3229" t="s">
        <v>3128</v>
      </c>
      <c r="C266" s="3229"/>
      <c r="D266" s="3229"/>
      <c r="E266" s="3229"/>
      <c r="F266" s="3229">
        <v>1500</v>
      </c>
      <c r="G266" s="3229"/>
    </row>
    <row r="267" spans="1:7" s="3218" customFormat="1" ht="14.25" customHeight="1">
      <c r="A267" s="3229" t="s">
        <v>305</v>
      </c>
      <c r="B267" s="3229" t="s">
        <v>3129</v>
      </c>
      <c r="C267" s="3229"/>
      <c r="D267" s="3229"/>
      <c r="E267" s="3229"/>
      <c r="F267" s="3229">
        <v>1500</v>
      </c>
      <c r="G267" s="3229"/>
    </row>
    <row r="268" spans="1:7" s="3218" customFormat="1" ht="14.25" customHeight="1">
      <c r="A268" s="3229" t="s">
        <v>305</v>
      </c>
      <c r="B268" s="3229" t="s">
        <v>3130</v>
      </c>
      <c r="C268" s="3229"/>
      <c r="D268" s="3229"/>
      <c r="E268" s="3229"/>
      <c r="F268" s="3229">
        <v>1290</v>
      </c>
      <c r="G268" s="3229"/>
    </row>
    <row r="269" spans="1:7" s="3218" customFormat="1" ht="14.25" customHeight="1">
      <c r="A269" s="3229" t="s">
        <v>305</v>
      </c>
      <c r="B269" s="3229" t="s">
        <v>3131</v>
      </c>
      <c r="C269" s="3229"/>
      <c r="D269" s="3229"/>
      <c r="E269" s="3229"/>
      <c r="F269" s="3229">
        <v>1150</v>
      </c>
      <c r="G269" s="3229"/>
    </row>
    <row r="270" spans="1:7" s="3218" customFormat="1" ht="14.25" customHeight="1">
      <c r="A270" s="3229" t="s">
        <v>305</v>
      </c>
      <c r="B270" s="3229" t="s">
        <v>3132</v>
      </c>
      <c r="C270" s="3229"/>
      <c r="D270" s="3229"/>
      <c r="E270" s="3229"/>
      <c r="F270" s="3229">
        <v>1380</v>
      </c>
      <c r="G270" s="3229"/>
    </row>
    <row r="271" spans="1:7" s="3218" customFormat="1" ht="14.25" customHeight="1">
      <c r="A271" s="3229" t="s">
        <v>305</v>
      </c>
      <c r="B271" s="3229" t="s">
        <v>3133</v>
      </c>
      <c r="C271" s="3229"/>
      <c r="D271" s="3229"/>
      <c r="E271" s="3229"/>
      <c r="F271" s="3229">
        <v>1460</v>
      </c>
      <c r="G271" s="3229"/>
    </row>
    <row r="272" spans="1:7" s="3218" customFormat="1" ht="14.25" customHeight="1">
      <c r="A272" s="3229" t="s">
        <v>305</v>
      </c>
      <c r="B272" s="3229" t="s">
        <v>3134</v>
      </c>
      <c r="C272" s="3229"/>
      <c r="D272" s="3229"/>
      <c r="E272" s="3229"/>
      <c r="F272" s="3229">
        <v>1460</v>
      </c>
      <c r="G272" s="3229"/>
    </row>
    <row r="273" spans="1:7" s="3218" customFormat="1" ht="14.25" customHeight="1">
      <c r="A273" s="3229" t="s">
        <v>305</v>
      </c>
      <c r="B273" s="3229" t="s">
        <v>3027</v>
      </c>
      <c r="C273" s="3229"/>
      <c r="D273" s="3229"/>
      <c r="E273" s="3229"/>
      <c r="F273" s="3229">
        <v>1490</v>
      </c>
      <c r="G273" s="3229"/>
    </row>
    <row r="274" spans="1:7" s="3218" customFormat="1" ht="14.25" customHeight="1">
      <c r="A274" s="3229" t="s">
        <v>305</v>
      </c>
      <c r="B274" s="3229" t="s">
        <v>3135</v>
      </c>
      <c r="C274" s="3229"/>
      <c r="D274" s="3229"/>
      <c r="E274" s="3229"/>
      <c r="F274" s="3229">
        <v>1490</v>
      </c>
      <c r="G274" s="3229"/>
    </row>
    <row r="275" spans="1:7" s="3218" customFormat="1" ht="14.25" customHeight="1">
      <c r="A275" s="3229" t="s">
        <v>305</v>
      </c>
      <c r="B275" s="3229" t="s">
        <v>3136</v>
      </c>
      <c r="C275" s="3229"/>
      <c r="D275" s="3229"/>
      <c r="E275" s="3229"/>
      <c r="F275" s="3229">
        <v>1220</v>
      </c>
      <c r="G275" s="3229"/>
    </row>
    <row r="276" spans="1:7" s="3218" customFormat="1" ht="14.25" customHeight="1" thickBot="1">
      <c r="A276" s="3237" t="s">
        <v>305</v>
      </c>
      <c r="B276" s="3239" t="s">
        <v>3137</v>
      </c>
      <c r="C276" s="3240"/>
      <c r="D276" s="3240"/>
      <c r="E276" s="3240"/>
      <c r="F276" s="3240">
        <v>1380</v>
      </c>
      <c r="G276" s="3240"/>
    </row>
    <row r="277" spans="1:7" s="3218" customFormat="1" ht="14.25" customHeight="1">
      <c r="A277" s="3234" t="s">
        <v>306</v>
      </c>
      <c r="B277" s="3225" t="s">
        <v>3138</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3139</v>
      </c>
      <c r="C279" s="3229">
        <v>4760</v>
      </c>
      <c r="D279" s="3229">
        <v>4720</v>
      </c>
      <c r="E279" s="3229">
        <v>5540</v>
      </c>
      <c r="F279" s="3229">
        <v>810</v>
      </c>
      <c r="G279" s="3242">
        <v>2850</v>
      </c>
    </row>
    <row r="280" spans="1:7" s="3218" customFormat="1" ht="14.25" customHeight="1">
      <c r="A280" s="3229" t="s">
        <v>306</v>
      </c>
      <c r="B280" s="3229" t="s">
        <v>3140</v>
      </c>
      <c r="C280" s="3229">
        <v>4010</v>
      </c>
      <c r="D280" s="3229">
        <v>3950</v>
      </c>
      <c r="E280" s="3229">
        <v>4710</v>
      </c>
      <c r="F280" s="3229">
        <v>800</v>
      </c>
      <c r="G280" s="3242">
        <v>2390</v>
      </c>
    </row>
    <row r="281" spans="1:7" s="3218" customFormat="1" ht="14.25" customHeight="1">
      <c r="A281" s="3229" t="s">
        <v>306</v>
      </c>
      <c r="B281" s="3229" t="s">
        <v>3141</v>
      </c>
      <c r="C281" s="3229">
        <v>4480</v>
      </c>
      <c r="D281" s="3229">
        <v>4420</v>
      </c>
      <c r="E281" s="3229">
        <v>5230</v>
      </c>
      <c r="F281" s="3229">
        <v>870</v>
      </c>
      <c r="G281" s="3242">
        <v>2660</v>
      </c>
    </row>
    <row r="282" spans="1:7" s="3218" customFormat="1" ht="14.25" customHeight="1">
      <c r="A282" s="3229" t="s">
        <v>306</v>
      </c>
      <c r="B282" s="3229" t="s">
        <v>3142</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3143</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3144</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2919</v>
      </c>
      <c r="C293" s="3229">
        <v>5320</v>
      </c>
      <c r="D293" s="3229">
        <v>5270</v>
      </c>
      <c r="E293" s="3229">
        <v>6160</v>
      </c>
      <c r="F293" s="3229">
        <v>990</v>
      </c>
      <c r="G293" s="3242">
        <v>3170</v>
      </c>
    </row>
    <row r="294" spans="1:7" s="3218" customFormat="1" ht="14.25" customHeight="1">
      <c r="A294" s="3229" t="s">
        <v>306</v>
      </c>
      <c r="B294" s="3229" t="s">
        <v>3145</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2938</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3146</v>
      </c>
      <c r="C302" s="3229">
        <v>5520</v>
      </c>
      <c r="D302" s="3229">
        <v>5470</v>
      </c>
      <c r="E302" s="3229">
        <v>6410</v>
      </c>
      <c r="F302" s="3229">
        <v>950</v>
      </c>
      <c r="G302" s="3242">
        <v>3300</v>
      </c>
    </row>
    <row r="303" spans="1:7" s="3218" customFormat="1" ht="14.25" customHeight="1">
      <c r="A303" s="3229" t="s">
        <v>306</v>
      </c>
      <c r="B303" s="3229" t="s">
        <v>2958</v>
      </c>
      <c r="C303" s="3229">
        <v>5630</v>
      </c>
      <c r="D303" s="3229">
        <v>5590</v>
      </c>
      <c r="E303" s="3229">
        <v>6550</v>
      </c>
      <c r="F303" s="3229">
        <v>1010</v>
      </c>
      <c r="G303" s="3242">
        <v>3370</v>
      </c>
    </row>
    <row r="304" spans="1:7" s="3218" customFormat="1" ht="14.25" customHeight="1">
      <c r="A304" s="3229" t="s">
        <v>306</v>
      </c>
      <c r="B304" s="3229" t="s">
        <v>2965</v>
      </c>
      <c r="C304" s="3229">
        <v>5680</v>
      </c>
      <c r="D304" s="3229">
        <v>5620</v>
      </c>
      <c r="E304" s="3229">
        <v>6620</v>
      </c>
      <c r="F304" s="3229">
        <v>1050</v>
      </c>
      <c r="G304" s="3242">
        <v>3390</v>
      </c>
    </row>
    <row r="305" spans="1:7" s="3218" customFormat="1" ht="14.25" customHeight="1">
      <c r="A305" s="3229" t="s">
        <v>306</v>
      </c>
      <c r="B305" s="3229" t="s">
        <v>2971</v>
      </c>
      <c r="C305" s="3229">
        <v>5590</v>
      </c>
      <c r="D305" s="3229">
        <v>5530</v>
      </c>
      <c r="E305" s="3229">
        <v>6460</v>
      </c>
      <c r="F305" s="3229">
        <v>900</v>
      </c>
      <c r="G305" s="3242">
        <v>3340</v>
      </c>
    </row>
    <row r="306" spans="1:7" s="3218" customFormat="1" ht="14.25" customHeight="1">
      <c r="A306" s="3229" t="s">
        <v>306</v>
      </c>
      <c r="B306" s="3229" t="s">
        <v>3147</v>
      </c>
      <c r="C306" s="3229">
        <v>5560</v>
      </c>
      <c r="D306" s="3229">
        <v>5510</v>
      </c>
      <c r="E306" s="3229">
        <v>6440</v>
      </c>
      <c r="F306" s="3229">
        <v>900</v>
      </c>
      <c r="G306" s="3242">
        <v>3320</v>
      </c>
    </row>
    <row r="307" spans="1:7" s="3218" customFormat="1" ht="14.25" customHeight="1">
      <c r="A307" s="3229" t="s">
        <v>306</v>
      </c>
      <c r="B307" s="3229" t="s">
        <v>2983</v>
      </c>
      <c r="C307" s="3229">
        <v>5650</v>
      </c>
      <c r="D307" s="3229">
        <v>5600</v>
      </c>
      <c r="E307" s="3229">
        <v>6590</v>
      </c>
      <c r="F307" s="3229">
        <v>930</v>
      </c>
      <c r="G307" s="3242">
        <v>3380</v>
      </c>
    </row>
    <row r="308" spans="1:7" s="3218" customFormat="1" ht="14.25" customHeight="1">
      <c r="A308" s="3229" t="s">
        <v>306</v>
      </c>
      <c r="B308" s="3229" t="s">
        <v>3148</v>
      </c>
      <c r="C308" s="3229">
        <v>5620</v>
      </c>
      <c r="D308" s="3229">
        <v>5580</v>
      </c>
      <c r="E308" s="3229">
        <v>6540</v>
      </c>
      <c r="F308" s="3229">
        <v>910</v>
      </c>
      <c r="G308" s="3242">
        <v>3370</v>
      </c>
    </row>
    <row r="309" spans="1:7" s="3218" customFormat="1" ht="14.25" customHeight="1">
      <c r="A309" s="3229" t="s">
        <v>306</v>
      </c>
      <c r="B309" s="3229" t="s">
        <v>3149</v>
      </c>
      <c r="C309" s="3229">
        <v>5060</v>
      </c>
      <c r="D309" s="3229">
        <v>5020</v>
      </c>
      <c r="E309" s="3229">
        <v>6370</v>
      </c>
      <c r="F309" s="3229">
        <v>800</v>
      </c>
      <c r="G309" s="3242">
        <v>3020</v>
      </c>
    </row>
    <row r="310" spans="1:7" s="3218" customFormat="1" ht="14.25" customHeight="1">
      <c r="A310" s="3229" t="s">
        <v>306</v>
      </c>
      <c r="B310" s="3229" t="s">
        <v>2998</v>
      </c>
      <c r="C310" s="3229">
        <v>5150</v>
      </c>
      <c r="D310" s="3229">
        <v>5110</v>
      </c>
      <c r="E310" s="3229">
        <v>6500</v>
      </c>
      <c r="F310" s="3229">
        <v>880</v>
      </c>
      <c r="G310" s="3242">
        <v>3080</v>
      </c>
    </row>
    <row r="311" spans="1:7" s="3218" customFormat="1" ht="14.25" customHeight="1">
      <c r="A311" s="3229" t="s">
        <v>306</v>
      </c>
      <c r="B311" s="3229" t="s">
        <v>3150</v>
      </c>
      <c r="C311" s="3229">
        <v>4750</v>
      </c>
      <c r="D311" s="3229">
        <v>4710</v>
      </c>
      <c r="E311" s="3229">
        <v>5510</v>
      </c>
      <c r="F311" s="3229">
        <v>880</v>
      </c>
      <c r="G311" s="3242">
        <v>2840</v>
      </c>
    </row>
    <row r="312" spans="1:7" s="3218" customFormat="1" ht="14.25" customHeight="1">
      <c r="A312" s="3229" t="s">
        <v>306</v>
      </c>
      <c r="B312" s="3229" t="s">
        <v>3008</v>
      </c>
      <c r="C312" s="3229">
        <v>4690</v>
      </c>
      <c r="D312" s="3229">
        <v>4640</v>
      </c>
      <c r="E312" s="3229">
        <v>5420</v>
      </c>
      <c r="F312" s="3229">
        <v>800</v>
      </c>
      <c r="G312" s="3242">
        <v>2800</v>
      </c>
    </row>
    <row r="313" spans="1:7" s="3218" customFormat="1" ht="14.25" customHeight="1">
      <c r="A313" s="3229" t="s">
        <v>306</v>
      </c>
      <c r="B313" s="3229" t="s">
        <v>3013</v>
      </c>
      <c r="C313" s="3229">
        <v>4810</v>
      </c>
      <c r="D313" s="3229">
        <v>4760</v>
      </c>
      <c r="E313" s="3229">
        <v>5550</v>
      </c>
      <c r="F313" s="3229">
        <v>920</v>
      </c>
      <c r="G313" s="3242">
        <v>2870</v>
      </c>
    </row>
    <row r="314" spans="1:7" s="3218" customFormat="1" ht="14.25" customHeight="1">
      <c r="A314" s="3229" t="s">
        <v>306</v>
      </c>
      <c r="B314" s="3229" t="s">
        <v>3151</v>
      </c>
      <c r="C314" s="3229"/>
      <c r="D314" s="3229"/>
      <c r="E314" s="3229"/>
      <c r="F314" s="3229">
        <v>1020</v>
      </c>
      <c r="G314" s="3242"/>
    </row>
    <row r="315" spans="1:7" s="3218" customFormat="1" ht="14.25" customHeight="1">
      <c r="A315" s="3229" t="s">
        <v>306</v>
      </c>
      <c r="B315" s="3229" t="s">
        <v>3152</v>
      </c>
      <c r="C315" s="3229"/>
      <c r="D315" s="3229"/>
      <c r="E315" s="3229"/>
      <c r="F315" s="3229">
        <v>1050</v>
      </c>
      <c r="G315" s="3242"/>
    </row>
    <row r="316" spans="1:7" s="3218" customFormat="1" ht="14.25" customHeight="1">
      <c r="A316" s="3229" t="s">
        <v>306</v>
      </c>
      <c r="B316" s="3229" t="s">
        <v>3028</v>
      </c>
      <c r="C316" s="3229"/>
      <c r="D316" s="3229"/>
      <c r="E316" s="3229"/>
      <c r="F316" s="3229">
        <v>900</v>
      </c>
      <c r="G316" s="3242"/>
    </row>
    <row r="317" spans="1:7" s="3218" customFormat="1" ht="14.25" customHeight="1">
      <c r="A317" s="3229" t="s">
        <v>306</v>
      </c>
      <c r="B317" s="3229" t="s">
        <v>3153</v>
      </c>
      <c r="C317" s="3229"/>
      <c r="D317" s="3229"/>
      <c r="E317" s="3229"/>
      <c r="F317" s="3229">
        <v>920</v>
      </c>
      <c r="G317" s="3242"/>
    </row>
    <row r="318" spans="1:7" s="3218" customFormat="1" ht="14.25" customHeight="1">
      <c r="A318" s="3229" t="s">
        <v>306</v>
      </c>
      <c r="B318" s="3229" t="s">
        <v>3154</v>
      </c>
      <c r="C318" s="3229"/>
      <c r="D318" s="3229"/>
      <c r="E318" s="3229"/>
      <c r="F318" s="3229">
        <v>1080</v>
      </c>
      <c r="G318" s="3242"/>
    </row>
    <row r="319" spans="1:7" s="3218" customFormat="1" ht="14.25" customHeight="1">
      <c r="A319" s="3229" t="s">
        <v>306</v>
      </c>
      <c r="B319" s="3229" t="s">
        <v>3041</v>
      </c>
      <c r="C319" s="3229"/>
      <c r="D319" s="3229"/>
      <c r="E319" s="3229"/>
      <c r="F319" s="3229">
        <v>1020</v>
      </c>
      <c r="G319" s="3242"/>
    </row>
    <row r="320" spans="1:7" s="3218" customFormat="1" ht="14.25" customHeight="1">
      <c r="A320" s="3229" t="s">
        <v>306</v>
      </c>
      <c r="B320" s="3229" t="s">
        <v>3044</v>
      </c>
      <c r="C320" s="3229"/>
      <c r="D320" s="3229"/>
      <c r="E320" s="3229"/>
      <c r="F320" s="3229">
        <v>1050</v>
      </c>
      <c r="G320" s="3242"/>
    </row>
    <row r="321" spans="1:7" s="3218" customFormat="1" ht="14.25" customHeight="1">
      <c r="A321" s="3229" t="s">
        <v>306</v>
      </c>
      <c r="B321" s="3229" t="s">
        <v>3046</v>
      </c>
      <c r="C321" s="3229"/>
      <c r="D321" s="3229"/>
      <c r="E321" s="3229"/>
      <c r="F321" s="3229">
        <v>960</v>
      </c>
      <c r="G321" s="3242"/>
    </row>
    <row r="322" spans="1:7" s="3218" customFormat="1" ht="14.25" customHeight="1">
      <c r="A322" s="3229" t="s">
        <v>306</v>
      </c>
      <c r="B322" s="3229" t="s">
        <v>3048</v>
      </c>
      <c r="C322" s="3229"/>
      <c r="D322" s="3229"/>
      <c r="E322" s="3229"/>
      <c r="F322" s="3229">
        <v>960</v>
      </c>
      <c r="G322" s="3242"/>
    </row>
    <row r="323" spans="1:7" s="3218" customFormat="1" ht="14.25" customHeight="1">
      <c r="A323" s="3229" t="s">
        <v>306</v>
      </c>
      <c r="B323" s="3229" t="s">
        <v>3050</v>
      </c>
      <c r="C323" s="3229"/>
      <c r="D323" s="3229"/>
      <c r="E323" s="3229"/>
      <c r="F323" s="3229">
        <v>880</v>
      </c>
      <c r="G323" s="3242"/>
    </row>
    <row r="324" spans="1:7" s="3218" customFormat="1" ht="14.25" customHeight="1">
      <c r="A324" s="3229" t="s">
        <v>306</v>
      </c>
      <c r="B324" s="3229" t="s">
        <v>3052</v>
      </c>
      <c r="C324" s="3229"/>
      <c r="D324" s="3229"/>
      <c r="E324" s="3229"/>
      <c r="F324" s="3229">
        <v>930</v>
      </c>
      <c r="G324" s="3242"/>
    </row>
    <row r="325" spans="1:7" s="3218" customFormat="1" ht="14.25" customHeight="1">
      <c r="A325" s="3229" t="s">
        <v>306</v>
      </c>
      <c r="B325" s="3230" t="s">
        <v>3054</v>
      </c>
      <c r="C325" s="3229"/>
      <c r="D325" s="3229"/>
      <c r="E325" s="3229"/>
      <c r="F325" s="3229">
        <v>900</v>
      </c>
      <c r="G325" s="3242"/>
    </row>
    <row r="326" spans="1:7" s="3218" customFormat="1" ht="14.25" customHeight="1" thickBot="1">
      <c r="A326" s="3243" t="s">
        <v>306</v>
      </c>
      <c r="B326" s="3236" t="s">
        <v>3056</v>
      </c>
      <c r="C326" s="3236"/>
      <c r="D326" s="3236"/>
      <c r="E326" s="3236"/>
      <c r="F326" s="3236">
        <v>790</v>
      </c>
      <c r="G326" s="3244"/>
    </row>
    <row r="327" spans="1:7" s="3218" customFormat="1" ht="14.25" customHeight="1">
      <c r="A327" s="3234" t="s">
        <v>307</v>
      </c>
      <c r="B327" s="3225" t="s">
        <v>3155</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3156</v>
      </c>
      <c r="C329" s="3229">
        <v>2730</v>
      </c>
      <c r="D329" s="3229">
        <v>2690</v>
      </c>
      <c r="E329" s="3229">
        <v>3100</v>
      </c>
      <c r="F329" s="3229">
        <v>660</v>
      </c>
      <c r="G329" s="3229">
        <v>1610</v>
      </c>
    </row>
    <row r="330" spans="1:7" s="3218" customFormat="1" ht="14.25" customHeight="1">
      <c r="A330" s="3229" t="s">
        <v>307</v>
      </c>
      <c r="B330" s="3229" t="s">
        <v>3157</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2890</v>
      </c>
      <c r="C332" s="3229">
        <v>3520</v>
      </c>
      <c r="D332" s="3229">
        <v>3480</v>
      </c>
      <c r="E332" s="3229">
        <v>3830</v>
      </c>
      <c r="F332" s="3229">
        <v>720</v>
      </c>
      <c r="G332" s="3229">
        <v>2090</v>
      </c>
    </row>
    <row r="333" spans="1:7" s="3218" customFormat="1" ht="14.25" customHeight="1">
      <c r="A333" s="3229" t="s">
        <v>307</v>
      </c>
      <c r="B333" s="3229" t="s">
        <v>3158</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2900</v>
      </c>
      <c r="C336" s="3229">
        <v>3570</v>
      </c>
      <c r="D336" s="3229">
        <v>3530</v>
      </c>
      <c r="E336" s="3229">
        <v>3880</v>
      </c>
      <c r="F336" s="3229">
        <v>770</v>
      </c>
      <c r="G336" s="3229">
        <v>2110</v>
      </c>
    </row>
    <row r="337" spans="1:10" s="3218" customFormat="1" ht="14.25" customHeight="1">
      <c r="A337" s="3229" t="s">
        <v>307</v>
      </c>
      <c r="B337" s="3229" t="s">
        <v>3159</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3160</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3161</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2925</v>
      </c>
      <c r="C345" s="3229">
        <v>3190</v>
      </c>
      <c r="D345" s="3229">
        <v>3140</v>
      </c>
      <c r="E345" s="3229">
        <v>3450</v>
      </c>
      <c r="F345" s="3229">
        <v>720</v>
      </c>
      <c r="G345" s="3229">
        <v>1880</v>
      </c>
      <c r="J345" s="3218"/>
    </row>
    <row r="346" spans="1:10">
      <c r="A346" s="3229" t="s">
        <v>307</v>
      </c>
      <c r="B346" s="3229" t="s">
        <v>3162</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2934</v>
      </c>
      <c r="C348" s="3229">
        <v>4000</v>
      </c>
      <c r="D348" s="3229">
        <v>3950</v>
      </c>
      <c r="E348" s="3229">
        <v>4430</v>
      </c>
      <c r="F348" s="3229">
        <v>760</v>
      </c>
      <c r="G348" s="3229">
        <v>2360</v>
      </c>
      <c r="J348" s="3218"/>
    </row>
    <row r="349" spans="1:10">
      <c r="A349" s="3229" t="s">
        <v>307</v>
      </c>
      <c r="B349" s="3229" t="s">
        <v>2939</v>
      </c>
      <c r="C349" s="3229">
        <v>3820</v>
      </c>
      <c r="D349" s="3229">
        <v>3780</v>
      </c>
      <c r="E349" s="3229">
        <v>4170</v>
      </c>
      <c r="F349" s="3229">
        <v>710</v>
      </c>
      <c r="G349" s="3229">
        <v>2260</v>
      </c>
      <c r="J349" s="3218"/>
    </row>
    <row r="350" spans="1:10">
      <c r="A350" s="3229" t="s">
        <v>307</v>
      </c>
      <c r="B350" s="3229" t="s">
        <v>3163</v>
      </c>
      <c r="C350" s="3229">
        <v>3760</v>
      </c>
      <c r="D350" s="3229">
        <v>3730</v>
      </c>
      <c r="E350" s="3229">
        <v>4100</v>
      </c>
      <c r="F350" s="3229">
        <v>800</v>
      </c>
      <c r="G350" s="3229">
        <v>2230</v>
      </c>
      <c r="J350" s="3218"/>
    </row>
    <row r="351" spans="1:10">
      <c r="A351" s="3229" t="s">
        <v>307</v>
      </c>
      <c r="B351" s="3229" t="s">
        <v>2947</v>
      </c>
      <c r="C351" s="3229">
        <v>3610</v>
      </c>
      <c r="D351" s="3229">
        <v>3580</v>
      </c>
      <c r="E351" s="3229">
        <v>3930</v>
      </c>
      <c r="F351" s="3229">
        <v>700</v>
      </c>
      <c r="G351" s="3229">
        <v>2140</v>
      </c>
      <c r="J351" s="3218"/>
    </row>
    <row r="352" spans="1:10">
      <c r="A352" s="3229" t="s">
        <v>307</v>
      </c>
      <c r="B352" s="3229" t="s">
        <v>2952</v>
      </c>
      <c r="C352" s="3229">
        <v>3670</v>
      </c>
      <c r="D352" s="3229">
        <v>3630</v>
      </c>
      <c r="E352" s="3229">
        <v>4000</v>
      </c>
      <c r="F352" s="3229">
        <v>750</v>
      </c>
      <c r="G352" s="3229">
        <v>2180</v>
      </c>
    </row>
    <row r="353" spans="1:7" s="3222" customFormat="1">
      <c r="A353" s="3229" t="s">
        <v>307</v>
      </c>
      <c r="B353" s="3229" t="s">
        <v>3164</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2972</v>
      </c>
      <c r="C355" s="3229">
        <v>3650</v>
      </c>
      <c r="D355" s="3229">
        <v>3610</v>
      </c>
      <c r="E355" s="3229">
        <v>4200</v>
      </c>
      <c r="F355" s="3229">
        <v>640</v>
      </c>
      <c r="G355" s="3229">
        <v>2160</v>
      </c>
    </row>
    <row r="356" spans="1:7" s="3222" customFormat="1">
      <c r="A356" s="3229" t="s">
        <v>307</v>
      </c>
      <c r="B356" s="3229" t="s">
        <v>2979</v>
      </c>
      <c r="C356" s="3229">
        <v>3260</v>
      </c>
      <c r="D356" s="3229">
        <v>3230</v>
      </c>
      <c r="E356" s="3229">
        <v>3740</v>
      </c>
      <c r="F356" s="3229">
        <v>600</v>
      </c>
      <c r="G356" s="3229">
        <v>1930</v>
      </c>
    </row>
    <row r="357" spans="1:7" s="3222" customFormat="1" ht="12" thickBot="1">
      <c r="A357" s="3237" t="s">
        <v>307</v>
      </c>
      <c r="B357" s="3240" t="s">
        <v>3165</v>
      </c>
      <c r="C357" s="3240">
        <v>3690</v>
      </c>
      <c r="D357" s="3240">
        <v>3650</v>
      </c>
      <c r="E357" s="3240">
        <v>4020</v>
      </c>
      <c r="F357" s="3240">
        <v>700</v>
      </c>
      <c r="G357" s="3240">
        <v>2190</v>
      </c>
    </row>
    <row r="358" spans="1:7" s="3222" customFormat="1">
      <c r="A358" s="3234" t="s">
        <v>3166</v>
      </c>
      <c r="B358" s="3225" t="s">
        <v>3167</v>
      </c>
      <c r="C358" s="3225">
        <v>2080</v>
      </c>
      <c r="D358" s="3225">
        <v>2040</v>
      </c>
      <c r="E358" s="3225">
        <v>2010</v>
      </c>
      <c r="F358" s="3225">
        <v>530</v>
      </c>
      <c r="G358" s="3241">
        <v>1230</v>
      </c>
    </row>
    <row r="359" spans="1:7" s="3222" customFormat="1">
      <c r="A359" s="3229" t="s">
        <v>3166</v>
      </c>
      <c r="B359" s="3229" t="s">
        <v>3168</v>
      </c>
      <c r="C359" s="3229">
        <v>1850</v>
      </c>
      <c r="D359" s="3229">
        <v>1820</v>
      </c>
      <c r="E359" s="3229">
        <v>1780</v>
      </c>
      <c r="F359" s="3229">
        <v>520</v>
      </c>
      <c r="G359" s="3242">
        <v>1100</v>
      </c>
    </row>
    <row r="360" spans="1:7" s="3222" customFormat="1">
      <c r="A360" s="3229" t="s">
        <v>3166</v>
      </c>
      <c r="B360" s="3229" t="s">
        <v>3169</v>
      </c>
      <c r="C360" s="3229">
        <v>2020</v>
      </c>
      <c r="D360" s="3229">
        <v>1990</v>
      </c>
      <c r="E360" s="3229">
        <v>1950</v>
      </c>
      <c r="F360" s="3229">
        <v>500</v>
      </c>
      <c r="G360" s="3242">
        <v>1200</v>
      </c>
    </row>
    <row r="361" spans="1:7" s="3222" customFormat="1">
      <c r="A361" s="3229" t="s">
        <v>3166</v>
      </c>
      <c r="B361" s="3229" t="s">
        <v>153</v>
      </c>
      <c r="C361" s="3229">
        <v>2260</v>
      </c>
      <c r="D361" s="3229">
        <v>2220</v>
      </c>
      <c r="E361" s="3229">
        <v>2180</v>
      </c>
      <c r="F361" s="3229">
        <v>580</v>
      </c>
      <c r="G361" s="3242">
        <v>1340</v>
      </c>
    </row>
    <row r="362" spans="1:7" s="3222" customFormat="1">
      <c r="A362" s="3229" t="s">
        <v>3166</v>
      </c>
      <c r="B362" s="3229" t="s">
        <v>3170</v>
      </c>
      <c r="C362" s="3229">
        <v>2650</v>
      </c>
      <c r="D362" s="3229">
        <v>2610</v>
      </c>
      <c r="E362" s="3229">
        <v>2570</v>
      </c>
      <c r="F362" s="3229">
        <v>630</v>
      </c>
      <c r="G362" s="3242">
        <v>1570</v>
      </c>
    </row>
    <row r="363" spans="1:7" s="3222" customFormat="1">
      <c r="A363" s="3229" t="s">
        <v>3166</v>
      </c>
      <c r="B363" s="3229" t="s">
        <v>2891</v>
      </c>
      <c r="C363" s="3229">
        <v>2390</v>
      </c>
      <c r="D363" s="3229">
        <v>2360</v>
      </c>
      <c r="E363" s="3229">
        <v>2320</v>
      </c>
      <c r="F363" s="3229">
        <v>600</v>
      </c>
      <c r="G363" s="3242">
        <v>1420</v>
      </c>
    </row>
    <row r="364" spans="1:7" s="3222" customFormat="1">
      <c r="A364" s="3229" t="s">
        <v>3166</v>
      </c>
      <c r="B364" s="3229" t="s">
        <v>3171</v>
      </c>
      <c r="C364" s="3229">
        <v>2050</v>
      </c>
      <c r="D364" s="3229">
        <v>2030</v>
      </c>
      <c r="E364" s="3229">
        <v>1990</v>
      </c>
      <c r="F364" s="3229">
        <v>550</v>
      </c>
      <c r="G364" s="3242">
        <v>1220</v>
      </c>
    </row>
    <row r="365" spans="1:7" s="3222" customFormat="1">
      <c r="A365" s="3229" t="s">
        <v>3166</v>
      </c>
      <c r="B365" s="3229" t="s">
        <v>200</v>
      </c>
      <c r="C365" s="3229">
        <v>2140</v>
      </c>
      <c r="D365" s="3229">
        <v>2100</v>
      </c>
      <c r="E365" s="3229">
        <v>2060</v>
      </c>
      <c r="F365" s="3229">
        <v>540</v>
      </c>
      <c r="G365" s="3242">
        <v>1270</v>
      </c>
    </row>
    <row r="366" spans="1:7" s="3222" customFormat="1">
      <c r="A366" s="3229" t="s">
        <v>3166</v>
      </c>
      <c r="B366" s="3229" t="s">
        <v>2898</v>
      </c>
      <c r="C366" s="3229">
        <v>2410</v>
      </c>
      <c r="D366" s="3229">
        <v>2370</v>
      </c>
      <c r="E366" s="3229">
        <v>2330</v>
      </c>
      <c r="F366" s="3229">
        <v>570</v>
      </c>
      <c r="G366" s="3242">
        <v>1440</v>
      </c>
    </row>
    <row r="367" spans="1:7" s="3222" customFormat="1">
      <c r="A367" s="3229" t="s">
        <v>3166</v>
      </c>
      <c r="B367" s="3229" t="s">
        <v>3172</v>
      </c>
      <c r="C367" s="3229">
        <v>2300</v>
      </c>
      <c r="D367" s="3229">
        <v>2260</v>
      </c>
      <c r="E367" s="3229">
        <v>2220</v>
      </c>
      <c r="F367" s="3229">
        <v>560</v>
      </c>
      <c r="G367" s="3242">
        <v>1370</v>
      </c>
    </row>
    <row r="368" spans="1:7" s="3222" customFormat="1">
      <c r="A368" s="3229" t="s">
        <v>3166</v>
      </c>
      <c r="B368" s="3229" t="s">
        <v>3173</v>
      </c>
      <c r="C368" s="3229">
        <v>2430</v>
      </c>
      <c r="D368" s="3229">
        <v>2390</v>
      </c>
      <c r="E368" s="3229">
        <v>2350</v>
      </c>
      <c r="F368" s="3229">
        <v>570</v>
      </c>
      <c r="G368" s="3242">
        <v>1450</v>
      </c>
    </row>
    <row r="369" spans="1:7" s="3222" customFormat="1">
      <c r="A369" s="3229" t="s">
        <v>3166</v>
      </c>
      <c r="B369" s="3229" t="s">
        <v>214</v>
      </c>
      <c r="C369" s="3229">
        <v>2320</v>
      </c>
      <c r="D369" s="3229">
        <v>2290</v>
      </c>
      <c r="E369" s="3229">
        <v>2250</v>
      </c>
      <c r="F369" s="3229">
        <v>550</v>
      </c>
      <c r="G369" s="3242">
        <v>1380</v>
      </c>
    </row>
    <row r="370" spans="1:7" s="3222" customFormat="1">
      <c r="A370" s="3229" t="s">
        <v>3166</v>
      </c>
      <c r="B370" s="3229" t="s">
        <v>221</v>
      </c>
      <c r="C370" s="3229">
        <v>2190</v>
      </c>
      <c r="D370" s="3229">
        <v>2170</v>
      </c>
      <c r="E370" s="3229">
        <v>2130</v>
      </c>
      <c r="F370" s="3229">
        <v>530</v>
      </c>
      <c r="G370" s="3242">
        <v>1310</v>
      </c>
    </row>
    <row r="371" spans="1:7" s="3222" customFormat="1">
      <c r="A371" s="3229" t="s">
        <v>3166</v>
      </c>
      <c r="B371" s="3229" t="s">
        <v>229</v>
      </c>
      <c r="C371" s="3229">
        <v>2460</v>
      </c>
      <c r="D371" s="3229">
        <v>2420</v>
      </c>
      <c r="E371" s="3229">
        <v>2370</v>
      </c>
      <c r="F371" s="3229">
        <v>560</v>
      </c>
      <c r="G371" s="3242">
        <v>1470</v>
      </c>
    </row>
    <row r="372" spans="1:7" s="3222" customFormat="1">
      <c r="A372" s="3229" t="s">
        <v>3166</v>
      </c>
      <c r="B372" s="3229" t="s">
        <v>3174</v>
      </c>
      <c r="C372" s="3229">
        <v>2250</v>
      </c>
      <c r="D372" s="3229">
        <v>2210</v>
      </c>
      <c r="E372" s="3229">
        <v>2180</v>
      </c>
      <c r="F372" s="3229">
        <v>550</v>
      </c>
      <c r="G372" s="3242">
        <v>1340</v>
      </c>
    </row>
    <row r="373" spans="1:7" s="3222" customFormat="1">
      <c r="A373" s="3229" t="s">
        <v>3166</v>
      </c>
      <c r="B373" s="3229" t="s">
        <v>258</v>
      </c>
      <c r="C373" s="3229">
        <v>2210</v>
      </c>
      <c r="D373" s="3229">
        <v>2190</v>
      </c>
      <c r="E373" s="3229">
        <v>2150</v>
      </c>
      <c r="F373" s="3229">
        <v>530</v>
      </c>
      <c r="G373" s="3242">
        <v>1320</v>
      </c>
    </row>
    <row r="374" spans="1:7" s="3222" customFormat="1">
      <c r="A374" s="3229" t="s">
        <v>3166</v>
      </c>
      <c r="B374" s="3229" t="s">
        <v>266</v>
      </c>
      <c r="C374" s="3229">
        <v>2320</v>
      </c>
      <c r="D374" s="3229">
        <v>2280</v>
      </c>
      <c r="E374" s="3229">
        <v>2230</v>
      </c>
      <c r="F374" s="3229">
        <v>580</v>
      </c>
      <c r="G374" s="3242">
        <v>1380</v>
      </c>
    </row>
    <row r="375" spans="1:7" s="3222" customFormat="1">
      <c r="A375" s="3229" t="s">
        <v>3166</v>
      </c>
      <c r="B375" s="3229" t="s">
        <v>3175</v>
      </c>
      <c r="C375" s="3229">
        <v>2090</v>
      </c>
      <c r="D375" s="3229">
        <v>2050</v>
      </c>
      <c r="E375" s="3229">
        <v>2020</v>
      </c>
      <c r="F375" s="3229">
        <v>520</v>
      </c>
      <c r="G375" s="3242">
        <v>1240</v>
      </c>
    </row>
    <row r="376" spans="1:7" s="3222" customFormat="1">
      <c r="A376" s="3229" t="s">
        <v>3166</v>
      </c>
      <c r="B376" s="3229" t="s">
        <v>277</v>
      </c>
      <c r="C376" s="3229">
        <v>2010</v>
      </c>
      <c r="D376" s="3229">
        <v>1980</v>
      </c>
      <c r="E376" s="3229">
        <v>1940</v>
      </c>
      <c r="F376" s="3229">
        <v>540</v>
      </c>
      <c r="G376" s="3242">
        <v>1190</v>
      </c>
    </row>
    <row r="377" spans="1:7" s="3222" customFormat="1" ht="12" thickBot="1">
      <c r="A377" s="3237" t="s">
        <v>3166</v>
      </c>
      <c r="B377" s="3240" t="s">
        <v>2928</v>
      </c>
      <c r="C377" s="3240">
        <v>1930</v>
      </c>
      <c r="D377" s="3240">
        <v>1890</v>
      </c>
      <c r="E377" s="3240">
        <v>1860</v>
      </c>
      <c r="F377" s="3240">
        <v>530</v>
      </c>
      <c r="G377" s="3245">
        <v>1150</v>
      </c>
    </row>
    <row r="378" spans="1:7" s="3222" customFormat="1">
      <c r="A378" s="3246" t="s">
        <v>3176</v>
      </c>
      <c r="B378" s="3225" t="s">
        <v>3177</v>
      </c>
      <c r="C378" s="3225">
        <v>1520</v>
      </c>
      <c r="D378" s="3225">
        <v>1490</v>
      </c>
      <c r="E378" s="3225">
        <v>1460</v>
      </c>
      <c r="F378" s="3225">
        <v>460</v>
      </c>
      <c r="G378" s="3241">
        <v>940</v>
      </c>
    </row>
    <row r="379" spans="1:7" s="3222" customFormat="1">
      <c r="A379" s="3247" t="s">
        <v>3176</v>
      </c>
      <c r="B379" s="3229" t="s">
        <v>3178</v>
      </c>
      <c r="C379" s="3229">
        <v>1500</v>
      </c>
      <c r="D379" s="3229">
        <v>1470</v>
      </c>
      <c r="E379" s="3229">
        <v>1430</v>
      </c>
      <c r="F379" s="3229">
        <v>460</v>
      </c>
      <c r="G379" s="3242">
        <v>920</v>
      </c>
    </row>
    <row r="380" spans="1:7" s="3222" customFormat="1">
      <c r="A380" s="3247" t="s">
        <v>3176</v>
      </c>
      <c r="B380" s="3229" t="s">
        <v>3179</v>
      </c>
      <c r="C380" s="3229">
        <v>1620</v>
      </c>
      <c r="D380" s="3229">
        <v>1590</v>
      </c>
      <c r="E380" s="3229">
        <v>1560</v>
      </c>
      <c r="F380" s="3229">
        <v>480</v>
      </c>
      <c r="G380" s="3242">
        <v>1000</v>
      </c>
    </row>
    <row r="381" spans="1:7" s="3222" customFormat="1">
      <c r="A381" s="3247" t="s">
        <v>3176</v>
      </c>
      <c r="B381" s="3229" t="s">
        <v>3180</v>
      </c>
      <c r="C381" s="3229">
        <v>1460</v>
      </c>
      <c r="D381" s="3229">
        <v>1430</v>
      </c>
      <c r="E381" s="3229">
        <v>1390</v>
      </c>
      <c r="F381" s="3229">
        <v>450</v>
      </c>
      <c r="G381" s="3242">
        <v>900</v>
      </c>
    </row>
    <row r="382" spans="1:7" s="3222" customFormat="1">
      <c r="A382" s="3247" t="s">
        <v>3176</v>
      </c>
      <c r="B382" s="3229" t="s">
        <v>3181</v>
      </c>
      <c r="C382" s="3229">
        <v>1310</v>
      </c>
      <c r="D382" s="3229">
        <v>1280</v>
      </c>
      <c r="E382" s="3229">
        <v>1250</v>
      </c>
      <c r="F382" s="3229">
        <v>440</v>
      </c>
      <c r="G382" s="3242">
        <v>800</v>
      </c>
    </row>
    <row r="383" spans="1:7" s="3222" customFormat="1">
      <c r="A383" s="3247" t="s">
        <v>3176</v>
      </c>
      <c r="B383" s="3229" t="s">
        <v>3182</v>
      </c>
      <c r="C383" s="3229">
        <v>1260</v>
      </c>
      <c r="D383" s="3229">
        <v>1230</v>
      </c>
      <c r="E383" s="3229">
        <v>1200</v>
      </c>
      <c r="F383" s="3229">
        <v>420</v>
      </c>
      <c r="G383" s="3242">
        <v>770</v>
      </c>
    </row>
    <row r="384" spans="1:7" s="3222" customFormat="1" ht="12" thickBot="1">
      <c r="A384" s="3248" t="s">
        <v>3176</v>
      </c>
      <c r="B384" s="3236" t="s">
        <v>3183</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topLeftCell="A211" workbookViewId="0">
      <selection activeCell="A190" sqref="A190:G233"/>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93" t="s">
        <v>3184</v>
      </c>
      <c r="B1" s="3793"/>
    </row>
    <row r="2" spans="1:7" ht="14.25" thickBot="1">
      <c r="A2" s="3251"/>
      <c r="B2" s="3251"/>
    </row>
    <row r="3" spans="1:7" ht="14.25" thickBot="1">
      <c r="A3" s="3251"/>
      <c r="B3" s="3251"/>
      <c r="C3" s="3252" t="s">
        <v>2812</v>
      </c>
      <c r="D3" s="3252" t="s">
        <v>2870</v>
      </c>
      <c r="E3" s="3252" t="s">
        <v>2814</v>
      </c>
      <c r="F3" s="3252" t="s">
        <v>2871</v>
      </c>
      <c r="G3" s="3252" t="s">
        <v>2632</v>
      </c>
    </row>
    <row r="4" spans="1:7" ht="14.25" thickBot="1">
      <c r="A4" s="3253" t="s">
        <v>2869</v>
      </c>
      <c r="B4" s="3254" t="s">
        <v>2875</v>
      </c>
      <c r="C4" s="3252"/>
      <c r="D4" s="3252"/>
      <c r="E4" s="3252"/>
      <c r="F4" s="3252"/>
      <c r="G4" s="3252"/>
    </row>
    <row r="5" spans="1:7">
      <c r="A5" s="3255" t="s">
        <v>2843</v>
      </c>
      <c r="B5" s="3256" t="s">
        <v>2857</v>
      </c>
      <c r="C5" s="3257">
        <v>9.8000000000000004E-2</v>
      </c>
      <c r="D5" s="3257">
        <v>8.6999999999999994E-2</v>
      </c>
      <c r="E5" s="3257">
        <v>8.6999999999999994E-2</v>
      </c>
      <c r="F5" s="3257">
        <v>9.8000000000000004E-2</v>
      </c>
      <c r="G5" s="3258">
        <v>9.5000000000000001E-2</v>
      </c>
    </row>
    <row r="6" spans="1:7">
      <c r="A6" s="3259" t="s">
        <v>144</v>
      </c>
      <c r="B6" s="3260" t="s">
        <v>2872</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2858</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2908</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2926</v>
      </c>
      <c r="C29" s="3269"/>
      <c r="D29" s="3265">
        <v>5.1999999999999998E-2</v>
      </c>
      <c r="E29" s="3265">
        <v>7.0000000000000007E-2</v>
      </c>
      <c r="F29" s="3269"/>
      <c r="G29" s="3267">
        <v>7.0999999999999994E-2</v>
      </c>
    </row>
    <row r="30" spans="1:7">
      <c r="A30" s="3270" t="s">
        <v>296</v>
      </c>
      <c r="B30" s="3256" t="s">
        <v>2859</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2845</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2929</v>
      </c>
      <c r="C50" s="3261">
        <v>9.8000000000000004E-2</v>
      </c>
      <c r="D50" s="3261">
        <v>7.2999999999999995E-2</v>
      </c>
      <c r="E50" s="3261">
        <v>7.0999999999999994E-2</v>
      </c>
      <c r="F50" s="3272"/>
      <c r="G50" s="3262">
        <v>7.2999999999999995E-2</v>
      </c>
    </row>
    <row r="51" spans="1:7">
      <c r="A51" s="3271" t="s">
        <v>296</v>
      </c>
      <c r="B51" s="3260" t="s">
        <v>2931</v>
      </c>
      <c r="C51" s="3261">
        <v>9.9000000000000005E-2</v>
      </c>
      <c r="D51" s="3261">
        <v>8.5000000000000006E-2</v>
      </c>
      <c r="E51" s="3261">
        <v>6.3E-2</v>
      </c>
      <c r="F51" s="3272"/>
      <c r="G51" s="3262">
        <v>9.6000000000000002E-2</v>
      </c>
    </row>
    <row r="52" spans="1:7">
      <c r="A52" s="3271" t="s">
        <v>296</v>
      </c>
      <c r="B52" s="3260" t="s">
        <v>2935</v>
      </c>
      <c r="C52" s="3261">
        <v>7.3999999999999996E-2</v>
      </c>
      <c r="D52" s="3261">
        <v>9.6000000000000002E-2</v>
      </c>
      <c r="E52" s="3261">
        <v>0.05</v>
      </c>
      <c r="F52" s="3272"/>
      <c r="G52" s="3262">
        <v>9.8000000000000004E-2</v>
      </c>
    </row>
    <row r="53" spans="1:7">
      <c r="A53" s="3271" t="s">
        <v>296</v>
      </c>
      <c r="B53" s="3260" t="s">
        <v>2940</v>
      </c>
      <c r="C53" s="3261">
        <v>8.5999999999999993E-2</v>
      </c>
      <c r="D53" s="3272"/>
      <c r="E53" s="3261">
        <v>9.1999999999999998E-2</v>
      </c>
      <c r="F53" s="3272"/>
      <c r="G53" s="3273"/>
    </row>
    <row r="54" spans="1:7" ht="14.25" thickBot="1">
      <c r="A54" s="3274" t="s">
        <v>296</v>
      </c>
      <c r="B54" s="3264" t="s">
        <v>2943</v>
      </c>
      <c r="C54" s="3265">
        <v>9.6000000000000002E-2</v>
      </c>
      <c r="D54" s="3266"/>
      <c r="E54" s="3275"/>
      <c r="F54" s="3266"/>
      <c r="G54" s="3276"/>
    </row>
    <row r="55" spans="1:7">
      <c r="A55" s="3270" t="s">
        <v>110</v>
      </c>
      <c r="B55" s="3256" t="s">
        <v>2860</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2941</v>
      </c>
      <c r="C78" s="3261">
        <v>0.1</v>
      </c>
      <c r="D78" s="3261">
        <v>8.5000000000000006E-2</v>
      </c>
      <c r="E78" s="3261">
        <v>9.6000000000000002E-2</v>
      </c>
      <c r="F78" s="3272"/>
      <c r="G78" s="3262">
        <v>9.6000000000000002E-2</v>
      </c>
    </row>
    <row r="79" spans="1:7">
      <c r="A79" s="3271" t="s">
        <v>110</v>
      </c>
      <c r="B79" s="3260" t="s">
        <v>2944</v>
      </c>
      <c r="C79" s="3261">
        <v>0.05</v>
      </c>
      <c r="D79" s="3261">
        <v>9.6000000000000002E-2</v>
      </c>
      <c r="E79" s="3261">
        <v>9.5000000000000001E-2</v>
      </c>
      <c r="F79" s="3272"/>
      <c r="G79" s="3262">
        <v>9.8000000000000004E-2</v>
      </c>
    </row>
    <row r="80" spans="1:7">
      <c r="A80" s="3271" t="s">
        <v>110</v>
      </c>
      <c r="B80" s="3260" t="s">
        <v>2948</v>
      </c>
      <c r="C80" s="3261">
        <v>8.5999999999999993E-2</v>
      </c>
      <c r="D80" s="3277"/>
      <c r="E80" s="3261">
        <v>0.1</v>
      </c>
      <c r="F80" s="3272"/>
      <c r="G80" s="3273"/>
    </row>
    <row r="81" spans="1:7">
      <c r="A81" s="3271" t="s">
        <v>110</v>
      </c>
      <c r="B81" s="3260" t="s">
        <v>2953</v>
      </c>
      <c r="C81" s="3261">
        <v>9.6000000000000002E-2</v>
      </c>
      <c r="D81" s="3272"/>
      <c r="E81" s="3261">
        <v>9.8000000000000004E-2</v>
      </c>
      <c r="F81" s="3272"/>
      <c r="G81" s="3273"/>
    </row>
    <row r="82" spans="1:7">
      <c r="A82" s="3271" t="s">
        <v>110</v>
      </c>
      <c r="B82" s="3260" t="s">
        <v>2960</v>
      </c>
      <c r="C82" s="3277"/>
      <c r="D82" s="3272"/>
      <c r="E82" s="3261">
        <v>7.6999999999999999E-2</v>
      </c>
      <c r="F82" s="3272"/>
      <c r="G82" s="3273"/>
    </row>
    <row r="83" spans="1:7">
      <c r="A83" s="3271" t="s">
        <v>110</v>
      </c>
      <c r="B83" s="3260" t="s">
        <v>2966</v>
      </c>
      <c r="C83" s="3272"/>
      <c r="D83" s="3272"/>
      <c r="E83" s="3272"/>
      <c r="F83" s="3261">
        <v>0.1</v>
      </c>
      <c r="G83" s="3278"/>
    </row>
    <row r="84" spans="1:7">
      <c r="A84" s="3271" t="s">
        <v>110</v>
      </c>
      <c r="B84" s="3260" t="s">
        <v>2973</v>
      </c>
      <c r="C84" s="3272"/>
      <c r="D84" s="3272"/>
      <c r="E84" s="3272"/>
      <c r="F84" s="3261">
        <v>0.1</v>
      </c>
      <c r="G84" s="3278"/>
    </row>
    <row r="85" spans="1:7">
      <c r="A85" s="3271" t="s">
        <v>110</v>
      </c>
      <c r="B85" s="3260" t="s">
        <v>2980</v>
      </c>
      <c r="C85" s="3272"/>
      <c r="D85" s="3272"/>
      <c r="E85" s="3272"/>
      <c r="F85" s="3261">
        <v>0.1</v>
      </c>
      <c r="G85" s="3278"/>
    </row>
    <row r="86" spans="1:7" ht="14.25" thickBot="1">
      <c r="A86" s="3274" t="s">
        <v>110</v>
      </c>
      <c r="B86" s="3264" t="s">
        <v>2985</v>
      </c>
      <c r="C86" s="3265">
        <v>9.8000000000000004E-2</v>
      </c>
      <c r="D86" s="3265">
        <v>9.8000000000000004E-2</v>
      </c>
      <c r="E86" s="3265">
        <v>9.6000000000000002E-2</v>
      </c>
      <c r="F86" s="3275"/>
      <c r="G86" s="3267">
        <v>0.1</v>
      </c>
    </row>
    <row r="87" spans="1:7">
      <c r="A87" s="3270" t="s">
        <v>303</v>
      </c>
      <c r="B87" s="3256" t="s">
        <v>2861</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2954</v>
      </c>
      <c r="C113" s="3261">
        <v>0.1</v>
      </c>
      <c r="D113" s="3261">
        <v>0.1</v>
      </c>
      <c r="E113" s="3272"/>
      <c r="F113" s="3272"/>
      <c r="G113" s="3262">
        <v>0.1</v>
      </c>
    </row>
    <row r="114" spans="1:7">
      <c r="A114" s="3271" t="s">
        <v>303</v>
      </c>
      <c r="B114" s="3260" t="s">
        <v>2961</v>
      </c>
      <c r="C114" s="3261">
        <v>9.7000000000000003E-2</v>
      </c>
      <c r="D114" s="3261">
        <v>9.7000000000000003E-2</v>
      </c>
      <c r="E114" s="3272"/>
      <c r="F114" s="3272"/>
      <c r="G114" s="3262">
        <v>9.9000000000000005E-2</v>
      </c>
    </row>
    <row r="115" spans="1:7">
      <c r="A115" s="3271" t="s">
        <v>303</v>
      </c>
      <c r="B115" s="3260" t="s">
        <v>2967</v>
      </c>
      <c r="C115" s="3261">
        <v>0.1</v>
      </c>
      <c r="D115" s="3261">
        <v>0.1</v>
      </c>
      <c r="E115" s="3272"/>
      <c r="F115" s="3272"/>
      <c r="G115" s="3262">
        <v>0.1</v>
      </c>
    </row>
    <row r="116" spans="1:7">
      <c r="A116" s="3271" t="s">
        <v>303</v>
      </c>
      <c r="B116" s="3260" t="s">
        <v>2974</v>
      </c>
      <c r="C116" s="3261">
        <v>0.1</v>
      </c>
      <c r="D116" s="3261">
        <v>0.1</v>
      </c>
      <c r="E116" s="3272"/>
      <c r="F116" s="3272"/>
      <c r="G116" s="3262">
        <v>0.1</v>
      </c>
    </row>
    <row r="117" spans="1:7">
      <c r="A117" s="3271" t="s">
        <v>303</v>
      </c>
      <c r="B117" s="3260" t="s">
        <v>2981</v>
      </c>
      <c r="C117" s="3261">
        <v>9.7000000000000003E-2</v>
      </c>
      <c r="D117" s="3261">
        <v>9.7000000000000003E-2</v>
      </c>
      <c r="E117" s="3272"/>
      <c r="F117" s="3272"/>
      <c r="G117" s="3262">
        <v>9.7000000000000003E-2</v>
      </c>
    </row>
    <row r="118" spans="1:7">
      <c r="A118" s="3271" t="s">
        <v>303</v>
      </c>
      <c r="B118" s="3260" t="s">
        <v>2986</v>
      </c>
      <c r="C118" s="3261">
        <v>0.1</v>
      </c>
      <c r="D118" s="3261">
        <v>0.1</v>
      </c>
      <c r="E118" s="3272"/>
      <c r="F118" s="3272"/>
      <c r="G118" s="3262">
        <v>0.1</v>
      </c>
    </row>
    <row r="119" spans="1:7">
      <c r="A119" s="3271" t="s">
        <v>303</v>
      </c>
      <c r="B119" s="3260" t="s">
        <v>2990</v>
      </c>
      <c r="C119" s="3261">
        <v>5.0999999999999997E-2</v>
      </c>
      <c r="D119" s="3261">
        <v>5.1999999999999998E-2</v>
      </c>
      <c r="E119" s="3272"/>
      <c r="F119" s="3277"/>
      <c r="G119" s="3262">
        <v>0.06</v>
      </c>
    </row>
    <row r="120" spans="1:7">
      <c r="A120" s="3271" t="s">
        <v>303</v>
      </c>
      <c r="B120" s="3260" t="s">
        <v>2994</v>
      </c>
      <c r="C120" s="3272"/>
      <c r="D120" s="3272"/>
      <c r="E120" s="3272"/>
      <c r="F120" s="3261">
        <v>0.1</v>
      </c>
      <c r="G120" s="3278"/>
    </row>
    <row r="121" spans="1:7">
      <c r="A121" s="3271" t="s">
        <v>303</v>
      </c>
      <c r="B121" s="3260" t="s">
        <v>2999</v>
      </c>
      <c r="C121" s="3272"/>
      <c r="D121" s="3272"/>
      <c r="E121" s="3272"/>
      <c r="F121" s="3261">
        <v>0.1</v>
      </c>
      <c r="G121" s="3278"/>
    </row>
    <row r="122" spans="1:7">
      <c r="A122" s="3271" t="s">
        <v>303</v>
      </c>
      <c r="B122" s="3260" t="s">
        <v>3004</v>
      </c>
      <c r="C122" s="3261">
        <v>0.1</v>
      </c>
      <c r="D122" s="3261">
        <v>0.1</v>
      </c>
      <c r="E122" s="3261">
        <v>9.8000000000000004E-2</v>
      </c>
      <c r="F122" s="3261">
        <v>0.1</v>
      </c>
      <c r="G122" s="3262">
        <v>0.1</v>
      </c>
    </row>
    <row r="123" spans="1:7">
      <c r="A123" s="3271" t="s">
        <v>303</v>
      </c>
      <c r="B123" s="3260" t="s">
        <v>3009</v>
      </c>
      <c r="C123" s="3261">
        <v>0.1</v>
      </c>
      <c r="D123" s="3261">
        <v>0.1</v>
      </c>
      <c r="E123" s="3261">
        <v>9.8000000000000004E-2</v>
      </c>
      <c r="F123" s="3261">
        <v>0.1</v>
      </c>
      <c r="G123" s="3262">
        <v>0.1</v>
      </c>
    </row>
    <row r="124" spans="1:7">
      <c r="A124" s="3271" t="s">
        <v>303</v>
      </c>
      <c r="B124" s="3260" t="s">
        <v>3014</v>
      </c>
      <c r="C124" s="3261">
        <v>0.1</v>
      </c>
      <c r="D124" s="3261">
        <v>0.1</v>
      </c>
      <c r="E124" s="3261">
        <v>9.8000000000000004E-2</v>
      </c>
      <c r="F124" s="3277"/>
      <c r="G124" s="3262">
        <v>0.1</v>
      </c>
    </row>
    <row r="125" spans="1:7">
      <c r="A125" s="3271" t="s">
        <v>303</v>
      </c>
      <c r="B125" s="3260" t="s">
        <v>3019</v>
      </c>
      <c r="C125" s="3261">
        <v>9.8000000000000004E-2</v>
      </c>
      <c r="D125" s="3261">
        <v>9.8000000000000004E-2</v>
      </c>
      <c r="E125" s="3261">
        <v>9.6000000000000002E-2</v>
      </c>
      <c r="F125" s="3277"/>
      <c r="G125" s="3262">
        <v>0.1</v>
      </c>
    </row>
    <row r="126" spans="1:7" ht="14.25" thickBot="1">
      <c r="A126" s="3274" t="s">
        <v>303</v>
      </c>
      <c r="B126" s="3264" t="s">
        <v>3185</v>
      </c>
      <c r="C126" s="3265">
        <v>0.1</v>
      </c>
      <c r="D126" s="3265">
        <v>0.1</v>
      </c>
      <c r="E126" s="3265">
        <v>9.8000000000000004E-2</v>
      </c>
      <c r="F126" s="3265">
        <v>0.1</v>
      </c>
      <c r="G126" s="3267">
        <v>0.1</v>
      </c>
    </row>
    <row r="127" spans="1:7">
      <c r="A127" s="3270" t="s">
        <v>29</v>
      </c>
      <c r="B127" s="3256" t="s">
        <v>2862</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2932</v>
      </c>
      <c r="C148" s="3261">
        <v>0.13</v>
      </c>
      <c r="D148" s="3261">
        <v>0.13</v>
      </c>
      <c r="E148" s="3261">
        <v>0.13</v>
      </c>
      <c r="F148" s="3272"/>
      <c r="G148" s="3262">
        <v>0.13</v>
      </c>
    </row>
    <row r="149" spans="1:7">
      <c r="A149" s="3271" t="s">
        <v>29</v>
      </c>
      <c r="B149" s="3260" t="s">
        <v>2936</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2955</v>
      </c>
      <c r="C153" s="3261">
        <v>0.13</v>
      </c>
      <c r="D153" s="3261">
        <v>0.13</v>
      </c>
      <c r="E153" s="3261">
        <v>0.13</v>
      </c>
      <c r="F153" s="3261">
        <v>0.13</v>
      </c>
      <c r="G153" s="3262">
        <v>0.13</v>
      </c>
    </row>
    <row r="154" spans="1:7">
      <c r="A154" s="3271" t="s">
        <v>29</v>
      </c>
      <c r="B154" s="3260" t="s">
        <v>2962</v>
      </c>
      <c r="C154" s="3261">
        <v>0.121</v>
      </c>
      <c r="D154" s="3261">
        <v>0.121</v>
      </c>
      <c r="E154" s="3261">
        <v>0.105</v>
      </c>
      <c r="F154" s="3261">
        <v>0.121</v>
      </c>
      <c r="G154" s="3262">
        <v>0.123</v>
      </c>
    </row>
    <row r="155" spans="1:7">
      <c r="A155" s="3271" t="s">
        <v>29</v>
      </c>
      <c r="B155" s="3260" t="s">
        <v>2968</v>
      </c>
      <c r="C155" s="3261">
        <v>0.1</v>
      </c>
      <c r="D155" s="3261">
        <v>0.1</v>
      </c>
      <c r="E155" s="3261">
        <v>0.1</v>
      </c>
      <c r="F155" s="3261">
        <v>0.1</v>
      </c>
      <c r="G155" s="3262">
        <v>0.1</v>
      </c>
    </row>
    <row r="156" spans="1:7">
      <c r="A156" s="3271" t="s">
        <v>29</v>
      </c>
      <c r="B156" s="3260" t="s">
        <v>2975</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2995</v>
      </c>
      <c r="C160" s="3261">
        <v>0.13</v>
      </c>
      <c r="D160" s="3261">
        <v>0.13</v>
      </c>
      <c r="E160" s="3261">
        <v>0.124</v>
      </c>
      <c r="F160" s="3261">
        <v>0.126</v>
      </c>
      <c r="G160" s="3262">
        <v>0.13</v>
      </c>
    </row>
    <row r="161" spans="1:7">
      <c r="A161" s="3271" t="s">
        <v>29</v>
      </c>
      <c r="B161" s="3260" t="s">
        <v>3000</v>
      </c>
      <c r="C161" s="3261">
        <v>0.13</v>
      </c>
      <c r="D161" s="3261">
        <v>0.13</v>
      </c>
      <c r="E161" s="3261">
        <v>0.124</v>
      </c>
      <c r="F161" s="3261">
        <v>0.127</v>
      </c>
      <c r="G161" s="3262">
        <v>0.13</v>
      </c>
    </row>
    <row r="162" spans="1:7">
      <c r="A162" s="3271" t="s">
        <v>29</v>
      </c>
      <c r="B162" s="3260" t="s">
        <v>3005</v>
      </c>
      <c r="C162" s="3261">
        <v>0.1</v>
      </c>
      <c r="D162" s="3261">
        <v>0.1</v>
      </c>
      <c r="E162" s="3261">
        <v>0.1</v>
      </c>
      <c r="F162" s="3261">
        <v>0.121</v>
      </c>
      <c r="G162" s="3262">
        <v>0.105</v>
      </c>
    </row>
    <row r="163" spans="1:7">
      <c r="A163" s="3271" t="s">
        <v>29</v>
      </c>
      <c r="B163" s="3260" t="s">
        <v>3010</v>
      </c>
      <c r="C163" s="3261">
        <v>0.1</v>
      </c>
      <c r="D163" s="3261">
        <v>0.1</v>
      </c>
      <c r="E163" s="3261">
        <v>0.1</v>
      </c>
      <c r="F163" s="3261">
        <v>0.1</v>
      </c>
      <c r="G163" s="3262">
        <v>0.1</v>
      </c>
    </row>
    <row r="164" spans="1:7">
      <c r="A164" s="3271" t="s">
        <v>29</v>
      </c>
      <c r="B164" s="3260" t="s">
        <v>3015</v>
      </c>
      <c r="C164" s="3277"/>
      <c r="D164" s="3277"/>
      <c r="E164" s="3277"/>
      <c r="F164" s="3261">
        <v>0.1</v>
      </c>
      <c r="G164" s="3273"/>
    </row>
    <row r="165" spans="1:7">
      <c r="A165" s="3271" t="s">
        <v>29</v>
      </c>
      <c r="B165" s="3260" t="s">
        <v>3186</v>
      </c>
      <c r="C165" s="3261">
        <v>0.126</v>
      </c>
      <c r="D165" s="3261">
        <v>0.126</v>
      </c>
      <c r="E165" s="3261">
        <v>0.11899999999999999</v>
      </c>
      <c r="F165" s="3261">
        <v>0.13</v>
      </c>
      <c r="G165" s="3262">
        <v>0.128</v>
      </c>
    </row>
    <row r="166" spans="1:7">
      <c r="A166" s="3271" t="s">
        <v>29</v>
      </c>
      <c r="B166" s="3260" t="s">
        <v>3025</v>
      </c>
      <c r="C166" s="3261">
        <v>0.129</v>
      </c>
      <c r="D166" s="3261">
        <v>0.129</v>
      </c>
      <c r="E166" s="3261">
        <v>0.123</v>
      </c>
      <c r="F166" s="3261">
        <v>0.128</v>
      </c>
      <c r="G166" s="3262">
        <v>0.13</v>
      </c>
    </row>
    <row r="167" spans="1:7">
      <c r="A167" s="3271" t="s">
        <v>29</v>
      </c>
      <c r="B167" s="3260" t="s">
        <v>3029</v>
      </c>
      <c r="C167" s="3261">
        <v>0.125</v>
      </c>
      <c r="D167" s="3261">
        <v>0.125</v>
      </c>
      <c r="E167" s="3261">
        <v>0.11700000000000001</v>
      </c>
      <c r="F167" s="3261">
        <v>0.13</v>
      </c>
      <c r="G167" s="3262">
        <v>0.126</v>
      </c>
    </row>
    <row r="168" spans="1:7">
      <c r="A168" s="3271" t="s">
        <v>29</v>
      </c>
      <c r="B168" s="3260" t="s">
        <v>3034</v>
      </c>
      <c r="C168" s="3261">
        <v>0.128</v>
      </c>
      <c r="D168" s="3261">
        <v>0.128</v>
      </c>
      <c r="E168" s="3261">
        <v>0.123</v>
      </c>
      <c r="F168" s="3272"/>
      <c r="G168" s="3262">
        <v>0.13</v>
      </c>
    </row>
    <row r="169" spans="1:7">
      <c r="A169" s="3271" t="s">
        <v>29</v>
      </c>
      <c r="B169" s="3260" t="s">
        <v>3187</v>
      </c>
      <c r="C169" s="3277"/>
      <c r="D169" s="3277"/>
      <c r="E169" s="3277"/>
      <c r="F169" s="3261">
        <v>0.05</v>
      </c>
      <c r="G169" s="3273"/>
    </row>
    <row r="170" spans="1:7">
      <c r="A170" s="3271" t="s">
        <v>29</v>
      </c>
      <c r="B170" s="3260" t="s">
        <v>3188</v>
      </c>
      <c r="C170" s="3277"/>
      <c r="D170" s="3277"/>
      <c r="E170" s="3277"/>
      <c r="F170" s="3261">
        <v>0.05</v>
      </c>
      <c r="G170" s="3273"/>
    </row>
    <row r="171" spans="1:7">
      <c r="A171" s="3271" t="s">
        <v>29</v>
      </c>
      <c r="B171" s="3260" t="s">
        <v>3189</v>
      </c>
      <c r="C171" s="3277"/>
      <c r="D171" s="3277"/>
      <c r="E171" s="3277"/>
      <c r="F171" s="3261">
        <v>0.05</v>
      </c>
      <c r="G171" s="3278"/>
    </row>
    <row r="172" spans="1:7">
      <c r="A172" s="3271" t="s">
        <v>29</v>
      </c>
      <c r="B172" s="3260" t="s">
        <v>3190</v>
      </c>
      <c r="C172" s="3277"/>
      <c r="D172" s="3277"/>
      <c r="E172" s="3277"/>
      <c r="F172" s="3261">
        <v>0.05</v>
      </c>
      <c r="G172" s="3278"/>
    </row>
    <row r="173" spans="1:7">
      <c r="A173" s="3271" t="s">
        <v>29</v>
      </c>
      <c r="B173" s="3260" t="s">
        <v>3191</v>
      </c>
      <c r="C173" s="3277"/>
      <c r="D173" s="3277"/>
      <c r="E173" s="3277"/>
      <c r="F173" s="3261">
        <v>0.05</v>
      </c>
      <c r="G173" s="3273"/>
    </row>
    <row r="174" spans="1:7">
      <c r="A174" s="3271" t="s">
        <v>29</v>
      </c>
      <c r="B174" s="3260" t="s">
        <v>3192</v>
      </c>
      <c r="C174" s="3277"/>
      <c r="D174" s="3277"/>
      <c r="E174" s="3277"/>
      <c r="F174" s="3261">
        <v>0.05</v>
      </c>
      <c r="G174" s="3273"/>
    </row>
    <row r="175" spans="1:7">
      <c r="A175" s="3271" t="s">
        <v>29</v>
      </c>
      <c r="B175" s="3260" t="s">
        <v>3193</v>
      </c>
      <c r="C175" s="3277"/>
      <c r="D175" s="3277"/>
      <c r="E175" s="3277"/>
      <c r="F175" s="3261">
        <v>0.05</v>
      </c>
      <c r="G175" s="3273"/>
    </row>
    <row r="176" spans="1:7">
      <c r="A176" s="3271" t="s">
        <v>29</v>
      </c>
      <c r="B176" s="3260" t="s">
        <v>3194</v>
      </c>
      <c r="C176" s="3277"/>
      <c r="D176" s="3277"/>
      <c r="E176" s="3277"/>
      <c r="F176" s="3261">
        <v>0.05</v>
      </c>
      <c r="G176" s="3273"/>
    </row>
    <row r="177" spans="1:7">
      <c r="A177" s="3271" t="s">
        <v>29</v>
      </c>
      <c r="B177" s="3260" t="s">
        <v>3195</v>
      </c>
      <c r="C177" s="3272"/>
      <c r="D177" s="3272"/>
      <c r="E177" s="3272"/>
      <c r="F177" s="3261">
        <v>0.05</v>
      </c>
      <c r="G177" s="3278"/>
    </row>
    <row r="178" spans="1:7">
      <c r="A178" s="3271" t="s">
        <v>29</v>
      </c>
      <c r="B178" s="3260" t="s">
        <v>3196</v>
      </c>
      <c r="C178" s="3272"/>
      <c r="D178" s="3272"/>
      <c r="E178" s="3272"/>
      <c r="F178" s="3261">
        <v>0.05</v>
      </c>
      <c r="G178" s="3278"/>
    </row>
    <row r="179" spans="1:7">
      <c r="A179" s="3271" t="s">
        <v>29</v>
      </c>
      <c r="B179" s="3260" t="s">
        <v>3197</v>
      </c>
      <c r="C179" s="3272"/>
      <c r="D179" s="3272"/>
      <c r="E179" s="3272"/>
      <c r="F179" s="3261">
        <v>0.05</v>
      </c>
      <c r="G179" s="3278"/>
    </row>
    <row r="180" spans="1:7">
      <c r="A180" s="3271" t="s">
        <v>29</v>
      </c>
      <c r="B180" s="3260" t="s">
        <v>3198</v>
      </c>
      <c r="C180" s="3272"/>
      <c r="D180" s="3272"/>
      <c r="E180" s="3272"/>
      <c r="F180" s="3261">
        <v>0.05</v>
      </c>
      <c r="G180" s="3278"/>
    </row>
    <row r="181" spans="1:7">
      <c r="A181" s="3271" t="s">
        <v>29</v>
      </c>
      <c r="B181" s="3260" t="s">
        <v>3199</v>
      </c>
      <c r="C181" s="3272"/>
      <c r="D181" s="3272"/>
      <c r="E181" s="3272"/>
      <c r="F181" s="3261">
        <v>0.05</v>
      </c>
      <c r="G181" s="3278"/>
    </row>
    <row r="182" spans="1:7">
      <c r="A182" s="3271" t="s">
        <v>29</v>
      </c>
      <c r="B182" s="3260" t="s">
        <v>3200</v>
      </c>
      <c r="C182" s="3272"/>
      <c r="D182" s="3272"/>
      <c r="E182" s="3272"/>
      <c r="F182" s="3261">
        <v>0.05</v>
      </c>
      <c r="G182" s="3278"/>
    </row>
    <row r="183" spans="1:7">
      <c r="A183" s="3271" t="s">
        <v>29</v>
      </c>
      <c r="B183" s="3260" t="s">
        <v>3201</v>
      </c>
      <c r="C183" s="3272"/>
      <c r="D183" s="3272"/>
      <c r="E183" s="3272"/>
      <c r="F183" s="3261">
        <v>0.05</v>
      </c>
      <c r="G183" s="3278"/>
    </row>
    <row r="184" spans="1:7">
      <c r="A184" s="3271" t="s">
        <v>29</v>
      </c>
      <c r="B184" s="3260" t="s">
        <v>3202</v>
      </c>
      <c r="C184" s="3272"/>
      <c r="D184" s="3272"/>
      <c r="E184" s="3272"/>
      <c r="F184" s="3261">
        <v>0.05</v>
      </c>
      <c r="G184" s="3278"/>
    </row>
    <row r="185" spans="1:7">
      <c r="A185" s="3271" t="s">
        <v>29</v>
      </c>
      <c r="B185" s="3260" t="s">
        <v>3203</v>
      </c>
      <c r="C185" s="3272"/>
      <c r="D185" s="3272"/>
      <c r="E185" s="3272"/>
      <c r="F185" s="3261">
        <v>0.05</v>
      </c>
      <c r="G185" s="3278"/>
    </row>
    <row r="186" spans="1:7">
      <c r="A186" s="3271" t="s">
        <v>29</v>
      </c>
      <c r="B186" s="3260" t="s">
        <v>3204</v>
      </c>
      <c r="C186" s="3272"/>
      <c r="D186" s="3272"/>
      <c r="E186" s="3272"/>
      <c r="F186" s="3261">
        <v>0.05</v>
      </c>
      <c r="G186" s="3278"/>
    </row>
    <row r="187" spans="1:7">
      <c r="A187" s="3271" t="s">
        <v>29</v>
      </c>
      <c r="B187" s="3260" t="s">
        <v>3205</v>
      </c>
      <c r="C187" s="3272"/>
      <c r="D187" s="3272"/>
      <c r="E187" s="3272"/>
      <c r="F187" s="3261">
        <v>0.05</v>
      </c>
      <c r="G187" s="3278"/>
    </row>
    <row r="188" spans="1:7">
      <c r="A188" s="3271" t="s">
        <v>29</v>
      </c>
      <c r="B188" s="3260" t="s">
        <v>3206</v>
      </c>
      <c r="C188" s="3272"/>
      <c r="D188" s="3272"/>
      <c r="E188" s="3272"/>
      <c r="F188" s="3261">
        <v>0.05</v>
      </c>
      <c r="G188" s="3278"/>
    </row>
    <row r="189" spans="1:7" ht="14.25" thickBot="1">
      <c r="A189" s="3274" t="s">
        <v>29</v>
      </c>
      <c r="B189" s="3264" t="s">
        <v>3207</v>
      </c>
      <c r="C189" s="3266"/>
      <c r="D189" s="3266"/>
      <c r="E189" s="3266"/>
      <c r="F189" s="3265">
        <v>0.05</v>
      </c>
      <c r="G189" s="3279"/>
    </row>
    <row r="190" spans="1:7">
      <c r="A190" s="3270" t="s">
        <v>304</v>
      </c>
      <c r="B190" s="3256" t="s">
        <v>2863</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2899</v>
      </c>
      <c r="C199" s="3261">
        <v>0.13</v>
      </c>
      <c r="D199" s="3261">
        <v>0.13</v>
      </c>
      <c r="E199" s="3261">
        <v>0.13</v>
      </c>
      <c r="F199" s="3261">
        <v>0.13</v>
      </c>
      <c r="G199" s="3262">
        <v>0.13</v>
      </c>
    </row>
    <row r="200" spans="1:7">
      <c r="A200" s="3271" t="s">
        <v>304</v>
      </c>
      <c r="B200" s="3260" t="s">
        <v>2902</v>
      </c>
      <c r="C200" s="3277"/>
      <c r="D200" s="3277"/>
      <c r="E200" s="3277"/>
      <c r="F200" s="3261">
        <v>0.13</v>
      </c>
      <c r="G200" s="3273"/>
    </row>
    <row r="201" spans="1:7">
      <c r="A201" s="3271" t="s">
        <v>304</v>
      </c>
      <c r="B201" s="3260" t="s">
        <v>2907</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2910</v>
      </c>
      <c r="C203" s="3261">
        <v>0.129</v>
      </c>
      <c r="D203" s="3261">
        <v>0.129</v>
      </c>
      <c r="E203" s="3261">
        <v>0.13</v>
      </c>
      <c r="F203" s="3261">
        <v>0.13</v>
      </c>
      <c r="G203" s="3262">
        <v>0.13</v>
      </c>
    </row>
    <row r="204" spans="1:7">
      <c r="A204" s="3271" t="s">
        <v>304</v>
      </c>
      <c r="B204" s="3260" t="s">
        <v>2913</v>
      </c>
      <c r="C204" s="3261">
        <v>0.129</v>
      </c>
      <c r="D204" s="3261">
        <v>0.129</v>
      </c>
      <c r="E204" s="3261">
        <v>0.123</v>
      </c>
      <c r="F204" s="3261">
        <v>0.13</v>
      </c>
      <c r="G204" s="3262">
        <v>0.13</v>
      </c>
    </row>
    <row r="205" spans="1:7">
      <c r="A205" s="3271" t="s">
        <v>304</v>
      </c>
      <c r="B205" s="3260" t="s">
        <v>2915</v>
      </c>
      <c r="C205" s="3261">
        <v>0.13</v>
      </c>
      <c r="D205" s="3261">
        <v>0.13</v>
      </c>
      <c r="E205" s="3261">
        <v>0.13</v>
      </c>
      <c r="F205" s="3261">
        <v>0.13</v>
      </c>
      <c r="G205" s="3262">
        <v>0.13</v>
      </c>
    </row>
    <row r="206" spans="1:7">
      <c r="A206" s="3271" t="s">
        <v>304</v>
      </c>
      <c r="B206" s="3260" t="s">
        <v>2918</v>
      </c>
      <c r="C206" s="3261">
        <v>0.13</v>
      </c>
      <c r="D206" s="3261">
        <v>0.13</v>
      </c>
      <c r="E206" s="3261">
        <v>0.13</v>
      </c>
      <c r="F206" s="3261">
        <v>0.128</v>
      </c>
      <c r="G206" s="3262">
        <v>0.13</v>
      </c>
    </row>
    <row r="207" spans="1:7">
      <c r="A207" s="3271" t="s">
        <v>304</v>
      </c>
      <c r="B207" s="3260" t="s">
        <v>2920</v>
      </c>
      <c r="C207" s="3261">
        <v>0.13</v>
      </c>
      <c r="D207" s="3261">
        <v>0.13</v>
      </c>
      <c r="E207" s="3261">
        <v>0.13</v>
      </c>
      <c r="F207" s="3261">
        <v>0.13</v>
      </c>
      <c r="G207" s="3262">
        <v>0.13</v>
      </c>
    </row>
    <row r="208" spans="1:7">
      <c r="A208" s="3271" t="s">
        <v>304</v>
      </c>
      <c r="B208" s="3260" t="s">
        <v>2923</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2930</v>
      </c>
      <c r="C210" s="3261">
        <v>0.121</v>
      </c>
      <c r="D210" s="3261">
        <v>0.121</v>
      </c>
      <c r="E210" s="3261">
        <v>0.125</v>
      </c>
      <c r="F210" s="3261">
        <v>0.13</v>
      </c>
      <c r="G210" s="3262">
        <v>0.123</v>
      </c>
    </row>
    <row r="211" spans="1:7">
      <c r="A211" s="3271" t="s">
        <v>304</v>
      </c>
      <c r="B211" s="3260" t="s">
        <v>2933</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2945</v>
      </c>
      <c r="C214" s="3261">
        <v>0.128</v>
      </c>
      <c r="D214" s="3261">
        <v>0.128</v>
      </c>
      <c r="E214" s="3261">
        <v>0.13</v>
      </c>
      <c r="F214" s="3261">
        <v>0.13</v>
      </c>
      <c r="G214" s="3262">
        <v>0.13</v>
      </c>
    </row>
    <row r="215" spans="1:7">
      <c r="A215" s="3271" t="s">
        <v>304</v>
      </c>
      <c r="B215" s="3260" t="s">
        <v>2949</v>
      </c>
      <c r="C215" s="3261">
        <v>0.13</v>
      </c>
      <c r="D215" s="3261">
        <v>0.13</v>
      </c>
      <c r="E215" s="3261">
        <v>0.13</v>
      </c>
      <c r="F215" s="3261">
        <v>0.129</v>
      </c>
      <c r="G215" s="3262">
        <v>0.13</v>
      </c>
    </row>
    <row r="216" spans="1:7">
      <c r="A216" s="3271" t="s">
        <v>304</v>
      </c>
      <c r="B216" s="3260" t="s">
        <v>2956</v>
      </c>
      <c r="C216" s="3261">
        <v>0.13</v>
      </c>
      <c r="D216" s="3261">
        <v>0.13</v>
      </c>
      <c r="E216" s="3261">
        <v>0.13</v>
      </c>
      <c r="F216" s="3261">
        <v>0.13</v>
      </c>
      <c r="G216" s="3262">
        <v>0.13</v>
      </c>
    </row>
    <row r="217" spans="1:7">
      <c r="A217" s="3271" t="s">
        <v>304</v>
      </c>
      <c r="B217" s="3260" t="s">
        <v>2963</v>
      </c>
      <c r="C217" s="3261">
        <v>0.129</v>
      </c>
      <c r="D217" s="3261">
        <v>0.129</v>
      </c>
      <c r="E217" s="3261">
        <v>0.13</v>
      </c>
      <c r="F217" s="3261">
        <v>0.13</v>
      </c>
      <c r="G217" s="3262">
        <v>0.13</v>
      </c>
    </row>
    <row r="218" spans="1:7">
      <c r="A218" s="3271" t="s">
        <v>304</v>
      </c>
      <c r="B218" s="3260" t="s">
        <v>2969</v>
      </c>
      <c r="C218" s="3272"/>
      <c r="D218" s="3272"/>
      <c r="E218" s="3272"/>
      <c r="F218" s="3261">
        <v>0.05</v>
      </c>
      <c r="G218" s="3278"/>
    </row>
    <row r="219" spans="1:7">
      <c r="A219" s="3271" t="s">
        <v>304</v>
      </c>
      <c r="B219" s="3260" t="s">
        <v>2976</v>
      </c>
      <c r="C219" s="3272"/>
      <c r="D219" s="3272"/>
      <c r="E219" s="3272"/>
      <c r="F219" s="3261">
        <v>0.05</v>
      </c>
      <c r="G219" s="3278"/>
    </row>
    <row r="220" spans="1:7">
      <c r="A220" s="3271" t="s">
        <v>304</v>
      </c>
      <c r="B220" s="3260" t="s">
        <v>2982</v>
      </c>
      <c r="C220" s="3272"/>
      <c r="D220" s="3272"/>
      <c r="E220" s="3272"/>
      <c r="F220" s="3261">
        <v>0.05</v>
      </c>
      <c r="G220" s="3278"/>
    </row>
    <row r="221" spans="1:7">
      <c r="A221" s="3271" t="s">
        <v>304</v>
      </c>
      <c r="B221" s="3260" t="s">
        <v>2987</v>
      </c>
      <c r="C221" s="3272"/>
      <c r="D221" s="3272"/>
      <c r="E221" s="3272"/>
      <c r="F221" s="3261">
        <v>0.05</v>
      </c>
      <c r="G221" s="3278"/>
    </row>
    <row r="222" spans="1:7">
      <c r="A222" s="3271" t="s">
        <v>304</v>
      </c>
      <c r="B222" s="3260" t="s">
        <v>2991</v>
      </c>
      <c r="C222" s="3272"/>
      <c r="D222" s="3272"/>
      <c r="E222" s="3272"/>
      <c r="F222" s="3261">
        <v>0.05</v>
      </c>
      <c r="G222" s="3278"/>
    </row>
    <row r="223" spans="1:7">
      <c r="A223" s="3271" t="s">
        <v>304</v>
      </c>
      <c r="B223" s="3260" t="s">
        <v>2996</v>
      </c>
      <c r="C223" s="3272"/>
      <c r="D223" s="3272"/>
      <c r="E223" s="3272"/>
      <c r="F223" s="3261">
        <v>0.05</v>
      </c>
      <c r="G223" s="3278"/>
    </row>
    <row r="224" spans="1:7">
      <c r="A224" s="3271" t="s">
        <v>304</v>
      </c>
      <c r="B224" s="3260" t="s">
        <v>3001</v>
      </c>
      <c r="C224" s="3272"/>
      <c r="D224" s="3272"/>
      <c r="E224" s="3272"/>
      <c r="F224" s="3261">
        <v>0.05</v>
      </c>
      <c r="G224" s="3278"/>
    </row>
    <row r="225" spans="1:7">
      <c r="A225" s="3271" t="s">
        <v>304</v>
      </c>
      <c r="B225" s="3260" t="s">
        <v>3006</v>
      </c>
      <c r="C225" s="3272"/>
      <c r="D225" s="3272"/>
      <c r="E225" s="3272"/>
      <c r="F225" s="3261">
        <v>0.05</v>
      </c>
      <c r="G225" s="3278"/>
    </row>
    <row r="226" spans="1:7">
      <c r="A226" s="3271" t="s">
        <v>304</v>
      </c>
      <c r="B226" s="3260" t="s">
        <v>3208</v>
      </c>
      <c r="C226" s="3272"/>
      <c r="D226" s="3272"/>
      <c r="E226" s="3272"/>
      <c r="F226" s="3261">
        <v>0.05</v>
      </c>
      <c r="G226" s="3278"/>
    </row>
    <row r="227" spans="1:7">
      <c r="A227" s="3271" t="s">
        <v>304</v>
      </c>
      <c r="B227" s="3260" t="s">
        <v>3209</v>
      </c>
      <c r="C227" s="3272"/>
      <c r="D227" s="3272"/>
      <c r="E227" s="3272"/>
      <c r="F227" s="3261">
        <v>0.05</v>
      </c>
      <c r="G227" s="3278"/>
    </row>
    <row r="228" spans="1:7">
      <c r="A228" s="3271" t="s">
        <v>304</v>
      </c>
      <c r="B228" s="3260" t="s">
        <v>3210</v>
      </c>
      <c r="C228" s="3272"/>
      <c r="D228" s="3272"/>
      <c r="E228" s="3272"/>
      <c r="F228" s="3261">
        <v>0.05</v>
      </c>
      <c r="G228" s="3278"/>
    </row>
    <row r="229" spans="1:7">
      <c r="A229" s="3271" t="s">
        <v>304</v>
      </c>
      <c r="B229" s="3260" t="s">
        <v>3211</v>
      </c>
      <c r="C229" s="3272"/>
      <c r="D229" s="3272"/>
      <c r="E229" s="3272"/>
      <c r="F229" s="3261">
        <v>0.05</v>
      </c>
      <c r="G229" s="3278"/>
    </row>
    <row r="230" spans="1:7">
      <c r="A230" s="3271" t="s">
        <v>304</v>
      </c>
      <c r="B230" s="3260" t="s">
        <v>3212</v>
      </c>
      <c r="C230" s="3272"/>
      <c r="D230" s="3272"/>
      <c r="E230" s="3272"/>
      <c r="F230" s="3261">
        <v>0.05</v>
      </c>
      <c r="G230" s="3278"/>
    </row>
    <row r="231" spans="1:7">
      <c r="A231" s="3271" t="s">
        <v>304</v>
      </c>
      <c r="B231" s="3260" t="s">
        <v>3213</v>
      </c>
      <c r="C231" s="3272"/>
      <c r="D231" s="3272"/>
      <c r="E231" s="3272"/>
      <c r="F231" s="3261">
        <v>0.05</v>
      </c>
      <c r="G231" s="3278"/>
    </row>
    <row r="232" spans="1:7">
      <c r="A232" s="3271" t="s">
        <v>304</v>
      </c>
      <c r="B232" s="3260" t="s">
        <v>3214</v>
      </c>
      <c r="C232" s="3272"/>
      <c r="D232" s="3272"/>
      <c r="E232" s="3272"/>
      <c r="F232" s="3261">
        <v>0.05</v>
      </c>
      <c r="G232" s="3278"/>
    </row>
    <row r="233" spans="1:7" ht="14.25" thickBot="1">
      <c r="A233" s="3274" t="s">
        <v>304</v>
      </c>
      <c r="B233" s="3264" t="s">
        <v>3215</v>
      </c>
      <c r="C233" s="3266"/>
      <c r="D233" s="3266"/>
      <c r="E233" s="3266"/>
      <c r="F233" s="3265">
        <v>0.05</v>
      </c>
      <c r="G233" s="3279"/>
    </row>
    <row r="234" spans="1:7">
      <c r="A234" s="3270" t="s">
        <v>305</v>
      </c>
      <c r="B234" s="3256" t="s">
        <v>2864</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2884</v>
      </c>
      <c r="C238" s="3261">
        <v>0.14899999999999999</v>
      </c>
      <c r="D238" s="3261">
        <v>0.14899999999999999</v>
      </c>
      <c r="E238" s="3261">
        <v>0.15</v>
      </c>
      <c r="F238" s="3261">
        <v>0.15</v>
      </c>
      <c r="G238" s="3262">
        <v>0.15</v>
      </c>
    </row>
    <row r="239" spans="1:7">
      <c r="A239" s="3271" t="s">
        <v>305</v>
      </c>
      <c r="B239" s="3260" t="s">
        <v>2888</v>
      </c>
      <c r="C239" s="3261">
        <v>0.15</v>
      </c>
      <c r="D239" s="3261">
        <v>0.15</v>
      </c>
      <c r="E239" s="3261">
        <v>0.15</v>
      </c>
      <c r="F239" s="3261">
        <v>0.15</v>
      </c>
      <c r="G239" s="3262">
        <v>0.15</v>
      </c>
    </row>
    <row r="240" spans="1:7">
      <c r="A240" s="3271" t="s">
        <v>305</v>
      </c>
      <c r="B240" s="3260" t="s">
        <v>2893</v>
      </c>
      <c r="C240" s="3261">
        <v>0.15</v>
      </c>
      <c r="D240" s="3261">
        <v>0.15</v>
      </c>
      <c r="E240" s="3261">
        <v>0.15</v>
      </c>
      <c r="F240" s="3261">
        <v>0.15</v>
      </c>
      <c r="G240" s="3262">
        <v>0.15</v>
      </c>
    </row>
    <row r="241" spans="1:7">
      <c r="A241" s="3271" t="s">
        <v>305</v>
      </c>
      <c r="B241" s="3260" t="s">
        <v>2897</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2903</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2911</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2916</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2924</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2937</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2946</v>
      </c>
      <c r="C258" s="3261">
        <v>0.14299999999999999</v>
      </c>
      <c r="D258" s="3261">
        <v>0.14299999999999999</v>
      </c>
      <c r="E258" s="3261">
        <v>0.15</v>
      </c>
      <c r="F258" s="3261">
        <v>0.14799999999999999</v>
      </c>
      <c r="G258" s="3262">
        <v>0.14599999999999999</v>
      </c>
    </row>
    <row r="259" spans="1:7">
      <c r="A259" s="3271" t="s">
        <v>305</v>
      </c>
      <c r="B259" s="3260" t="s">
        <v>2950</v>
      </c>
      <c r="C259" s="3261">
        <v>0.14399999999999999</v>
      </c>
      <c r="D259" s="3261">
        <v>0.14399999999999999</v>
      </c>
      <c r="E259" s="3261">
        <v>0.14899999999999999</v>
      </c>
      <c r="F259" s="3261">
        <v>0.14699999999999999</v>
      </c>
      <c r="G259" s="3262">
        <v>0.14599999999999999</v>
      </c>
    </row>
    <row r="260" spans="1:7">
      <c r="A260" s="3271" t="s">
        <v>305</v>
      </c>
      <c r="B260" s="3260" t="s">
        <v>2957</v>
      </c>
      <c r="C260" s="3261">
        <v>0.109</v>
      </c>
      <c r="D260" s="3261">
        <v>0.111</v>
      </c>
      <c r="E260" s="3261">
        <v>0.13100000000000001</v>
      </c>
      <c r="F260" s="3261">
        <v>0.126</v>
      </c>
      <c r="G260" s="3262">
        <v>0.11899999999999999</v>
      </c>
    </row>
    <row r="261" spans="1:7">
      <c r="A261" s="3271" t="s">
        <v>305</v>
      </c>
      <c r="B261" s="3260" t="s">
        <v>2964</v>
      </c>
      <c r="C261" s="3261">
        <v>0.1</v>
      </c>
      <c r="D261" s="3261">
        <v>0.1</v>
      </c>
      <c r="E261" s="3261">
        <v>0.11799999999999999</v>
      </c>
      <c r="F261" s="3261">
        <v>0.108</v>
      </c>
      <c r="G261" s="3262">
        <v>0.107</v>
      </c>
    </row>
    <row r="262" spans="1:7">
      <c r="A262" s="3271" t="s">
        <v>305</v>
      </c>
      <c r="B262" s="3260" t="s">
        <v>2970</v>
      </c>
      <c r="C262" s="3261">
        <v>0.1</v>
      </c>
      <c r="D262" s="3261">
        <v>0.1</v>
      </c>
      <c r="E262" s="3261">
        <v>0.1</v>
      </c>
      <c r="F262" s="3261">
        <v>0.14099999999999999</v>
      </c>
      <c r="G262" s="3262">
        <v>0.1</v>
      </c>
    </row>
    <row r="263" spans="1:7">
      <c r="A263" s="3271" t="s">
        <v>305</v>
      </c>
      <c r="B263" s="3260" t="s">
        <v>2977</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2988</v>
      </c>
      <c r="C265" s="3272"/>
      <c r="D265" s="3272"/>
      <c r="E265" s="3272"/>
      <c r="F265" s="3261">
        <v>0.05</v>
      </c>
      <c r="G265" s="3278"/>
    </row>
    <row r="266" spans="1:7">
      <c r="A266" s="3271" t="s">
        <v>305</v>
      </c>
      <c r="B266" s="3260" t="s">
        <v>2992</v>
      </c>
      <c r="C266" s="3272"/>
      <c r="D266" s="3272"/>
      <c r="E266" s="3272"/>
      <c r="F266" s="3261">
        <v>0.05</v>
      </c>
      <c r="G266" s="3278"/>
    </row>
    <row r="267" spans="1:7">
      <c r="A267" s="3271" t="s">
        <v>305</v>
      </c>
      <c r="B267" s="3260" t="s">
        <v>2997</v>
      </c>
      <c r="C267" s="3272"/>
      <c r="D267" s="3272"/>
      <c r="E267" s="3272"/>
      <c r="F267" s="3261">
        <v>0.05</v>
      </c>
      <c r="G267" s="3278"/>
    </row>
    <row r="268" spans="1:7">
      <c r="A268" s="3271" t="s">
        <v>305</v>
      </c>
      <c r="B268" s="3260" t="s">
        <v>3002</v>
      </c>
      <c r="C268" s="3272"/>
      <c r="D268" s="3272"/>
      <c r="E268" s="3272"/>
      <c r="F268" s="3261">
        <v>0.05</v>
      </c>
      <c r="G268" s="3278"/>
    </row>
    <row r="269" spans="1:7">
      <c r="A269" s="3271" t="s">
        <v>305</v>
      </c>
      <c r="B269" s="3260" t="s">
        <v>3007</v>
      </c>
      <c r="C269" s="3272"/>
      <c r="D269" s="3272"/>
      <c r="E269" s="3272"/>
      <c r="F269" s="3261">
        <v>0.05</v>
      </c>
      <c r="G269" s="3278"/>
    </row>
    <row r="270" spans="1:7">
      <c r="A270" s="3271" t="s">
        <v>305</v>
      </c>
      <c r="B270" s="3260" t="s">
        <v>3012</v>
      </c>
      <c r="C270" s="3272"/>
      <c r="D270" s="3272"/>
      <c r="E270" s="3272"/>
      <c r="F270" s="3261">
        <v>0.05</v>
      </c>
      <c r="G270" s="3278"/>
    </row>
    <row r="271" spans="1:7">
      <c r="A271" s="3271" t="s">
        <v>305</v>
      </c>
      <c r="B271" s="3260" t="s">
        <v>3216</v>
      </c>
      <c r="C271" s="3272"/>
      <c r="D271" s="3272"/>
      <c r="E271" s="3272"/>
      <c r="F271" s="3261">
        <v>0.05</v>
      </c>
      <c r="G271" s="3278"/>
    </row>
    <row r="272" spans="1:7">
      <c r="A272" s="3271" t="s">
        <v>305</v>
      </c>
      <c r="B272" s="3260" t="s">
        <v>3217</v>
      </c>
      <c r="C272" s="3272"/>
      <c r="D272" s="3272"/>
      <c r="E272" s="3272"/>
      <c r="F272" s="3261">
        <v>0.05</v>
      </c>
      <c r="G272" s="3278"/>
    </row>
    <row r="273" spans="1:7">
      <c r="A273" s="3271" t="s">
        <v>305</v>
      </c>
      <c r="B273" s="3260" t="s">
        <v>3218</v>
      </c>
      <c r="C273" s="3272"/>
      <c r="D273" s="3272"/>
      <c r="E273" s="3272"/>
      <c r="F273" s="3261">
        <v>0.05</v>
      </c>
      <c r="G273" s="3278"/>
    </row>
    <row r="274" spans="1:7">
      <c r="A274" s="3271" t="s">
        <v>305</v>
      </c>
      <c r="B274" s="3260" t="s">
        <v>3219</v>
      </c>
      <c r="C274" s="3272"/>
      <c r="D274" s="3272"/>
      <c r="E274" s="3272"/>
      <c r="F274" s="3261">
        <v>0.05</v>
      </c>
      <c r="G274" s="3278"/>
    </row>
    <row r="275" spans="1:7">
      <c r="A275" s="3271" t="s">
        <v>305</v>
      </c>
      <c r="B275" s="3260" t="s">
        <v>3220</v>
      </c>
      <c r="C275" s="3272"/>
      <c r="D275" s="3272"/>
      <c r="E275" s="3272"/>
      <c r="F275" s="3261">
        <v>0.05</v>
      </c>
      <c r="G275" s="3278"/>
    </row>
    <row r="276" spans="1:7" ht="14.25" thickBot="1">
      <c r="A276" s="3274" t="s">
        <v>305</v>
      </c>
      <c r="B276" s="3264" t="s">
        <v>3221</v>
      </c>
      <c r="C276" s="3266"/>
      <c r="D276" s="3266"/>
      <c r="E276" s="3266"/>
      <c r="F276" s="3265">
        <v>0.05</v>
      </c>
      <c r="G276" s="3279"/>
    </row>
    <row r="277" spans="1:7">
      <c r="A277" s="3270" t="s">
        <v>306</v>
      </c>
      <c r="B277" s="3256" t="s">
        <v>2865</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2877</v>
      </c>
      <c r="C279" s="3261">
        <v>0.15</v>
      </c>
      <c r="D279" s="3261">
        <v>0.15</v>
      </c>
      <c r="E279" s="3261">
        <v>0.15</v>
      </c>
      <c r="F279" s="3261">
        <v>0.15</v>
      </c>
      <c r="G279" s="3262">
        <v>0.15</v>
      </c>
    </row>
    <row r="280" spans="1:7">
      <c r="A280" s="3271" t="s">
        <v>306</v>
      </c>
      <c r="B280" s="3260" t="s">
        <v>2881</v>
      </c>
      <c r="C280" s="3261">
        <v>0.15</v>
      </c>
      <c r="D280" s="3261">
        <v>0.15</v>
      </c>
      <c r="E280" s="3261">
        <v>0.15</v>
      </c>
      <c r="F280" s="3261">
        <v>0.15</v>
      </c>
      <c r="G280" s="3262">
        <v>0.15</v>
      </c>
    </row>
    <row r="281" spans="1:7">
      <c r="A281" s="3271" t="s">
        <v>306</v>
      </c>
      <c r="B281" s="3260" t="s">
        <v>2885</v>
      </c>
      <c r="C281" s="3261">
        <v>0.15</v>
      </c>
      <c r="D281" s="3261">
        <v>0.15</v>
      </c>
      <c r="E281" s="3261">
        <v>0.15</v>
      </c>
      <c r="F281" s="3261">
        <v>0.15</v>
      </c>
      <c r="G281" s="3262">
        <v>0.15</v>
      </c>
    </row>
    <row r="282" spans="1:7">
      <c r="A282" s="3271" t="s">
        <v>306</v>
      </c>
      <c r="B282" s="3260" t="s">
        <v>2889</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2904</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2909</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2919</v>
      </c>
      <c r="C293" s="3261">
        <v>0.15</v>
      </c>
      <c r="D293" s="3261">
        <v>0.15</v>
      </c>
      <c r="E293" s="3261">
        <v>0.15</v>
      </c>
      <c r="F293" s="3261">
        <v>0.14499999999999999</v>
      </c>
      <c r="G293" s="3262">
        <v>0.15</v>
      </c>
    </row>
    <row r="294" spans="1:7">
      <c r="A294" s="3271" t="s">
        <v>306</v>
      </c>
      <c r="B294" s="3260" t="s">
        <v>2921</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2938</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2951</v>
      </c>
      <c r="C302" s="3261">
        <v>0.15</v>
      </c>
      <c r="D302" s="3261">
        <v>0.15</v>
      </c>
      <c r="E302" s="3261">
        <v>0.15</v>
      </c>
      <c r="F302" s="3261">
        <v>0.14699999999999999</v>
      </c>
      <c r="G302" s="3262">
        <v>0.15</v>
      </c>
    </row>
    <row r="303" spans="1:7">
      <c r="A303" s="3271" t="s">
        <v>306</v>
      </c>
      <c r="B303" s="3260" t="s">
        <v>2958</v>
      </c>
      <c r="C303" s="3261">
        <v>0.15</v>
      </c>
      <c r="D303" s="3261">
        <v>0.15</v>
      </c>
      <c r="E303" s="3261">
        <v>0.15</v>
      </c>
      <c r="F303" s="3261">
        <v>0.14199999999999999</v>
      </c>
      <c r="G303" s="3262">
        <v>0.15</v>
      </c>
    </row>
    <row r="304" spans="1:7">
      <c r="A304" s="3271" t="s">
        <v>306</v>
      </c>
      <c r="B304" s="3260" t="s">
        <v>2965</v>
      </c>
      <c r="C304" s="3261">
        <v>0.15</v>
      </c>
      <c r="D304" s="3261">
        <v>0.15</v>
      </c>
      <c r="E304" s="3261">
        <v>0.15</v>
      </c>
      <c r="F304" s="3261">
        <v>0.14499999999999999</v>
      </c>
      <c r="G304" s="3262">
        <v>0.15</v>
      </c>
    </row>
    <row r="305" spans="1:7">
      <c r="A305" s="3271" t="s">
        <v>306</v>
      </c>
      <c r="B305" s="3260" t="s">
        <v>2971</v>
      </c>
      <c r="C305" s="3261">
        <v>0.15</v>
      </c>
      <c r="D305" s="3261">
        <v>0.15</v>
      </c>
      <c r="E305" s="3261">
        <v>0.15</v>
      </c>
      <c r="F305" s="3261">
        <v>0.111</v>
      </c>
      <c r="G305" s="3262">
        <v>0.15</v>
      </c>
    </row>
    <row r="306" spans="1:7">
      <c r="A306" s="3271" t="s">
        <v>306</v>
      </c>
      <c r="B306" s="3260" t="s">
        <v>2978</v>
      </c>
      <c r="C306" s="3261">
        <v>0.15</v>
      </c>
      <c r="D306" s="3261">
        <v>0.15</v>
      </c>
      <c r="E306" s="3261">
        <v>0.15</v>
      </c>
      <c r="F306" s="3261">
        <v>0.126</v>
      </c>
      <c r="G306" s="3262">
        <v>0.15</v>
      </c>
    </row>
    <row r="307" spans="1:7">
      <c r="A307" s="3271" t="s">
        <v>306</v>
      </c>
      <c r="B307" s="3260" t="s">
        <v>2983</v>
      </c>
      <c r="C307" s="3261">
        <v>0.15</v>
      </c>
      <c r="D307" s="3261">
        <v>0.15</v>
      </c>
      <c r="E307" s="3261">
        <v>0.15</v>
      </c>
      <c r="F307" s="3261">
        <v>0.12</v>
      </c>
      <c r="G307" s="3262">
        <v>0.15</v>
      </c>
    </row>
    <row r="308" spans="1:7">
      <c r="A308" s="3271" t="s">
        <v>306</v>
      </c>
      <c r="B308" s="3260" t="s">
        <v>2989</v>
      </c>
      <c r="C308" s="3261">
        <v>0.15</v>
      </c>
      <c r="D308" s="3261">
        <v>0.15</v>
      </c>
      <c r="E308" s="3261">
        <v>0.15</v>
      </c>
      <c r="F308" s="3261">
        <v>0.13</v>
      </c>
      <c r="G308" s="3262">
        <v>0.15</v>
      </c>
    </row>
    <row r="309" spans="1:7">
      <c r="A309" s="3271" t="s">
        <v>306</v>
      </c>
      <c r="B309" s="3260" t="s">
        <v>2993</v>
      </c>
      <c r="C309" s="3261">
        <v>0.15</v>
      </c>
      <c r="D309" s="3261">
        <v>0.15</v>
      </c>
      <c r="E309" s="3261">
        <v>0.15</v>
      </c>
      <c r="F309" s="3261">
        <v>0.14099999999999999</v>
      </c>
      <c r="G309" s="3262">
        <v>0.15</v>
      </c>
    </row>
    <row r="310" spans="1:7">
      <c r="A310" s="3271" t="s">
        <v>306</v>
      </c>
      <c r="B310" s="3260" t="s">
        <v>2998</v>
      </c>
      <c r="C310" s="3261">
        <v>0.15</v>
      </c>
      <c r="D310" s="3261">
        <v>0.15</v>
      </c>
      <c r="E310" s="3261">
        <v>0.15</v>
      </c>
      <c r="F310" s="3261">
        <v>0.15</v>
      </c>
      <c r="G310" s="3262">
        <v>0.15</v>
      </c>
    </row>
    <row r="311" spans="1:7">
      <c r="A311" s="3271" t="s">
        <v>306</v>
      </c>
      <c r="B311" s="3260" t="s">
        <v>3003</v>
      </c>
      <c r="C311" s="3261">
        <v>0.13200000000000001</v>
      </c>
      <c r="D311" s="3261">
        <v>0.13300000000000001</v>
      </c>
      <c r="E311" s="3261">
        <v>0.14499999999999999</v>
      </c>
      <c r="F311" s="3261">
        <v>0.14199999999999999</v>
      </c>
      <c r="G311" s="3262">
        <v>0.14000000000000001</v>
      </c>
    </row>
    <row r="312" spans="1:7">
      <c r="A312" s="3271" t="s">
        <v>306</v>
      </c>
      <c r="B312" s="3260" t="s">
        <v>3008</v>
      </c>
      <c r="C312" s="3261">
        <v>0.13800000000000001</v>
      </c>
      <c r="D312" s="3261">
        <v>0.14000000000000001</v>
      </c>
      <c r="E312" s="3261">
        <v>0.14599999999999999</v>
      </c>
      <c r="F312" s="3261">
        <v>0.14899999999999999</v>
      </c>
      <c r="G312" s="3262">
        <v>0.14199999999999999</v>
      </c>
    </row>
    <row r="313" spans="1:7">
      <c r="A313" s="3271" t="s">
        <v>306</v>
      </c>
      <c r="B313" s="3260" t="s">
        <v>3013</v>
      </c>
      <c r="C313" s="3261">
        <v>0.125</v>
      </c>
      <c r="D313" s="3261">
        <v>0.127</v>
      </c>
      <c r="E313" s="3261">
        <v>0.14399999999999999</v>
      </c>
      <c r="F313" s="3261">
        <v>0.115</v>
      </c>
      <c r="G313" s="3262">
        <v>0.13600000000000001</v>
      </c>
    </row>
    <row r="314" spans="1:7">
      <c r="A314" s="3271" t="s">
        <v>306</v>
      </c>
      <c r="B314" s="3260" t="s">
        <v>3222</v>
      </c>
      <c r="C314" s="3277"/>
      <c r="D314" s="3277"/>
      <c r="E314" s="3277"/>
      <c r="F314" s="3261">
        <v>0.05</v>
      </c>
      <c r="G314" s="3278"/>
    </row>
    <row r="315" spans="1:7">
      <c r="A315" s="3271" t="s">
        <v>306</v>
      </c>
      <c r="B315" s="3260" t="s">
        <v>3223</v>
      </c>
      <c r="C315" s="3277"/>
      <c r="D315" s="3277"/>
      <c r="E315" s="3277"/>
      <c r="F315" s="3261">
        <v>0.05</v>
      </c>
      <c r="G315" s="3278"/>
    </row>
    <row r="316" spans="1:7">
      <c r="A316" s="3271" t="s">
        <v>306</v>
      </c>
      <c r="B316" s="3260" t="s">
        <v>3224</v>
      </c>
      <c r="C316" s="3272"/>
      <c r="D316" s="3272"/>
      <c r="E316" s="3272"/>
      <c r="F316" s="3261">
        <v>0.05</v>
      </c>
      <c r="G316" s="3278"/>
    </row>
    <row r="317" spans="1:7">
      <c r="A317" s="3271" t="s">
        <v>306</v>
      </c>
      <c r="B317" s="3260" t="s">
        <v>3225</v>
      </c>
      <c r="C317" s="3272"/>
      <c r="D317" s="3272"/>
      <c r="E317" s="3272"/>
      <c r="F317" s="3261">
        <v>0.05</v>
      </c>
      <c r="G317" s="3278"/>
    </row>
    <row r="318" spans="1:7">
      <c r="A318" s="3271" t="s">
        <v>306</v>
      </c>
      <c r="B318" s="3260" t="s">
        <v>3226</v>
      </c>
      <c r="C318" s="3272"/>
      <c r="D318" s="3272"/>
      <c r="E318" s="3272"/>
      <c r="F318" s="3261">
        <v>0.05</v>
      </c>
      <c r="G318" s="3278"/>
    </row>
    <row r="319" spans="1:7">
      <c r="A319" s="3271" t="s">
        <v>306</v>
      </c>
      <c r="B319" s="3260" t="s">
        <v>3227</v>
      </c>
      <c r="C319" s="3272"/>
      <c r="D319" s="3272"/>
      <c r="E319" s="3272"/>
      <c r="F319" s="3261">
        <v>0.05</v>
      </c>
      <c r="G319" s="3278"/>
    </row>
    <row r="320" spans="1:7">
      <c r="A320" s="3271" t="s">
        <v>306</v>
      </c>
      <c r="B320" s="3260" t="s">
        <v>3228</v>
      </c>
      <c r="C320" s="3272"/>
      <c r="D320" s="3272"/>
      <c r="E320" s="3272"/>
      <c r="F320" s="3261">
        <v>0.05</v>
      </c>
      <c r="G320" s="3278"/>
    </row>
    <row r="321" spans="1:7">
      <c r="A321" s="3271" t="s">
        <v>306</v>
      </c>
      <c r="B321" s="3260" t="s">
        <v>3229</v>
      </c>
      <c r="C321" s="3272"/>
      <c r="D321" s="3272"/>
      <c r="E321" s="3272"/>
      <c r="F321" s="3261">
        <v>0.05</v>
      </c>
      <c r="G321" s="3278"/>
    </row>
    <row r="322" spans="1:7">
      <c r="A322" s="3271" t="s">
        <v>306</v>
      </c>
      <c r="B322" s="3260" t="s">
        <v>3230</v>
      </c>
      <c r="C322" s="3272"/>
      <c r="D322" s="3272"/>
      <c r="E322" s="3272"/>
      <c r="F322" s="3261">
        <v>0.05</v>
      </c>
      <c r="G322" s="3278"/>
    </row>
    <row r="323" spans="1:7">
      <c r="A323" s="3271" t="s">
        <v>306</v>
      </c>
      <c r="B323" s="3260" t="s">
        <v>3231</v>
      </c>
      <c r="C323" s="3272"/>
      <c r="D323" s="3272"/>
      <c r="E323" s="3272"/>
      <c r="F323" s="3261">
        <v>0.05</v>
      </c>
      <c r="G323" s="3278"/>
    </row>
    <row r="324" spans="1:7">
      <c r="A324" s="3271" t="s">
        <v>306</v>
      </c>
      <c r="B324" s="3260" t="s">
        <v>3232</v>
      </c>
      <c r="C324" s="3272"/>
      <c r="D324" s="3272"/>
      <c r="E324" s="3272"/>
      <c r="F324" s="3261">
        <v>0.05</v>
      </c>
      <c r="G324" s="3278"/>
    </row>
    <row r="325" spans="1:7">
      <c r="A325" s="3271" t="s">
        <v>306</v>
      </c>
      <c r="B325" s="3260" t="s">
        <v>3233</v>
      </c>
      <c r="C325" s="3272"/>
      <c r="D325" s="3272"/>
      <c r="E325" s="3272"/>
      <c r="F325" s="3261">
        <v>0.05</v>
      </c>
      <c r="G325" s="3278"/>
    </row>
    <row r="326" spans="1:7" ht="14.25" thickBot="1">
      <c r="A326" s="3274" t="s">
        <v>306</v>
      </c>
      <c r="B326" s="3264" t="s">
        <v>3234</v>
      </c>
      <c r="C326" s="3266"/>
      <c r="D326" s="3266"/>
      <c r="E326" s="3266"/>
      <c r="F326" s="3265">
        <v>0.05</v>
      </c>
      <c r="G326" s="3279"/>
    </row>
    <row r="327" spans="1:7">
      <c r="A327" s="3270" t="s">
        <v>307</v>
      </c>
      <c r="B327" s="3256" t="s">
        <v>2866</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2878</v>
      </c>
      <c r="C329" s="3261">
        <v>0.15</v>
      </c>
      <c r="D329" s="3261">
        <v>0.15</v>
      </c>
      <c r="E329" s="3261">
        <v>0.15</v>
      </c>
      <c r="F329" s="3261">
        <v>0.15</v>
      </c>
      <c r="G329" s="3262">
        <v>0.15</v>
      </c>
    </row>
    <row r="330" spans="1:7">
      <c r="A330" s="3271" t="s">
        <v>307</v>
      </c>
      <c r="B330" s="3260" t="s">
        <v>2882</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2890</v>
      </c>
      <c r="C332" s="3261">
        <v>0.15</v>
      </c>
      <c r="D332" s="3261">
        <v>0.15</v>
      </c>
      <c r="E332" s="3261">
        <v>0.15</v>
      </c>
      <c r="F332" s="3261">
        <v>0.15</v>
      </c>
      <c r="G332" s="3262">
        <v>0.15</v>
      </c>
    </row>
    <row r="333" spans="1:7">
      <c r="A333" s="3271" t="s">
        <v>307</v>
      </c>
      <c r="B333" s="3260" t="s">
        <v>2894</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2900</v>
      </c>
      <c r="C336" s="3261">
        <v>0.15</v>
      </c>
      <c r="D336" s="3261">
        <v>0.15</v>
      </c>
      <c r="E336" s="3261">
        <v>0.15</v>
      </c>
      <c r="F336" s="3261">
        <v>0.14199999999999999</v>
      </c>
      <c r="G336" s="3262">
        <v>0.15</v>
      </c>
    </row>
    <row r="337" spans="1:7">
      <c r="A337" s="3271" t="s">
        <v>307</v>
      </c>
      <c r="B337" s="3260" t="s">
        <v>2905</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2912</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2917</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2925</v>
      </c>
      <c r="C345" s="3261">
        <v>0.15</v>
      </c>
      <c r="D345" s="3261">
        <v>0.15</v>
      </c>
      <c r="E345" s="3261">
        <v>0.15</v>
      </c>
      <c r="F345" s="3261">
        <v>0.13800000000000001</v>
      </c>
      <c r="G345" s="3262">
        <v>0.15</v>
      </c>
    </row>
    <row r="346" spans="1:7">
      <c r="A346" s="3271" t="s">
        <v>307</v>
      </c>
      <c r="B346" s="3260" t="s">
        <v>2927</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2934</v>
      </c>
      <c r="C348" s="3261">
        <v>0.15</v>
      </c>
      <c r="D348" s="3261">
        <v>0.15</v>
      </c>
      <c r="E348" s="3261">
        <v>0.15</v>
      </c>
      <c r="F348" s="3261">
        <v>0.14399999999999999</v>
      </c>
      <c r="G348" s="3262">
        <v>0.15</v>
      </c>
    </row>
    <row r="349" spans="1:7">
      <c r="A349" s="3271" t="s">
        <v>307</v>
      </c>
      <c r="B349" s="3260" t="s">
        <v>2939</v>
      </c>
      <c r="C349" s="3261">
        <v>0.15</v>
      </c>
      <c r="D349" s="3261">
        <v>0.15</v>
      </c>
      <c r="E349" s="3261">
        <v>0.15</v>
      </c>
      <c r="F349" s="3261">
        <v>0.15</v>
      </c>
      <c r="G349" s="3262">
        <v>0.15</v>
      </c>
    </row>
    <row r="350" spans="1:7">
      <c r="A350" s="3271" t="s">
        <v>307</v>
      </c>
      <c r="B350" s="3260" t="s">
        <v>2942</v>
      </c>
      <c r="C350" s="3261">
        <v>0.15</v>
      </c>
      <c r="D350" s="3261">
        <v>0.15</v>
      </c>
      <c r="E350" s="3261">
        <v>0.15</v>
      </c>
      <c r="F350" s="3261">
        <v>0.14699999999999999</v>
      </c>
      <c r="G350" s="3262">
        <v>0.15</v>
      </c>
    </row>
    <row r="351" spans="1:7">
      <c r="A351" s="3271" t="s">
        <v>307</v>
      </c>
      <c r="B351" s="3260" t="s">
        <v>2947</v>
      </c>
      <c r="C351" s="3261">
        <v>0.15</v>
      </c>
      <c r="D351" s="3261">
        <v>0.15</v>
      </c>
      <c r="E351" s="3261">
        <v>0.15</v>
      </c>
      <c r="F351" s="3261">
        <v>0.13</v>
      </c>
      <c r="G351" s="3262">
        <v>0.15</v>
      </c>
    </row>
    <row r="352" spans="1:7">
      <c r="A352" s="3271" t="s">
        <v>307</v>
      </c>
      <c r="B352" s="3260" t="s">
        <v>2952</v>
      </c>
      <c r="C352" s="3261">
        <v>0.15</v>
      </c>
      <c r="D352" s="3261">
        <v>0.15</v>
      </c>
      <c r="E352" s="3261">
        <v>0.15</v>
      </c>
      <c r="F352" s="3261">
        <v>0.14599999999999999</v>
      </c>
      <c r="G352" s="3262">
        <v>0.15</v>
      </c>
    </row>
    <row r="353" spans="1:7">
      <c r="A353" s="3271" t="s">
        <v>307</v>
      </c>
      <c r="B353" s="3260" t="s">
        <v>2959</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2972</v>
      </c>
      <c r="C355" s="3261">
        <v>0.15</v>
      </c>
      <c r="D355" s="3261">
        <v>0.15</v>
      </c>
      <c r="E355" s="3261">
        <v>0.15</v>
      </c>
      <c r="F355" s="3261">
        <v>0.15</v>
      </c>
      <c r="G355" s="3262">
        <v>0.15</v>
      </c>
    </row>
    <row r="356" spans="1:7">
      <c r="A356" s="3271" t="s">
        <v>307</v>
      </c>
      <c r="B356" s="3260" t="s">
        <v>2979</v>
      </c>
      <c r="C356" s="3261">
        <v>0.15</v>
      </c>
      <c r="D356" s="3261">
        <v>0.15</v>
      </c>
      <c r="E356" s="3261">
        <v>0.15</v>
      </c>
      <c r="F356" s="3261">
        <v>0.15</v>
      </c>
      <c r="G356" s="3262">
        <v>0.15</v>
      </c>
    </row>
    <row r="357" spans="1:7" ht="14.25" thickBot="1">
      <c r="A357" s="3274" t="s">
        <v>307</v>
      </c>
      <c r="B357" s="3264" t="s">
        <v>2984</v>
      </c>
      <c r="C357" s="3265">
        <v>0.126</v>
      </c>
      <c r="D357" s="3265">
        <v>0.127</v>
      </c>
      <c r="E357" s="3265">
        <v>0.14299999999999999</v>
      </c>
      <c r="F357" s="3265">
        <v>0.125</v>
      </c>
      <c r="G357" s="3267">
        <v>0.129</v>
      </c>
    </row>
    <row r="358" spans="1:7">
      <c r="A358" s="3270" t="s">
        <v>2853</v>
      </c>
      <c r="B358" s="3256" t="s">
        <v>2867</v>
      </c>
      <c r="C358" s="3257">
        <v>0.15</v>
      </c>
      <c r="D358" s="3257">
        <v>0.15</v>
      </c>
      <c r="E358" s="3257">
        <v>0.15</v>
      </c>
      <c r="F358" s="3257">
        <v>0.15</v>
      </c>
      <c r="G358" s="3258">
        <v>0.15</v>
      </c>
    </row>
    <row r="359" spans="1:7">
      <c r="A359" s="3271" t="s">
        <v>2853</v>
      </c>
      <c r="B359" s="3260" t="s">
        <v>2873</v>
      </c>
      <c r="C359" s="3261">
        <v>0.1</v>
      </c>
      <c r="D359" s="3261">
        <v>0.1</v>
      </c>
      <c r="E359" s="3261">
        <v>0.1</v>
      </c>
      <c r="F359" s="3261">
        <v>0.1</v>
      </c>
      <c r="G359" s="3262">
        <v>0.1</v>
      </c>
    </row>
    <row r="360" spans="1:7">
      <c r="A360" s="3271" t="s">
        <v>2853</v>
      </c>
      <c r="B360" s="3260" t="s">
        <v>2879</v>
      </c>
      <c r="C360" s="3261">
        <v>0.15</v>
      </c>
      <c r="D360" s="3261">
        <v>0.15</v>
      </c>
      <c r="E360" s="3261">
        <v>0.15</v>
      </c>
      <c r="F360" s="3261">
        <v>0.14899999999999999</v>
      </c>
      <c r="G360" s="3262">
        <v>0.15</v>
      </c>
    </row>
    <row r="361" spans="1:7">
      <c r="A361" s="3271" t="s">
        <v>2853</v>
      </c>
      <c r="B361" s="3260" t="s">
        <v>153</v>
      </c>
      <c r="C361" s="3261">
        <v>0.15</v>
      </c>
      <c r="D361" s="3261">
        <v>0.15</v>
      </c>
      <c r="E361" s="3261">
        <v>0.15</v>
      </c>
      <c r="F361" s="3261">
        <v>0.115</v>
      </c>
      <c r="G361" s="3262">
        <v>0.15</v>
      </c>
    </row>
    <row r="362" spans="1:7">
      <c r="A362" s="3271" t="s">
        <v>2853</v>
      </c>
      <c r="B362" s="3260" t="s">
        <v>2886</v>
      </c>
      <c r="C362" s="3261">
        <v>0.15</v>
      </c>
      <c r="D362" s="3261">
        <v>0.15</v>
      </c>
      <c r="E362" s="3261">
        <v>0.15</v>
      </c>
      <c r="F362" s="3261">
        <v>0.106</v>
      </c>
      <c r="G362" s="3262">
        <v>0.15</v>
      </c>
    </row>
    <row r="363" spans="1:7">
      <c r="A363" s="3271" t="s">
        <v>2853</v>
      </c>
      <c r="B363" s="3260" t="s">
        <v>2891</v>
      </c>
      <c r="C363" s="3261">
        <v>0.15</v>
      </c>
      <c r="D363" s="3261">
        <v>0.15</v>
      </c>
      <c r="E363" s="3261">
        <v>0.15</v>
      </c>
      <c r="F363" s="3261">
        <v>0.14699999999999999</v>
      </c>
      <c r="G363" s="3262">
        <v>0.15</v>
      </c>
    </row>
    <row r="364" spans="1:7">
      <c r="A364" s="3271" t="s">
        <v>2853</v>
      </c>
      <c r="B364" s="3260" t="s">
        <v>2895</v>
      </c>
      <c r="C364" s="3261">
        <v>0.15</v>
      </c>
      <c r="D364" s="3261">
        <v>0.15</v>
      </c>
      <c r="E364" s="3261">
        <v>0.15</v>
      </c>
      <c r="F364" s="3261">
        <v>0.14799999999999999</v>
      </c>
      <c r="G364" s="3262">
        <v>0.15</v>
      </c>
    </row>
    <row r="365" spans="1:7">
      <c r="A365" s="3271" t="s">
        <v>2853</v>
      </c>
      <c r="B365" s="3260" t="s">
        <v>200</v>
      </c>
      <c r="C365" s="3261">
        <v>0.15</v>
      </c>
      <c r="D365" s="3261">
        <v>0.15</v>
      </c>
      <c r="E365" s="3261">
        <v>0.15</v>
      </c>
      <c r="F365" s="3261">
        <v>0.15</v>
      </c>
      <c r="G365" s="3262">
        <v>0.15</v>
      </c>
    </row>
    <row r="366" spans="1:7">
      <c r="A366" s="3271" t="s">
        <v>2853</v>
      </c>
      <c r="B366" s="3260" t="s">
        <v>2898</v>
      </c>
      <c r="C366" s="3261">
        <v>0.15</v>
      </c>
      <c r="D366" s="3261">
        <v>0.15</v>
      </c>
      <c r="E366" s="3261">
        <v>0.15</v>
      </c>
      <c r="F366" s="3261">
        <v>0.15</v>
      </c>
      <c r="G366" s="3262">
        <v>0.15</v>
      </c>
    </row>
    <row r="367" spans="1:7">
      <c r="A367" s="3271" t="s">
        <v>2853</v>
      </c>
      <c r="B367" s="3260" t="s">
        <v>2901</v>
      </c>
      <c r="C367" s="3261">
        <v>0.15</v>
      </c>
      <c r="D367" s="3261">
        <v>0.15</v>
      </c>
      <c r="E367" s="3261">
        <v>0.15</v>
      </c>
      <c r="F367" s="3261">
        <v>0.14699999999999999</v>
      </c>
      <c r="G367" s="3262">
        <v>0.15</v>
      </c>
    </row>
    <row r="368" spans="1:7">
      <c r="A368" s="3271" t="s">
        <v>2853</v>
      </c>
      <c r="B368" s="3260" t="s">
        <v>2906</v>
      </c>
      <c r="C368" s="3261">
        <v>0.15</v>
      </c>
      <c r="D368" s="3261">
        <v>0.15</v>
      </c>
      <c r="E368" s="3261">
        <v>0.15</v>
      </c>
      <c r="F368" s="3261">
        <v>0.13600000000000001</v>
      </c>
      <c r="G368" s="3262">
        <v>0.15</v>
      </c>
    </row>
    <row r="369" spans="1:7">
      <c r="A369" s="3271" t="s">
        <v>2853</v>
      </c>
      <c r="B369" s="3260" t="s">
        <v>214</v>
      </c>
      <c r="C369" s="3261">
        <v>0.15</v>
      </c>
      <c r="D369" s="3261">
        <v>0.15</v>
      </c>
      <c r="E369" s="3261">
        <v>0.15</v>
      </c>
      <c r="F369" s="3261">
        <v>0.14399999999999999</v>
      </c>
      <c r="G369" s="3262">
        <v>0.15</v>
      </c>
    </row>
    <row r="370" spans="1:7">
      <c r="A370" s="3271" t="s">
        <v>2853</v>
      </c>
      <c r="B370" s="3260" t="s">
        <v>221</v>
      </c>
      <c r="C370" s="3261">
        <v>0.15</v>
      </c>
      <c r="D370" s="3261">
        <v>0.15</v>
      </c>
      <c r="E370" s="3261">
        <v>0.15</v>
      </c>
      <c r="F370" s="3261">
        <v>0.14599999999999999</v>
      </c>
      <c r="G370" s="3262">
        <v>0.15</v>
      </c>
    </row>
    <row r="371" spans="1:7">
      <c r="A371" s="3271" t="s">
        <v>2853</v>
      </c>
      <c r="B371" s="3260" t="s">
        <v>229</v>
      </c>
      <c r="C371" s="3261">
        <v>0.15</v>
      </c>
      <c r="D371" s="3261">
        <v>0.15</v>
      </c>
      <c r="E371" s="3261">
        <v>0.15</v>
      </c>
      <c r="F371" s="3261">
        <v>0.12</v>
      </c>
      <c r="G371" s="3262">
        <v>0.15</v>
      </c>
    </row>
    <row r="372" spans="1:7">
      <c r="A372" s="3271" t="s">
        <v>2853</v>
      </c>
      <c r="B372" s="3260" t="s">
        <v>2914</v>
      </c>
      <c r="C372" s="3261">
        <v>0.15</v>
      </c>
      <c r="D372" s="3261">
        <v>0.15</v>
      </c>
      <c r="E372" s="3261">
        <v>0.15</v>
      </c>
      <c r="F372" s="3261">
        <v>0.14299999999999999</v>
      </c>
      <c r="G372" s="3262">
        <v>0.15</v>
      </c>
    </row>
    <row r="373" spans="1:7">
      <c r="A373" s="3271" t="s">
        <v>2853</v>
      </c>
      <c r="B373" s="3260" t="s">
        <v>258</v>
      </c>
      <c r="C373" s="3261">
        <v>0.15</v>
      </c>
      <c r="D373" s="3261">
        <v>0.15</v>
      </c>
      <c r="E373" s="3261">
        <v>0.15</v>
      </c>
      <c r="F373" s="3261">
        <v>0.14599999999999999</v>
      </c>
      <c r="G373" s="3262">
        <v>0.15</v>
      </c>
    </row>
    <row r="374" spans="1:7">
      <c r="A374" s="3271" t="s">
        <v>2853</v>
      </c>
      <c r="B374" s="3260" t="s">
        <v>266</v>
      </c>
      <c r="C374" s="3261">
        <v>0.15</v>
      </c>
      <c r="D374" s="3261">
        <v>0.15</v>
      </c>
      <c r="E374" s="3261">
        <v>0.15</v>
      </c>
      <c r="F374" s="3261">
        <v>0.14399999999999999</v>
      </c>
      <c r="G374" s="3262">
        <v>0.15</v>
      </c>
    </row>
    <row r="375" spans="1:7">
      <c r="A375" s="3271" t="s">
        <v>2853</v>
      </c>
      <c r="B375" s="3260" t="s">
        <v>2922</v>
      </c>
      <c r="C375" s="3261">
        <v>0.15</v>
      </c>
      <c r="D375" s="3261">
        <v>0.15</v>
      </c>
      <c r="E375" s="3261">
        <v>0.15</v>
      </c>
      <c r="F375" s="3261">
        <v>0.13</v>
      </c>
      <c r="G375" s="3262">
        <v>0.15</v>
      </c>
    </row>
    <row r="376" spans="1:7">
      <c r="A376" s="3271" t="s">
        <v>2853</v>
      </c>
      <c r="B376" s="3260" t="s">
        <v>277</v>
      </c>
      <c r="C376" s="3261">
        <v>0.15</v>
      </c>
      <c r="D376" s="3261">
        <v>0.15</v>
      </c>
      <c r="E376" s="3261">
        <v>0.15</v>
      </c>
      <c r="F376" s="3261">
        <v>0.14199999999999999</v>
      </c>
      <c r="G376" s="3262">
        <v>0.15</v>
      </c>
    </row>
    <row r="377" spans="1:7" ht="14.25" thickBot="1">
      <c r="A377" s="3274" t="s">
        <v>2853</v>
      </c>
      <c r="B377" s="3264" t="s">
        <v>2928</v>
      </c>
      <c r="C377" s="3265">
        <v>0.15</v>
      </c>
      <c r="D377" s="3265">
        <v>0.15</v>
      </c>
      <c r="E377" s="3265">
        <v>0.15</v>
      </c>
      <c r="F377" s="3265">
        <v>0.14000000000000001</v>
      </c>
      <c r="G377" s="3267">
        <v>0.15</v>
      </c>
    </row>
    <row r="378" spans="1:7">
      <c r="A378" s="3270" t="s">
        <v>2854</v>
      </c>
      <c r="B378" s="3256" t="s">
        <v>2868</v>
      </c>
      <c r="C378" s="3257">
        <v>0.15</v>
      </c>
      <c r="D378" s="3257">
        <v>0.15</v>
      </c>
      <c r="E378" s="3257">
        <v>0.15</v>
      </c>
      <c r="F378" s="3257">
        <v>0.107</v>
      </c>
      <c r="G378" s="3258">
        <v>0.15</v>
      </c>
    </row>
    <row r="379" spans="1:7">
      <c r="A379" s="3271" t="s">
        <v>2854</v>
      </c>
      <c r="B379" s="3260" t="s">
        <v>2874</v>
      </c>
      <c r="C379" s="3261">
        <v>0.15</v>
      </c>
      <c r="D379" s="3261">
        <v>0.15</v>
      </c>
      <c r="E379" s="3261">
        <v>0.15</v>
      </c>
      <c r="F379" s="3261">
        <v>0.115</v>
      </c>
      <c r="G379" s="3262">
        <v>0.14899999999999999</v>
      </c>
    </row>
    <row r="380" spans="1:7">
      <c r="A380" s="3271" t="s">
        <v>2854</v>
      </c>
      <c r="B380" s="3260" t="s">
        <v>2880</v>
      </c>
      <c r="C380" s="3261">
        <v>0.15</v>
      </c>
      <c r="D380" s="3261">
        <v>0.15</v>
      </c>
      <c r="E380" s="3261">
        <v>0.15</v>
      </c>
      <c r="F380" s="3261">
        <v>0.1</v>
      </c>
      <c r="G380" s="3262">
        <v>0.14799999999999999</v>
      </c>
    </row>
    <row r="381" spans="1:7">
      <c r="A381" s="3271" t="s">
        <v>2854</v>
      </c>
      <c r="B381" s="3260" t="s">
        <v>2883</v>
      </c>
      <c r="C381" s="3261">
        <v>0.15</v>
      </c>
      <c r="D381" s="3261">
        <v>0.15</v>
      </c>
      <c r="E381" s="3261">
        <v>0.15</v>
      </c>
      <c r="F381" s="3261">
        <v>0.126</v>
      </c>
      <c r="G381" s="3262">
        <v>0.15</v>
      </c>
    </row>
    <row r="382" spans="1:7">
      <c r="A382" s="3271" t="s">
        <v>2854</v>
      </c>
      <c r="B382" s="3260" t="s">
        <v>2887</v>
      </c>
      <c r="C382" s="3261">
        <v>0.15</v>
      </c>
      <c r="D382" s="3261">
        <v>0.15</v>
      </c>
      <c r="E382" s="3261">
        <v>0.15</v>
      </c>
      <c r="F382" s="3261">
        <v>0.15</v>
      </c>
      <c r="G382" s="3262">
        <v>0.15</v>
      </c>
    </row>
    <row r="383" spans="1:7">
      <c r="A383" s="3271" t="s">
        <v>2854</v>
      </c>
      <c r="B383" s="3260" t="s">
        <v>2892</v>
      </c>
      <c r="C383" s="3261">
        <v>0.15</v>
      </c>
      <c r="D383" s="3261">
        <v>0.15</v>
      </c>
      <c r="E383" s="3261">
        <v>0.15</v>
      </c>
      <c r="F383" s="3261">
        <v>0.14699999999999999</v>
      </c>
      <c r="G383" s="3262">
        <v>0.15</v>
      </c>
    </row>
    <row r="384" spans="1:7" ht="14.25" thickBot="1">
      <c r="A384" s="3281" t="s">
        <v>2854</v>
      </c>
      <c r="B384" s="3282" t="s">
        <v>2896</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6"/>
  </cols>
  <sheetData>
    <row r="1" spans="1:6" ht="15">
      <c r="A1" s="3794" t="s">
        <v>3235</v>
      </c>
      <c r="B1" s="3794"/>
      <c r="C1" s="3794"/>
      <c r="D1" s="3794"/>
      <c r="E1" s="3794"/>
      <c r="F1" s="3795"/>
    </row>
    <row r="2" spans="1:6" ht="15">
      <c r="A2" s="3287" t="s">
        <v>3236</v>
      </c>
      <c r="B2" s="3288"/>
      <c r="C2" s="3288"/>
      <c r="D2" s="3288"/>
      <c r="E2" s="3288"/>
      <c r="F2" s="3288"/>
    </row>
    <row r="3" spans="1:6" ht="15">
      <c r="A3" s="3287" t="s">
        <v>3237</v>
      </c>
      <c r="B3" s="3288"/>
      <c r="C3" s="3288"/>
      <c r="D3" s="3288"/>
      <c r="E3" s="3288"/>
      <c r="F3" s="3289" t="s">
        <v>3238</v>
      </c>
    </row>
    <row r="4" spans="1:6">
      <c r="A4" s="3290" t="s">
        <v>672</v>
      </c>
      <c r="B4" s="3290" t="s">
        <v>673</v>
      </c>
      <c r="C4" s="3290" t="s">
        <v>21</v>
      </c>
      <c r="D4" s="3290" t="s">
        <v>674</v>
      </c>
      <c r="E4" s="3290" t="s">
        <v>3</v>
      </c>
      <c r="F4" s="3290" t="s">
        <v>3239</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A27" sqref="A27:XFD27"/>
    </sheetView>
  </sheetViews>
  <sheetFormatPr defaultRowHeight="13.5"/>
  <cols>
    <col min="1" max="1" width="13.875" customWidth="1"/>
    <col min="11" max="17" width="0" hidden="1" customWidth="1"/>
    <col min="25" max="30" width="0" hidden="1" customWidth="1"/>
  </cols>
  <sheetData>
    <row r="1" spans="1:30">
      <c r="A1" s="3217">
        <f>基准地价修正!G23</f>
        <v>45189</v>
      </c>
      <c r="B1" s="3206" t="s">
        <v>2841</v>
      </c>
      <c r="C1" s="3207"/>
      <c r="D1" s="3207"/>
      <c r="E1" s="3207"/>
      <c r="F1" s="3207"/>
      <c r="G1" s="3207"/>
      <c r="H1" s="3207"/>
      <c r="I1" s="3207"/>
      <c r="J1" s="3161"/>
      <c r="K1" s="3207" t="s">
        <v>454</v>
      </c>
      <c r="L1" s="3207"/>
      <c r="M1" s="3207"/>
      <c r="N1" s="3207"/>
      <c r="O1" s="3207"/>
      <c r="P1" s="3207"/>
      <c r="Q1" s="3161"/>
      <c r="R1" s="3796" t="s">
        <v>456</v>
      </c>
      <c r="S1" s="3797"/>
      <c r="T1" s="3797"/>
      <c r="U1" s="3797"/>
      <c r="V1" s="3797"/>
      <c r="W1" s="3797"/>
      <c r="X1" s="3161"/>
      <c r="Y1" s="3796" t="s">
        <v>457</v>
      </c>
      <c r="Z1" s="3797"/>
      <c r="AA1" s="3797"/>
      <c r="AB1" s="3797"/>
      <c r="AC1" s="3797"/>
      <c r="AD1" s="3797"/>
    </row>
    <row r="2" spans="1:30" s="3139" customFormat="1" ht="14.25" thickBot="1">
      <c r="B2" s="3140"/>
      <c r="C2" s="3141"/>
      <c r="D2" s="3142" t="s">
        <v>2811</v>
      </c>
      <c r="E2" s="3143" t="s">
        <v>2812</v>
      </c>
      <c r="F2" s="3143" t="s">
        <v>2813</v>
      </c>
      <c r="G2" s="3143" t="s">
        <v>2814</v>
      </c>
      <c r="H2" s="3143" t="s">
        <v>2815</v>
      </c>
      <c r="I2" s="3143" t="s">
        <v>2632</v>
      </c>
      <c r="J2" s="3144"/>
      <c r="K2" s="3142" t="s">
        <v>2811</v>
      </c>
      <c r="L2" s="3143" t="s">
        <v>2812</v>
      </c>
      <c r="M2" s="3143" t="s">
        <v>2813</v>
      </c>
      <c r="N2" s="3143" t="s">
        <v>2814</v>
      </c>
      <c r="O2" s="3143" t="s">
        <v>2816</v>
      </c>
      <c r="P2" s="3143" t="s">
        <v>2632</v>
      </c>
      <c r="Q2" s="3144"/>
      <c r="R2" s="3142" t="s">
        <v>2811</v>
      </c>
      <c r="S2" s="3143" t="s">
        <v>2812</v>
      </c>
      <c r="T2" s="3143" t="s">
        <v>2813</v>
      </c>
      <c r="U2" s="3143" t="s">
        <v>2817</v>
      </c>
      <c r="V2" s="3143" t="s">
        <v>2818</v>
      </c>
      <c r="W2" s="3143" t="s">
        <v>2632</v>
      </c>
      <c r="X2" s="3144"/>
      <c r="Y2" s="3142" t="s">
        <v>2811</v>
      </c>
      <c r="Z2" s="3143" t="s">
        <v>2812</v>
      </c>
      <c r="AA2" s="3143" t="s">
        <v>2813</v>
      </c>
      <c r="AB2" s="3143" t="s">
        <v>2819</v>
      </c>
      <c r="AC2" s="3143" t="s">
        <v>2818</v>
      </c>
      <c r="AD2" s="3143" t="s">
        <v>2632</v>
      </c>
    </row>
    <row r="3" spans="1:30" s="3157" customFormat="1" ht="12.75">
      <c r="A3" s="3145" t="s">
        <v>2820</v>
      </c>
      <c r="B3" s="3146"/>
      <c r="C3" s="3147"/>
      <c r="D3" s="3147">
        <f>ROUND(AVERAGEIF(D4:D16,"&lt;&gt;0"),2)</f>
        <v>0.82</v>
      </c>
      <c r="E3" s="3147">
        <f t="shared" ref="E3:H3" si="0">ROUND(AVERAGEIF(E4:E16,"&lt;&gt;0"),2)</f>
        <v>0.38</v>
      </c>
      <c r="F3" s="3147">
        <f t="shared" si="0"/>
        <v>0.2</v>
      </c>
      <c r="G3" s="3147">
        <f t="shared" si="0"/>
        <v>0.89</v>
      </c>
      <c r="H3" s="3147">
        <f t="shared" si="0"/>
        <v>0.64</v>
      </c>
      <c r="I3" s="3147">
        <f>F3</f>
        <v>0.2</v>
      </c>
      <c r="J3" s="3148"/>
      <c r="K3" s="3149">
        <f>ROUND(AVERAGEIF(K4:K16,"&lt;&gt;0"),4)</f>
        <v>8.2000000000000007E-3</v>
      </c>
      <c r="L3" s="3150">
        <f t="shared" ref="L3:O3" si="1">ROUND(AVERAGEIF(L4:L16,"&lt;&gt;0"),4)</f>
        <v>3.8E-3</v>
      </c>
      <c r="M3" s="3150">
        <f t="shared" si="1"/>
        <v>2E-3</v>
      </c>
      <c r="N3" s="3150">
        <f t="shared" si="1"/>
        <v>8.8999999999999999E-3</v>
      </c>
      <c r="O3" s="3150">
        <f t="shared" si="1"/>
        <v>6.4000000000000003E-3</v>
      </c>
      <c r="P3" s="3150">
        <f>M3</f>
        <v>2E-3</v>
      </c>
      <c r="Q3" s="3148"/>
      <c r="R3" s="3151">
        <f>ROUND(SUMPRODUCT(PRODUCT(1+K4:K16)),4)</f>
        <v>1.0763</v>
      </c>
      <c r="S3" s="3152">
        <f t="shared" ref="S3:V3" si="2">ROUND(SUMPRODUCT(PRODUCT(1+L4:L16)),4)</f>
        <v>1.0343</v>
      </c>
      <c r="T3" s="3152">
        <f t="shared" si="2"/>
        <v>1.0177</v>
      </c>
      <c r="U3" s="3152">
        <f t="shared" si="2"/>
        <v>1.0833999999999999</v>
      </c>
      <c r="V3" s="3152">
        <f t="shared" si="2"/>
        <v>1.0592999999999999</v>
      </c>
      <c r="W3" s="3151">
        <f>T3</f>
        <v>1.0177</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3371</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1.0659000000000001</v>
      </c>
      <c r="S5" s="3179">
        <f>ROUND(IF(项目基本情况!$B$8="出让",SUMPRODUCT(PRODUCT(1+L5:$L$16)),SUMPRODUCT(PRODUCT(1+L5:$L$15))),4)</f>
        <v>1.0326</v>
      </c>
      <c r="T5" s="3179">
        <f>ROUND(IF(项目基本情况!$B$8="出让",SUMPRODUCT(PRODUCT(1+M5:$M$16)),SUMPRODUCT(PRODUCT(1+M5:$M$15))),4)</f>
        <v>1.0203</v>
      </c>
      <c r="U5" s="3179">
        <f>ROUND(IF(项目基本情况!$B$8="出让",SUMPRODUCT(PRODUCT(1+N5:$N$16)),SUMPRODUCT(PRODUCT(1+N5:$N$15))),4)</f>
        <v>1.0714999999999999</v>
      </c>
      <c r="V5" s="3179">
        <f>ROUND(IF(项目基本情况!$B$8="出让",SUMPRODUCT(PRODUCT(1+O5:$O$16)),SUMPRODUCT(PRODUCT(1+O5:$O$15))),4)</f>
        <v>1.0555000000000001</v>
      </c>
      <c r="W5" s="3179">
        <f>T5</f>
        <v>1.0203</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3372</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1.0659000000000001</v>
      </c>
      <c r="S6" s="3179">
        <f>ROUND(IF(项目基本情况!$B$8="出让",SUMPRODUCT(PRODUCT(1+L6:$L$16)),SUMPRODUCT(PRODUCT(1+L6:$L$15))),4)</f>
        <v>1.0326</v>
      </c>
      <c r="T6" s="3179">
        <f>ROUND(IF(项目基本情况!$B$8="出让",SUMPRODUCT(PRODUCT(1+M6:$M$16)),SUMPRODUCT(PRODUCT(1+M6:$M$15))),4)</f>
        <v>1.0203</v>
      </c>
      <c r="U6" s="3179">
        <f>ROUND(IF(项目基本情况!$B$8="出让",SUMPRODUCT(PRODUCT(1+N6:$N$16)),SUMPRODUCT(PRODUCT(1+N6:$N$15))),4)</f>
        <v>1.0714999999999999</v>
      </c>
      <c r="V6" s="3179">
        <f>ROUND(IF(项目基本情况!$B$8="出让",SUMPRODUCT(PRODUCT(1+O6:$O$16)),SUMPRODUCT(PRODUCT(1+O6:$O$15))),4)</f>
        <v>1.0555000000000001</v>
      </c>
      <c r="W6" s="3179">
        <f t="shared" ref="W6:W8" si="14">T6</f>
        <v>1.0203</v>
      </c>
      <c r="X6" s="3177"/>
      <c r="Y6" s="3180"/>
      <c r="Z6" s="3180"/>
      <c r="AA6" s="3180"/>
      <c r="AB6" s="3180"/>
      <c r="AC6" s="3180"/>
      <c r="AD6" s="3180"/>
    </row>
    <row r="7" spans="1:30" s="3181" customFormat="1" ht="12.75">
      <c r="A7" s="3172" t="s">
        <v>3370</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1.0659000000000001</v>
      </c>
      <c r="S7" s="3179">
        <f>ROUND(IF(项目基本情况!$B$8="出让",SUMPRODUCT(PRODUCT(1+L7:$L$16)),SUMPRODUCT(PRODUCT(1+L7:$L$15))),4)</f>
        <v>1.0326</v>
      </c>
      <c r="T7" s="3179">
        <f>ROUND(IF(项目基本情况!$B$8="出让",SUMPRODUCT(PRODUCT(1+M7:$M$16)),SUMPRODUCT(PRODUCT(1+M7:$M$15))),4)</f>
        <v>1.0203</v>
      </c>
      <c r="U7" s="3179">
        <f>ROUND(IF(项目基本情况!$B$8="出让",SUMPRODUCT(PRODUCT(1+N7:$N$16)),SUMPRODUCT(PRODUCT(1+N7:$N$15))),4)</f>
        <v>1.0714999999999999</v>
      </c>
      <c r="V7" s="3179">
        <f>ROUND(IF(项目基本情况!$B$8="出让",SUMPRODUCT(PRODUCT(1+O7:$O$16)),SUMPRODUCT(PRODUCT(1+O7:$O$15))),4)</f>
        <v>1.0555000000000001</v>
      </c>
      <c r="W7" s="3179">
        <f t="shared" si="14"/>
        <v>1.0203</v>
      </c>
      <c r="X7" s="3177"/>
      <c r="Y7" s="3180"/>
      <c r="Z7" s="3180"/>
      <c r="AA7" s="3180"/>
      <c r="AB7" s="3180"/>
      <c r="AC7" s="3180"/>
      <c r="AD7" s="3180"/>
    </row>
    <row r="8" spans="1:30" s="3191" customFormat="1" ht="12.75">
      <c r="A8" s="3182" t="s">
        <v>3373</v>
      </c>
      <c r="B8" s="3183">
        <v>2023</v>
      </c>
      <c r="C8" s="3184">
        <v>1</v>
      </c>
      <c r="D8" s="3185">
        <v>0.89</v>
      </c>
      <c r="E8" s="3185">
        <v>0.74</v>
      </c>
      <c r="F8" s="3185">
        <v>0.56999999999999995</v>
      </c>
      <c r="G8" s="3185">
        <v>0.92</v>
      </c>
      <c r="H8" s="3186">
        <v>0.5</v>
      </c>
      <c r="I8" s="3187">
        <f t="shared" si="4"/>
        <v>0.56999999999999995</v>
      </c>
      <c r="J8" s="3188"/>
      <c r="K8" s="3189">
        <f t="shared" si="8"/>
        <v>8.8999999999999999E-3</v>
      </c>
      <c r="L8" s="3190">
        <f t="shared" si="9"/>
        <v>7.4000000000000003E-3</v>
      </c>
      <c r="M8" s="3190">
        <f t="shared" si="10"/>
        <v>5.6999999999999993E-3</v>
      </c>
      <c r="N8" s="3190">
        <f t="shared" si="11"/>
        <v>9.1999999999999998E-3</v>
      </c>
      <c r="O8" s="3190">
        <f t="shared" si="12"/>
        <v>5.0000000000000001E-3</v>
      </c>
      <c r="P8" s="3190">
        <f t="shared" si="13"/>
        <v>5.6999999999999993E-3</v>
      </c>
      <c r="Q8" s="3188"/>
      <c r="R8" s="3188">
        <f>ROUND(IF(项目基本情况!$B$8="出让",SUMPRODUCT(PRODUCT(1+K8:$K$16)),SUMPRODUCT(PRODUCT(1+K8:$K$15))),4)</f>
        <v>1.0659000000000001</v>
      </c>
      <c r="S8" s="3188">
        <f>ROUND(IF(项目基本情况!$B$8="出让",SUMPRODUCT(PRODUCT(1+L8:$L$16)),SUMPRODUCT(PRODUCT(1+L8:$L$15))),4)</f>
        <v>1.0326</v>
      </c>
      <c r="T8" s="3188">
        <f>ROUND(IF(项目基本情况!$B$8="出让",SUMPRODUCT(PRODUCT(1+M8:$M$16)),SUMPRODUCT(PRODUCT(1+M8:$M$15))),4)</f>
        <v>1.0203</v>
      </c>
      <c r="U8" s="3188">
        <f>ROUND(IF(项目基本情况!$B$8="出让",SUMPRODUCT(PRODUCT(1+N8:$N$16)),SUMPRODUCT(PRODUCT(1+N8:$N$15))),4)</f>
        <v>1.0714999999999999</v>
      </c>
      <c r="V8" s="3188">
        <f>ROUND(IF(项目基本情况!$B$8="出让",SUMPRODUCT(PRODUCT(1+O8:$O$16)),SUMPRODUCT(PRODUCT(1+O8:$O$15))),4)</f>
        <v>1.0555000000000001</v>
      </c>
      <c r="W8" s="3188">
        <f t="shared" si="14"/>
        <v>1.0203</v>
      </c>
      <c r="X8" s="3188"/>
      <c r="Y8" s="3190"/>
      <c r="Z8" s="3190"/>
      <c r="AA8" s="3190"/>
      <c r="AB8" s="3190"/>
      <c r="AC8" s="3190"/>
      <c r="AD8" s="3190"/>
    </row>
    <row r="9" spans="1:30" s="3181" customFormat="1" ht="12.75">
      <c r="A9" s="3172" t="s">
        <v>3374</v>
      </c>
      <c r="B9" s="3173">
        <v>2022</v>
      </c>
      <c r="C9" s="3174">
        <v>4</v>
      </c>
      <c r="D9" s="3175">
        <v>0.62</v>
      </c>
      <c r="E9" s="3175">
        <v>0.2</v>
      </c>
      <c r="F9" s="3175">
        <v>0.11</v>
      </c>
      <c r="G9" s="3175">
        <v>0.69</v>
      </c>
      <c r="H9" s="3192">
        <v>0.53</v>
      </c>
      <c r="I9" s="3176">
        <f t="shared" si="4"/>
        <v>0.11</v>
      </c>
      <c r="J9" s="3177"/>
      <c r="K9" s="3178">
        <f t="shared" si="5"/>
        <v>6.1999999999999998E-3</v>
      </c>
      <c r="L9" s="3168">
        <f t="shared" si="5"/>
        <v>2E-3</v>
      </c>
      <c r="M9" s="3168">
        <f t="shared" si="5"/>
        <v>1.1000000000000001E-3</v>
      </c>
      <c r="N9" s="3168">
        <f t="shared" si="5"/>
        <v>6.8999999999999999E-3</v>
      </c>
      <c r="O9" s="3168">
        <f t="shared" si="5"/>
        <v>5.3E-3</v>
      </c>
      <c r="P9" s="3168">
        <f t="shared" ref="P9:P16" si="15">M9</f>
        <v>1.1000000000000001E-3</v>
      </c>
      <c r="Q9" s="3177"/>
      <c r="R9" s="3179">
        <f>ROUND(IF([2]项目基本情况!B8="出让",SUMPRODUCT(PRODUCT(1+K9:K16)),SUMPRODUCT(PRODUCT(1+K9:K15))),4)</f>
        <v>1.0565</v>
      </c>
      <c r="S9" s="3179">
        <f>ROUND(IF([2]项目基本情况!B8="出让",SUMPRODUCT(PRODUCT(1+L9:L16)),SUMPRODUCT(PRODUCT(1+L9:L15))),4)</f>
        <v>1.0250999999999999</v>
      </c>
      <c r="T9" s="3179">
        <f>ROUND(IF([2]项目基本情况!B8="出让",SUMPRODUCT(PRODUCT(1+M9:M16)),SUMPRODUCT(PRODUCT(1+M9:M15))),4)</f>
        <v>1.0145</v>
      </c>
      <c r="U9" s="3179">
        <f>ROUND(IF([2]项目基本情况!B8="出让",SUMPRODUCT(PRODUCT(1+N9:N16)),SUMPRODUCT(PRODUCT(1+N9:N15))),4)</f>
        <v>1.0618000000000001</v>
      </c>
      <c r="V9" s="3179">
        <f>ROUND(IF([2]项目基本情况!B8="出让",SUMPRODUCT(PRODUCT(1+O9:O16)),SUMPRODUCT(PRODUCT(1+O9:O15))),4)</f>
        <v>1.0502</v>
      </c>
      <c r="W9" s="3179">
        <f t="shared" ref="W9:W16" si="16">T9</f>
        <v>1.0145</v>
      </c>
      <c r="X9" s="3177"/>
      <c r="Y9" s="3180">
        <f>IF(D9=0,0,ROUND(AVERAGE(D9:D17)/100,4))</f>
        <v>8.0999999999999996E-3</v>
      </c>
      <c r="Z9" s="3180">
        <f t="shared" ref="Z9:AC9" si="17">IF(E9=0,0,ROUND(AVERAGE(E9:E16)/100,4))</f>
        <v>3.3E-3</v>
      </c>
      <c r="AA9" s="3180">
        <f t="shared" si="17"/>
        <v>1.5E-3</v>
      </c>
      <c r="AB9" s="3180">
        <f t="shared" si="17"/>
        <v>8.8999999999999999E-3</v>
      </c>
      <c r="AC9" s="3180">
        <f t="shared" si="17"/>
        <v>6.6E-3</v>
      </c>
      <c r="AD9" s="3180">
        <f t="shared" si="7"/>
        <v>1.5E-3</v>
      </c>
    </row>
    <row r="10" spans="1:30" s="3181" customFormat="1" ht="12.75">
      <c r="A10" s="3172" t="s">
        <v>3366</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3357</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2821</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2822</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2823</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2824</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2825</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3368</v>
      </c>
    </row>
    <row r="19" spans="1:30" s="3005" customFormat="1">
      <c r="I19" s="3204" t="s">
        <v>2826</v>
      </c>
    </row>
    <row r="20" spans="1:30" s="3005" customFormat="1"/>
    <row r="21" spans="1:30" s="3205" customFormat="1" ht="12.75">
      <c r="B21" s="3206" t="s">
        <v>2827</v>
      </c>
      <c r="C21" s="3207"/>
      <c r="D21" s="3207"/>
      <c r="E21" s="3207"/>
      <c r="F21" s="3207"/>
      <c r="G21" s="3207"/>
      <c r="H21" s="3207"/>
      <c r="I21" s="3207"/>
      <c r="J21" s="3161"/>
      <c r="K21" s="3207" t="s">
        <v>2828</v>
      </c>
      <c r="L21" s="3207"/>
      <c r="M21" s="3207"/>
      <c r="N21" s="3207"/>
      <c r="O21" s="3207"/>
      <c r="P21" s="3207"/>
      <c r="Q21" s="3161"/>
      <c r="R21" s="3796" t="s">
        <v>2829</v>
      </c>
      <c r="S21" s="3797"/>
      <c r="T21" s="3797"/>
      <c r="U21" s="3797"/>
      <c r="V21" s="3797"/>
      <c r="W21" s="3797"/>
      <c r="X21" s="3161"/>
      <c r="Y21" s="3796" t="s">
        <v>2830</v>
      </c>
      <c r="Z21" s="3797"/>
      <c r="AA21" s="3797"/>
      <c r="AB21" s="3797"/>
      <c r="AC21" s="3797"/>
      <c r="AD21" s="3797"/>
    </row>
    <row r="22" spans="1:30" s="3139" customFormat="1" ht="14.25" thickBot="1">
      <c r="B22" s="3140"/>
      <c r="C22" s="3141"/>
      <c r="D22" s="3142" t="s">
        <v>2831</v>
      </c>
      <c r="E22" s="3143" t="s">
        <v>2832</v>
      </c>
      <c r="F22" s="3143" t="s">
        <v>2833</v>
      </c>
      <c r="G22" s="3143" t="s">
        <v>2834</v>
      </c>
      <c r="H22" s="3143"/>
      <c r="I22" s="3143" t="s">
        <v>2835</v>
      </c>
      <c r="J22" s="3144"/>
      <c r="K22" s="3142" t="s">
        <v>2831</v>
      </c>
      <c r="L22" s="3143" t="s">
        <v>2832</v>
      </c>
      <c r="M22" s="3143" t="s">
        <v>2833</v>
      </c>
      <c r="N22" s="3143" t="s">
        <v>2834</v>
      </c>
      <c r="O22" s="3143"/>
      <c r="P22" s="3143" t="s">
        <v>2835</v>
      </c>
      <c r="Q22" s="3144"/>
      <c r="R22" s="3142" t="s">
        <v>2831</v>
      </c>
      <c r="S22" s="3143" t="s">
        <v>2832</v>
      </c>
      <c r="T22" s="3143" t="s">
        <v>2833</v>
      </c>
      <c r="U22" s="3143" t="s">
        <v>2834</v>
      </c>
      <c r="V22" s="3143"/>
      <c r="W22" s="3143" t="s">
        <v>2835</v>
      </c>
      <c r="X22" s="3144"/>
      <c r="Y22" s="3142" t="s">
        <v>2831</v>
      </c>
      <c r="Z22" s="3143" t="s">
        <v>2832</v>
      </c>
      <c r="AA22" s="3143" t="s">
        <v>2833</v>
      </c>
      <c r="AB22" s="3143" t="s">
        <v>2834</v>
      </c>
      <c r="AC22" s="3143"/>
      <c r="AD22" s="3143" t="s">
        <v>2835</v>
      </c>
    </row>
    <row r="23" spans="1:30" s="3157" customFormat="1" ht="12.75">
      <c r="A23" s="3145" t="s">
        <v>2836</v>
      </c>
      <c r="B23" s="3146"/>
      <c r="C23" s="3147"/>
      <c r="D23" s="3147"/>
      <c r="E23" s="3147">
        <f t="shared" ref="E23:G23" si="22">ROUND(AVERAGEIF(E24:E36,"&lt;&gt;0"),2)</f>
        <v>0.42</v>
      </c>
      <c r="F23" s="3147">
        <f t="shared" si="22"/>
        <v>0.32</v>
      </c>
      <c r="G23" s="3147">
        <f t="shared" si="22"/>
        <v>0.75</v>
      </c>
      <c r="H23" s="3147"/>
      <c r="I23" s="3147">
        <f>F23</f>
        <v>0.32</v>
      </c>
      <c r="J23" s="3148"/>
      <c r="K23" s="3149"/>
      <c r="L23" s="3150">
        <f t="shared" ref="L23:N23" si="23">ROUND(AVERAGEIF(L24:L36,"&lt;&gt;0"),4)</f>
        <v>4.1999999999999997E-3</v>
      </c>
      <c r="M23" s="3150">
        <f t="shared" si="23"/>
        <v>3.2000000000000002E-3</v>
      </c>
      <c r="N23" s="3150">
        <f t="shared" si="23"/>
        <v>7.4999999999999997E-3</v>
      </c>
      <c r="O23" s="3150"/>
      <c r="P23" s="3150">
        <f>M23</f>
        <v>3.2000000000000002E-3</v>
      </c>
      <c r="Q23" s="3148"/>
      <c r="R23" s="3151"/>
      <c r="S23" s="3152">
        <f>ROUND(SUMPRODUCT(PRODUCT(1+L24:L36)),4)</f>
        <v>1.0431999999999999</v>
      </c>
      <c r="T23" s="3152">
        <f t="shared" ref="T23:U23" si="24">ROUND(SUMPRODUCT(PRODUCT(1+M24:M36)),4)</f>
        <v>1.0319</v>
      </c>
      <c r="U23" s="3152">
        <f t="shared" si="24"/>
        <v>1.0771999999999999</v>
      </c>
      <c r="V23" s="3152"/>
      <c r="W23" s="3151">
        <f>T23</f>
        <v>1.0319</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3371</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1.0396000000000001</v>
      </c>
      <c r="T25" s="3179">
        <f>ROUND(IF([2]项目基本情况!$B$8="出让",SUMPRODUCT(PRODUCT(1+M25:M$36)),SUMPRODUCT(PRODUCT(1+M25:M$35))),4)</f>
        <v>1.0269999999999999</v>
      </c>
      <c r="U25" s="3179">
        <f>ROUND(IF([2]项目基本情况!$B$8="出让",SUMPRODUCT(PRODUCT(1+N25:N$36)),SUMPRODUCT(PRODUCT(1+N25:N$35))),4)</f>
        <v>1.0668</v>
      </c>
      <c r="V25" s="3179"/>
      <c r="W25" s="3179">
        <f>T25</f>
        <v>1.0269999999999999</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3372</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1.0396000000000001</v>
      </c>
      <c r="T26" s="3179">
        <f>ROUND(IF([2]项目基本情况!$B$8="出让",SUMPRODUCT(PRODUCT(1+M26:M$36)),SUMPRODUCT(PRODUCT(1+M26:M$35))),4)</f>
        <v>1.0269999999999999</v>
      </c>
      <c r="U26" s="3179">
        <f>ROUND(IF([2]项目基本情况!$B$8="出让",SUMPRODUCT(PRODUCT(1+N26:N$36)),SUMPRODUCT(PRODUCT(1+N26:N$35))),4)</f>
        <v>1.0668</v>
      </c>
      <c r="V26" s="3179"/>
      <c r="W26" s="3179">
        <f t="shared" ref="W26:W28" si="32">T26</f>
        <v>1.0269999999999999</v>
      </c>
      <c r="X26" s="3177"/>
      <c r="Y26" s="3180"/>
      <c r="Z26" s="3208"/>
      <c r="AA26" s="3445"/>
      <c r="AB26" s="3445"/>
      <c r="AC26" s="3209"/>
      <c r="AD26" s="3180"/>
    </row>
    <row r="27" spans="1:30" s="3464" customFormat="1" ht="12.75">
      <c r="A27" s="3453" t="s">
        <v>3421</v>
      </c>
      <c r="B27" s="3454">
        <v>2023</v>
      </c>
      <c r="C27" s="3455">
        <v>2</v>
      </c>
      <c r="D27" s="3455"/>
      <c r="E27" s="3455">
        <v>0.5</v>
      </c>
      <c r="F27" s="3455">
        <v>0.45</v>
      </c>
      <c r="G27" s="3455">
        <v>0.89</v>
      </c>
      <c r="H27" s="3456"/>
      <c r="I27" s="3457">
        <f t="shared" si="26"/>
        <v>0.45</v>
      </c>
      <c r="J27" s="3458"/>
      <c r="K27" s="3459"/>
      <c r="L27" s="3460">
        <f t="shared" si="28"/>
        <v>5.0000000000000001E-3</v>
      </c>
      <c r="M27" s="3460">
        <f t="shared" si="29"/>
        <v>4.5000000000000005E-3</v>
      </c>
      <c r="N27" s="3460">
        <f t="shared" si="30"/>
        <v>8.8999999999999999E-3</v>
      </c>
      <c r="O27" s="3460"/>
      <c r="P27" s="3460">
        <f t="shared" si="31"/>
        <v>4.5000000000000005E-3</v>
      </c>
      <c r="Q27" s="3458"/>
      <c r="R27" s="3458"/>
      <c r="S27" s="3458">
        <f>ROUND(IF([3]项目基本情况!$B$8="出让",SUMPRODUCT(PRODUCT(1+L27:L$36)),SUMPRODUCT(PRODUCT(1+L27:L$35))),4)</f>
        <v>1.0396000000000001</v>
      </c>
      <c r="T27" s="3458">
        <f>ROUND(IF([3]项目基本情况!$B$8="出让",SUMPRODUCT(PRODUCT(1+M27:M$36)),SUMPRODUCT(PRODUCT(1+M27:M$35))),4)</f>
        <v>1.0269999999999999</v>
      </c>
      <c r="U27" s="3458">
        <f>ROUND(IF([3]项目基本情况!$B$8="出让",SUMPRODUCT(PRODUCT(1+N27:N$36)),SUMPRODUCT(PRODUCT(1+N27:N$35))),4)</f>
        <v>1.0668</v>
      </c>
      <c r="V27" s="3458"/>
      <c r="W27" s="3458">
        <f t="shared" si="32"/>
        <v>1.0269999999999999</v>
      </c>
      <c r="X27" s="3458"/>
      <c r="Y27" s="3460"/>
      <c r="Z27" s="3461"/>
      <c r="AA27" s="3462"/>
      <c r="AB27" s="3460"/>
      <c r="AC27" s="3463"/>
      <c r="AD27" s="3460"/>
    </row>
    <row r="28" spans="1:30" s="3191" customFormat="1" ht="12.75">
      <c r="A28" s="3182" t="s">
        <v>3373</v>
      </c>
      <c r="B28" s="3183">
        <v>2023</v>
      </c>
      <c r="C28" s="3184">
        <v>1</v>
      </c>
      <c r="D28" s="3185"/>
      <c r="E28" s="3185">
        <v>0.55000000000000004</v>
      </c>
      <c r="F28" s="3185">
        <v>0.59</v>
      </c>
      <c r="G28" s="3185">
        <v>0.64</v>
      </c>
      <c r="H28" s="3186"/>
      <c r="I28" s="3187">
        <f t="shared" si="26"/>
        <v>0.59</v>
      </c>
      <c r="J28" s="3188"/>
      <c r="K28" s="3189"/>
      <c r="L28" s="3190">
        <f t="shared" si="28"/>
        <v>5.5000000000000005E-3</v>
      </c>
      <c r="M28" s="3190">
        <f t="shared" si="29"/>
        <v>5.8999999999999999E-3</v>
      </c>
      <c r="N28" s="3190">
        <f t="shared" si="30"/>
        <v>6.4000000000000003E-3</v>
      </c>
      <c r="O28" s="3190"/>
      <c r="P28" s="3190">
        <f t="shared" si="31"/>
        <v>5.8999999999999999E-3</v>
      </c>
      <c r="Q28" s="3188"/>
      <c r="R28" s="3188"/>
      <c r="S28" s="3188">
        <f>ROUND(IF([2]项目基本情况!$B$8="出让",SUMPRODUCT(PRODUCT(1+L28:L$36)),SUMPRODUCT(PRODUCT(1+L28:L$35))),4)</f>
        <v>1.0344</v>
      </c>
      <c r="T28" s="3188">
        <f>ROUND(IF([2]项目基本情况!$B$8="出让",SUMPRODUCT(PRODUCT(1+M28:M$36)),SUMPRODUCT(PRODUCT(1+M28:M$35))),4)</f>
        <v>1.0224</v>
      </c>
      <c r="U28" s="3188">
        <f>ROUND(IF([2]项目基本情况!$B$8="出让",SUMPRODUCT(PRODUCT(1+N28:N$36)),SUMPRODUCT(PRODUCT(1+N28:N$35))),4)</f>
        <v>1.0573999999999999</v>
      </c>
      <c r="V28" s="3188"/>
      <c r="W28" s="3188">
        <f t="shared" si="32"/>
        <v>1.0224</v>
      </c>
      <c r="X28" s="3188"/>
      <c r="Y28" s="3190"/>
      <c r="Z28" s="3211"/>
      <c r="AA28" s="3212"/>
      <c r="AB28" s="3190"/>
      <c r="AC28" s="3213"/>
      <c r="AD28" s="3190"/>
    </row>
    <row r="29" spans="1:30" s="3181" customFormat="1" ht="12.75">
      <c r="A29" s="3172" t="s">
        <v>3374</v>
      </c>
      <c r="B29" s="3173">
        <v>2022</v>
      </c>
      <c r="C29" s="3174">
        <v>4</v>
      </c>
      <c r="D29" s="3175"/>
      <c r="E29" s="3175">
        <v>0.45</v>
      </c>
      <c r="F29" s="3175">
        <v>0.2</v>
      </c>
      <c r="G29" s="3175">
        <v>0.38</v>
      </c>
      <c r="H29" s="3192"/>
      <c r="I29" s="3176">
        <f t="shared" si="26"/>
        <v>0.2</v>
      </c>
      <c r="J29" s="3177"/>
      <c r="K29" s="3178"/>
      <c r="L29" s="3168">
        <f t="shared" si="27"/>
        <v>4.5000000000000005E-3</v>
      </c>
      <c r="M29" s="3168">
        <f t="shared" si="27"/>
        <v>2E-3</v>
      </c>
      <c r="N29" s="3168">
        <f t="shared" si="27"/>
        <v>3.8E-3</v>
      </c>
      <c r="O29" s="3168"/>
      <c r="P29" s="3168">
        <f t="shared" ref="P29:P36" si="33">M29</f>
        <v>2E-3</v>
      </c>
      <c r="Q29" s="3177"/>
      <c r="R29" s="3179"/>
      <c r="S29" s="3179">
        <f>ROUND(IF([2]项目基本情况!$B$8="出让",SUMPRODUCT(PRODUCT(1+L29:L$36)),SUMPRODUCT(PRODUCT(1+L29:L$35))),4)</f>
        <v>1.0286999999999999</v>
      </c>
      <c r="T29" s="3179">
        <f>ROUND(IF([2]项目基本情况!$B$8="出让",SUMPRODUCT(PRODUCT(1+M29:M$36)),SUMPRODUCT(PRODUCT(1+M29:M$35))),4)</f>
        <v>1.0164</v>
      </c>
      <c r="U29" s="3179">
        <f>ROUND(IF([2]项目基本情况!$B$8="出让",SUMPRODUCT(PRODUCT(1+N29:N$36)),SUMPRODUCT(PRODUCT(1+N29:N$35))),4)</f>
        <v>1.0506</v>
      </c>
      <c r="V29" s="3179"/>
      <c r="W29" s="3179">
        <f t="shared" ref="W29:W36" si="34">T29</f>
        <v>1.0164</v>
      </c>
      <c r="X29" s="3177"/>
      <c r="Y29" s="3180"/>
      <c r="Z29" s="3208">
        <f t="shared" ref="Z29:AD36" si="35">IF(E29=0,0,ROUND(AVERAGE(E29:E37)/100,4))</f>
        <v>4.0000000000000001E-3</v>
      </c>
      <c r="AA29" s="3210">
        <f t="shared" si="35"/>
        <v>2.5999999999999999E-3</v>
      </c>
      <c r="AB29" s="3180">
        <f t="shared" si="35"/>
        <v>7.4000000000000003E-3</v>
      </c>
      <c r="AC29" s="3209"/>
      <c r="AD29" s="3180">
        <f t="shared" si="35"/>
        <v>2.5999999999999999E-3</v>
      </c>
    </row>
    <row r="30" spans="1:30" s="3181" customFormat="1" ht="12.75">
      <c r="A30" s="3172" t="s">
        <v>3367</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3357</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2837</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2838</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2839</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2840</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2825</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3369</v>
      </c>
    </row>
  </sheetData>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03" t="s">
        <v>452</v>
      </c>
      <c r="C1" s="3803"/>
      <c r="D1" s="3803"/>
      <c r="E1" s="3803"/>
      <c r="F1" s="3803"/>
      <c r="G1" s="3799" t="s">
        <v>453</v>
      </c>
      <c r="H1" s="3799"/>
      <c r="I1" s="3799"/>
      <c r="J1" s="3799"/>
      <c r="K1" s="3799"/>
      <c r="L1" s="3799"/>
      <c r="N1" s="3799" t="s">
        <v>454</v>
      </c>
      <c r="O1" s="3799"/>
      <c r="P1" s="3799"/>
      <c r="Q1" s="3799"/>
      <c r="S1" s="3799" t="s">
        <v>455</v>
      </c>
      <c r="T1" s="3799"/>
      <c r="U1" s="3799"/>
      <c r="V1" s="3799"/>
      <c r="X1" s="3798" t="s">
        <v>456</v>
      </c>
      <c r="Y1" s="3799"/>
      <c r="Z1" s="3799"/>
      <c r="AA1" s="3799"/>
      <c r="AB1" s="3799"/>
      <c r="AD1" s="3798" t="s">
        <v>457</v>
      </c>
      <c r="AE1" s="3799"/>
      <c r="AF1" s="3799"/>
      <c r="AG1" s="3799"/>
      <c r="AH1" s="3799"/>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2114</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3365</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2">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3362</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2">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2115</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3363</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2">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3364</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2">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2437</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1">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2314</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6">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2313</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5">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2312</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9">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2310</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8">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2309</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5">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2130</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2128</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2127</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2126</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2124</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2123</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2125</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01">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2121</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01"/>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2120</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01"/>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2113</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08"/>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2111</v>
      </c>
      <c r="B25" s="2217">
        <v>439</v>
      </c>
      <c r="C25" s="2217">
        <v>327</v>
      </c>
      <c r="D25" s="2217">
        <f>C25</f>
        <v>327</v>
      </c>
      <c r="E25" s="2217">
        <v>627</v>
      </c>
      <c r="F25" s="2218">
        <v>283</v>
      </c>
      <c r="G25" s="3804">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2112</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01"/>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01"/>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08"/>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04">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01"/>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01"/>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02"/>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00">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01"/>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01"/>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02"/>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00">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01"/>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01"/>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02"/>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05">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06"/>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06"/>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07"/>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00">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01"/>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01"/>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02"/>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00">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01">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01">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02">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00">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01">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01">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02">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00">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01">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01">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02">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00">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01">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01">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02">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00">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01">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01">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02">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00">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01">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01">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02">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00">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01">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01">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02">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00">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01">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01">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02">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00">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01">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01">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02">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00">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01">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01">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02">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45189</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7">
        <v>44795</v>
      </c>
      <c r="D13" s="2818">
        <v>3.65</v>
      </c>
      <c r="E13" s="2818">
        <f>D13</f>
        <v>3.65</v>
      </c>
      <c r="F13" s="2818">
        <f>D13</f>
        <v>3.65</v>
      </c>
      <c r="G13" s="2818">
        <f>D13</f>
        <v>3.65</v>
      </c>
      <c r="H13" s="2818">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2"/>
      <c r="C14" s="2814">
        <v>44701</v>
      </c>
      <c r="D14" s="2813">
        <v>3.7</v>
      </c>
      <c r="E14" s="2813">
        <f>D14</f>
        <v>3.7</v>
      </c>
      <c r="F14" s="2813">
        <f>D14</f>
        <v>3.7</v>
      </c>
      <c r="G14" s="2813">
        <f>D14</f>
        <v>3.7</v>
      </c>
      <c r="H14" s="2813">
        <v>4.45</v>
      </c>
      <c r="I14" s="2818"/>
      <c r="J14" s="281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2"/>
      <c r="C15" s="2814">
        <v>44581</v>
      </c>
      <c r="D15" s="2813">
        <v>3.7</v>
      </c>
      <c r="E15" s="2813">
        <f>D15</f>
        <v>3.7</v>
      </c>
      <c r="F15" s="2813">
        <f>D15</f>
        <v>3.7</v>
      </c>
      <c r="G15" s="2813">
        <f>D15</f>
        <v>3.7</v>
      </c>
      <c r="H15" s="2813">
        <v>4.5999999999999996</v>
      </c>
      <c r="I15" s="2818"/>
      <c r="J15" s="281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3"/>
      <c r="C16" s="2814">
        <v>44550</v>
      </c>
      <c r="D16" s="2813">
        <v>3.8</v>
      </c>
      <c r="E16" s="2813">
        <f>D16</f>
        <v>3.8</v>
      </c>
      <c r="F16" s="2813">
        <f>D16</f>
        <v>3.8</v>
      </c>
      <c r="G16" s="2813">
        <f>D16</f>
        <v>3.8</v>
      </c>
      <c r="H16" s="2813">
        <v>4.6500000000000004</v>
      </c>
      <c r="I16" s="2813"/>
      <c r="J16" s="2818"/>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3"/>
      <c r="C17" s="2814">
        <v>43941</v>
      </c>
      <c r="D17" s="2813">
        <v>3.85</v>
      </c>
      <c r="E17" s="2813">
        <v>3.85</v>
      </c>
      <c r="F17" s="2813">
        <v>3.85</v>
      </c>
      <c r="G17" s="2813">
        <v>3.85</v>
      </c>
      <c r="H17" s="2813">
        <v>4.6500000000000004</v>
      </c>
      <c r="I17" s="2813"/>
      <c r="J17" s="2813"/>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4"/>
      <c r="B19" s="2813"/>
      <c r="C19" s="2814">
        <v>43789</v>
      </c>
      <c r="D19" s="2813">
        <v>4.1500000000000004</v>
      </c>
      <c r="E19" s="2813">
        <v>4.1500000000000004</v>
      </c>
      <c r="F19" s="2813">
        <v>4.1500000000000004</v>
      </c>
      <c r="G19" s="2813">
        <v>4.1500000000000004</v>
      </c>
      <c r="H19" s="2813">
        <v>4.8</v>
      </c>
      <c r="I19" s="2813"/>
      <c r="J19" s="281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3"/>
      <c r="C20" s="2814">
        <v>43728</v>
      </c>
      <c r="D20" s="2813">
        <v>4.2</v>
      </c>
      <c r="E20" s="2813">
        <v>4.2</v>
      </c>
      <c r="F20" s="2813">
        <v>4.2</v>
      </c>
      <c r="G20" s="2813">
        <v>4.2</v>
      </c>
      <c r="H20" s="2813">
        <v>4.8499999999999996</v>
      </c>
      <c r="I20" s="2813"/>
      <c r="J20" s="281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2" t="s">
        <v>2311</v>
      </c>
      <c r="C21" s="2815">
        <v>43697</v>
      </c>
      <c r="D21" s="2816">
        <v>4.25</v>
      </c>
      <c r="E21" s="2816">
        <v>4.25</v>
      </c>
      <c r="F21" s="2816">
        <v>4.25</v>
      </c>
      <c r="G21" s="2816">
        <v>4.25</v>
      </c>
      <c r="H21" s="2816">
        <v>4.8499999999999996</v>
      </c>
      <c r="I21" s="2816"/>
      <c r="J21" s="2816"/>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9"/>
      <c r="B22" s="2820"/>
      <c r="C22" s="2821">
        <v>42301</v>
      </c>
      <c r="D22" s="2822">
        <v>4.3499999999999996</v>
      </c>
      <c r="E22" s="2822">
        <v>4.3499999999999996</v>
      </c>
      <c r="F22" s="2822">
        <v>4.75</v>
      </c>
      <c r="G22" s="2822">
        <v>4.75</v>
      </c>
      <c r="H22" s="2822">
        <v>4.9000000000000004</v>
      </c>
      <c r="I22" s="2822"/>
      <c r="J22" s="2822"/>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0" t="str">
        <f>IF(项目基本情况!B9="房地产市场价值","估价结果一览表","结果表-2")</f>
        <v>结果表-2</v>
      </c>
      <c r="B1" s="3480"/>
      <c r="C1" s="3480"/>
      <c r="D1" s="3480"/>
      <c r="E1" s="3480"/>
      <c r="F1" s="3480"/>
      <c r="G1" s="3480"/>
      <c r="H1" s="3480"/>
      <c r="I1" s="3480"/>
    </row>
    <row r="2" spans="1:9" ht="30" customHeight="1" thickTop="1">
      <c r="A2" s="3481" t="s">
        <v>928</v>
      </c>
      <c r="B2" s="3481" t="s">
        <v>929</v>
      </c>
      <c r="C2" s="3481" t="s">
        <v>930</v>
      </c>
      <c r="D2" s="3481" t="str">
        <f>结果表!D116</f>
        <v>出让国有建设用地使用权价值</v>
      </c>
      <c r="E2" s="3481"/>
      <c r="F2" s="3481" t="str">
        <f>结果表!F116</f>
        <v>在建建筑物价值</v>
      </c>
      <c r="G2" s="3481"/>
      <c r="H2" s="3481" t="str">
        <f>IF(项目基本情况!B9="房地产市场价值","房地产市场价值","房地产价值")</f>
        <v>房地产价值</v>
      </c>
      <c r="I2" s="3481"/>
    </row>
    <row r="3" spans="1:9" ht="15">
      <c r="A3" s="3482"/>
      <c r="B3" s="3482"/>
      <c r="C3" s="3482"/>
      <c r="D3" s="854" t="s">
        <v>925</v>
      </c>
      <c r="E3" s="854" t="s">
        <v>931</v>
      </c>
      <c r="F3" s="854" t="s">
        <v>925</v>
      </c>
      <c r="G3" s="854" t="s">
        <v>926</v>
      </c>
      <c r="H3" s="854" t="s">
        <v>925</v>
      </c>
      <c r="I3" s="854" t="s">
        <v>926</v>
      </c>
    </row>
    <row r="4" spans="1:9" ht="15">
      <c r="A4" s="1505" t="str">
        <f>项目基本情况!S2</f>
        <v>房地产</v>
      </c>
      <c r="B4" s="854">
        <f>项目基本情况!C17</f>
        <v>90.08</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2" t="s">
        <v>927</v>
      </c>
      <c r="B5" s="3482"/>
      <c r="C5" s="3482"/>
      <c r="D5" s="3482" t="e">
        <f ca="1">结果表!D119</f>
        <v>#REF!</v>
      </c>
      <c r="E5" s="3482"/>
      <c r="F5" s="3482" t="e">
        <f ca="1">结果表!F119</f>
        <v>#REF!</v>
      </c>
      <c r="G5" s="3482"/>
      <c r="H5" s="3482" t="e">
        <f ca="1">结果表!H119</f>
        <v>#REF!</v>
      </c>
      <c r="I5" s="3482"/>
    </row>
    <row r="6" spans="1:9" ht="15.75">
      <c r="A6" s="3483" t="str">
        <f>结果表!A120</f>
        <v>估价师知悉的法定优先受偿款</v>
      </c>
      <c r="B6" s="3483"/>
      <c r="C6" s="3483"/>
      <c r="D6" s="3483">
        <f>结果表!D120</f>
        <v>0</v>
      </c>
      <c r="E6" s="3483"/>
      <c r="F6" s="3483"/>
      <c r="G6" s="3483"/>
      <c r="H6" s="3483"/>
      <c r="I6" s="3483"/>
    </row>
    <row r="7" spans="1:9" ht="15">
      <c r="A7" s="3482" t="s">
        <v>927</v>
      </c>
      <c r="B7" s="3482"/>
      <c r="C7" s="3482"/>
      <c r="D7" s="3484" t="str">
        <f>结果表!D121</f>
        <v>零元整</v>
      </c>
      <c r="E7" s="3485"/>
      <c r="F7" s="3485"/>
      <c r="G7" s="3485"/>
      <c r="H7" s="3485"/>
      <c r="I7" s="3486"/>
    </row>
    <row r="8" spans="1:9" ht="15.75">
      <c r="A8" s="3483" t="str">
        <f>结果表!A122</f>
        <v>房地产抵押价值</v>
      </c>
      <c r="B8" s="3483"/>
      <c r="C8" s="3483"/>
      <c r="D8" s="3483" t="e">
        <f ca="1">结果表!D122</f>
        <v>#REF!</v>
      </c>
      <c r="E8" s="3483"/>
      <c r="F8" s="3483"/>
      <c r="G8" s="3483"/>
      <c r="H8" s="3483"/>
      <c r="I8" s="3483"/>
    </row>
    <row r="9" spans="1:9" ht="15">
      <c r="A9" s="3482" t="s">
        <v>927</v>
      </c>
      <c r="B9" s="3482"/>
      <c r="C9" s="3482"/>
      <c r="D9" s="3482" t="e">
        <f ca="1">结果表!D123</f>
        <v>#REF!</v>
      </c>
      <c r="E9" s="3482"/>
      <c r="F9" s="3482"/>
      <c r="G9" s="3482"/>
      <c r="H9" s="3482"/>
      <c r="I9" s="3482"/>
    </row>
    <row r="10" spans="1:9" ht="15.75">
      <c r="A10" s="3483" t="str">
        <f>结果表!A124</f>
        <v/>
      </c>
      <c r="B10" s="3483"/>
      <c r="C10" s="3483"/>
      <c r="D10" s="3483" t="str">
        <f>结果表!D124</f>
        <v>——</v>
      </c>
      <c r="E10" s="3483"/>
      <c r="F10" s="3483"/>
      <c r="G10" s="3483"/>
      <c r="H10" s="3483"/>
      <c r="I10" s="3483"/>
    </row>
    <row r="11" spans="1:9" ht="15">
      <c r="A11" s="3482" t="s">
        <v>927</v>
      </c>
      <c r="B11" s="3482"/>
      <c r="C11" s="3482"/>
      <c r="D11" s="3482" t="e">
        <f>结果表!D125</f>
        <v>#VALUE!</v>
      </c>
      <c r="E11" s="3482"/>
      <c r="F11" s="3482"/>
      <c r="G11" s="3482"/>
      <c r="H11" s="3482"/>
      <c r="I11" s="3482"/>
    </row>
    <row r="12" spans="1:9" ht="15.75">
      <c r="A12" s="3483" t="str">
        <f>结果表!A126</f>
        <v/>
      </c>
      <c r="B12" s="3483"/>
      <c r="C12" s="3483"/>
      <c r="D12" s="3483" t="str">
        <f>结果表!D126</f>
        <v>——</v>
      </c>
      <c r="E12" s="3483"/>
      <c r="F12" s="3483"/>
      <c r="G12" s="3483"/>
      <c r="H12" s="3483"/>
      <c r="I12" s="3483"/>
    </row>
    <row r="13" spans="1:9" ht="15.75" thickBot="1">
      <c r="A13" s="3487" t="s">
        <v>927</v>
      </c>
      <c r="B13" s="3487"/>
      <c r="C13" s="3487"/>
      <c r="D13" s="3487" t="e">
        <f>结果表!D127</f>
        <v>#VALUE!</v>
      </c>
      <c r="E13" s="3487"/>
      <c r="F13" s="3487"/>
      <c r="G13" s="3487"/>
      <c r="H13" s="3487"/>
      <c r="I13" s="3487"/>
    </row>
    <row r="14" spans="1:9" ht="15" thickTop="1">
      <c r="A14" s="3488" t="s">
        <v>932</v>
      </c>
      <c r="B14" s="3488"/>
      <c r="C14" s="3488"/>
      <c r="D14" s="3488"/>
      <c r="E14" s="3488"/>
      <c r="F14" s="3488"/>
      <c r="G14" s="3488"/>
      <c r="H14" s="3488"/>
      <c r="I14" s="348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9" t="s">
        <v>949</v>
      </c>
      <c r="B1" s="3489"/>
      <c r="C1" s="3489"/>
      <c r="D1" s="3489"/>
    </row>
    <row r="2" spans="1:4" ht="18">
      <c r="A2" s="3490" t="s">
        <v>933</v>
      </c>
      <c r="B2" s="3490"/>
      <c r="C2" s="3490"/>
      <c r="D2" s="349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0" t="s">
        <v>939</v>
      </c>
      <c r="B6" s="3490"/>
      <c r="C6" s="3490"/>
      <c r="D6" s="349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1" t="s">
        <v>942</v>
      </c>
      <c r="B11" s="3492"/>
      <c r="C11" s="3492"/>
      <c r="D11" s="3492"/>
    </row>
    <row r="12" spans="1:4" ht="15.75">
      <c r="A12" s="34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3"/>
      <c r="C12" s="3493"/>
      <c r="D12" s="3493"/>
    </row>
    <row r="13" spans="1:4" ht="30" customHeight="1">
      <c r="A13" s="3492" t="str">
        <f>IF(项目基本情况!B8="抵押","3.抵押双方在办理抵押登记手续时，应使用本公司出具的正式《房地产评估报告》，特提醒报告使用者注意。","——")</f>
        <v>——</v>
      </c>
      <c r="B13" s="3493"/>
      <c r="C13" s="3493"/>
      <c r="D13" s="3493"/>
    </row>
    <row r="14" spans="1:4" ht="15.75" customHeight="1">
      <c r="A14" s="3492" t="str">
        <f>IF(项目基本情况!B8="抵押","4.本次评估估价师所知悉的法定优先受偿款情况说明如下：","——")</f>
        <v>——</v>
      </c>
      <c r="B14" s="3493"/>
      <c r="C14" s="3493"/>
      <c r="D14" s="3493"/>
    </row>
    <row r="15" spans="1:4" ht="42" customHeight="1">
      <c r="A15" s="3492" t="str">
        <f>IF(项目基本情况!B8="抵押","（1）"&amp;CONCATENATE(项目基本情况!L20,项目基本情况!L21,项目基本情况!L22),"——")</f>
        <v>——</v>
      </c>
      <c r="B15" s="3492"/>
      <c r="C15" s="3492"/>
      <c r="D15" s="3492"/>
    </row>
    <row r="16" spans="1:4" ht="30" customHeight="1">
      <c r="A16" s="3495" t="s">
        <v>943</v>
      </c>
      <c r="B16" s="3495"/>
      <c r="C16" s="3495"/>
      <c r="D16" s="3495"/>
    </row>
    <row r="17" spans="1:4" ht="144" customHeight="1">
      <c r="A17" s="3495" t="s">
        <v>944</v>
      </c>
      <c r="B17" s="3495"/>
      <c r="C17" s="3495"/>
      <c r="D17" s="3495"/>
    </row>
    <row r="18" spans="1:4" ht="15.75" customHeight="1">
      <c r="A18" s="3492" t="str">
        <f>IF(项目基本情况!B8="抵押",结果表!K120,"——")</f>
        <v>——</v>
      </c>
      <c r="B18" s="3492"/>
      <c r="C18" s="3492"/>
      <c r="D18" s="3492"/>
    </row>
    <row r="19" spans="1:4" ht="46.5" customHeight="1">
      <c r="A19" s="34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spans="1:4" ht="57.75" customHeight="1">
      <c r="A20" s="34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2"/>
      <c r="C20" s="3492"/>
      <c r="D20" s="3492"/>
    </row>
    <row r="21" spans="1:4" ht="57.75" customHeight="1">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6"/>
      <c r="C21" s="3496"/>
      <c r="D21" s="3496"/>
    </row>
    <row r="22" spans="1:4" ht="18.75" customHeight="1">
      <c r="A22" s="3497" t="s">
        <v>945</v>
      </c>
      <c r="B22" s="3497"/>
      <c r="C22" s="3497"/>
      <c r="D22" s="349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4">
        <v>42551</v>
      </c>
      <c r="D31" s="34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3" t="s">
        <v>956</v>
      </c>
      <c r="B15" s="3498" t="s">
        <v>109</v>
      </c>
      <c r="C15" s="3499"/>
    </row>
    <row r="16" spans="1:7" ht="13.5">
      <c r="A16" s="3504"/>
      <c r="B16" s="3498" t="s">
        <v>42</v>
      </c>
      <c r="C16" s="3499"/>
    </row>
    <row r="17" spans="1:3" ht="13.5">
      <c r="A17" s="3504"/>
      <c r="B17" s="3501" t="s">
        <v>957</v>
      </c>
      <c r="C17" s="1532" t="s">
        <v>956</v>
      </c>
    </row>
    <row r="18" spans="1:3" ht="13.5">
      <c r="A18" s="3504"/>
      <c r="B18" s="3501"/>
      <c r="C18" s="1532" t="s">
        <v>958</v>
      </c>
    </row>
    <row r="19" spans="1:3" ht="13.5">
      <c r="A19" s="3504"/>
      <c r="B19" s="3501"/>
      <c r="C19" s="1532" t="s">
        <v>959</v>
      </c>
    </row>
    <row r="20" spans="1:3" ht="13.5">
      <c r="A20" s="3505"/>
      <c r="B20" s="3500" t="s">
        <v>960</v>
      </c>
      <c r="C20" s="3499"/>
    </row>
    <row r="21" spans="1:3" ht="13.5">
      <c r="A21" s="1533" t="s">
        <v>961</v>
      </c>
      <c r="B21" s="1534"/>
      <c r="C21" s="1535"/>
    </row>
    <row r="22" spans="1:3" ht="13.5">
      <c r="A22" s="3502" t="s">
        <v>962</v>
      </c>
      <c r="B22" s="3500" t="s">
        <v>963</v>
      </c>
      <c r="C22" s="3499"/>
    </row>
    <row r="23" spans="1:3" ht="13.5">
      <c r="A23" s="3502"/>
      <c r="B23" s="3500" t="s">
        <v>964</v>
      </c>
      <c r="C23" s="3499"/>
    </row>
    <row r="24" spans="1:3" ht="13.5">
      <c r="A24" s="3502"/>
      <c r="B24" s="3500" t="s">
        <v>965</v>
      </c>
      <c r="C24" s="3499"/>
    </row>
    <row r="25" spans="1:3" ht="13.5">
      <c r="A25" s="3502"/>
      <c r="B25" s="3501" t="s">
        <v>966</v>
      </c>
      <c r="C25" s="1532" t="s">
        <v>967</v>
      </c>
    </row>
    <row r="26" spans="1:3" ht="13.5">
      <c r="A26" s="3502"/>
      <c r="B26" s="3501"/>
      <c r="C26" s="1532" t="s">
        <v>968</v>
      </c>
    </row>
    <row r="27" spans="1:3" ht="13.5">
      <c r="A27" s="3502"/>
      <c r="B27" s="3501"/>
      <c r="C27" s="1532" t="s">
        <v>969</v>
      </c>
    </row>
    <row r="28" spans="1:3" ht="13.5">
      <c r="A28" s="3502"/>
      <c r="B28" s="3501"/>
      <c r="C28" s="1532" t="s">
        <v>970</v>
      </c>
    </row>
    <row r="29" spans="1:3" ht="13.5">
      <c r="A29" s="3502"/>
      <c r="B29" s="3501"/>
      <c r="C29" s="1532" t="s">
        <v>971</v>
      </c>
    </row>
    <row r="30" spans="1:3" ht="13.5">
      <c r="A30" s="3502"/>
      <c r="B30" s="3501"/>
      <c r="C30" s="1532" t="s">
        <v>972</v>
      </c>
    </row>
    <row r="31" spans="1:3" ht="13.5">
      <c r="A31" s="3502"/>
      <c r="B31" s="3501"/>
      <c r="C31" s="1532" t="s">
        <v>973</v>
      </c>
    </row>
    <row r="32" spans="1:3" ht="13.5">
      <c r="A32" s="3502"/>
      <c r="B32" s="3501"/>
      <c r="C32" s="1532" t="s">
        <v>974</v>
      </c>
    </row>
    <row r="33" spans="1:3" ht="13.5">
      <c r="A33" s="3502"/>
      <c r="B33" s="350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2139</v>
      </c>
      <c r="B2" s="2336">
        <f ca="1">TODAY()</f>
        <v>45211</v>
      </c>
      <c r="C2" s="2337" t="s">
        <v>2140</v>
      </c>
      <c r="D2" s="2337"/>
      <c r="E2" s="2337"/>
      <c r="F2" s="2333"/>
      <c r="G2" s="2333"/>
      <c r="H2" s="2333"/>
    </row>
    <row r="3" spans="1:8" ht="24" customHeight="1">
      <c r="A3" s="2338" t="s">
        <v>2141</v>
      </c>
      <c r="B3" s="2339" t="s">
        <v>2142</v>
      </c>
      <c r="C3" s="2339" t="s">
        <v>2143</v>
      </c>
      <c r="D3" s="2340" t="s">
        <v>2144</v>
      </c>
      <c r="E3" s="2341" t="s">
        <v>2145</v>
      </c>
      <c r="F3" s="1304" t="s">
        <v>2146</v>
      </c>
      <c r="G3" s="2339" t="s">
        <v>2143</v>
      </c>
      <c r="H3" s="2340" t="s">
        <v>2147</v>
      </c>
    </row>
    <row r="4" spans="1:8" ht="24" customHeight="1">
      <c r="A4" s="1304" t="s">
        <v>2148</v>
      </c>
      <c r="B4" s="1304">
        <f ca="1">IF(C4&lt;B2,"已过期",1119970066)</f>
        <v>1119970066</v>
      </c>
      <c r="C4" s="2342">
        <v>45937</v>
      </c>
      <c r="D4" s="2343" t="str">
        <f ca="1">A4&amp;"（注册号："&amp;B4&amp;"）"</f>
        <v>梁津（注册号：1119970066）</v>
      </c>
      <c r="E4" s="2344" t="s">
        <v>2148</v>
      </c>
      <c r="F4" s="1304">
        <f ca="1">IF(G4&lt;B2,"已过期",96010014)</f>
        <v>96010014</v>
      </c>
      <c r="G4" s="2345">
        <v>47118</v>
      </c>
      <c r="H4" s="2346" t="str">
        <f ca="1">E4&amp;"（注册号："&amp;F4&amp;"）"</f>
        <v>梁津（注册号：96010014）</v>
      </c>
    </row>
    <row r="5" spans="1:8" ht="24" customHeight="1">
      <c r="A5" s="1304" t="s">
        <v>2149</v>
      </c>
      <c r="B5" s="1304">
        <f ca="1">IF(C5&lt;B2,"已过期",1119970111)</f>
        <v>1119970111</v>
      </c>
      <c r="C5" s="2342">
        <v>45937</v>
      </c>
      <c r="D5" s="2343" t="str">
        <f t="shared" ref="D5:D15" ca="1" si="0">A5&amp;"（注册号："&amp;B5&amp;"）"</f>
        <v>叶凌（注册号：1119970111）</v>
      </c>
      <c r="E5" s="2344" t="s">
        <v>2149</v>
      </c>
      <c r="F5" s="1304">
        <f ca="1">IF(G5&lt;B2,"已过期",94010078)</f>
        <v>94010078</v>
      </c>
      <c r="G5" s="2345">
        <v>46387</v>
      </c>
      <c r="H5" s="2346" t="str">
        <f t="shared" ref="H5:H16" ca="1" si="1">E5&amp;"（注册号："&amp;F5&amp;"）"</f>
        <v>叶凌（注册号：94010078）</v>
      </c>
    </row>
    <row r="6" spans="1:8" ht="24" customHeight="1">
      <c r="A6" s="1304" t="s">
        <v>2150</v>
      </c>
      <c r="B6" s="1304">
        <f ca="1">IF(C6&lt;B2,"已过期",1120050019)</f>
        <v>1120050019</v>
      </c>
      <c r="C6" s="2342">
        <v>45410</v>
      </c>
      <c r="D6" s="2343" t="str">
        <f t="shared" ca="1" si="0"/>
        <v>王鹏（注册号：1120050019）</v>
      </c>
      <c r="E6" s="2344" t="s">
        <v>2150</v>
      </c>
      <c r="F6" s="1304">
        <f ca="1">IF(G6&lt;B2,"已过期",2002110030)</f>
        <v>2002110030</v>
      </c>
      <c r="G6" s="2345">
        <v>46387</v>
      </c>
      <c r="H6" s="2346" t="str">
        <f t="shared" ca="1" si="1"/>
        <v>王鹏（注册号：2002110030）</v>
      </c>
    </row>
    <row r="7" spans="1:8" ht="24" customHeight="1">
      <c r="A7" s="1304" t="s">
        <v>2151</v>
      </c>
      <c r="B7" s="1304">
        <f ca="1">IF(C7&lt;B2,"已过期",1120000080)</f>
        <v>1120000080</v>
      </c>
      <c r="C7" s="2342">
        <v>45937</v>
      </c>
      <c r="D7" s="2343" t="str">
        <f t="shared" ca="1" si="0"/>
        <v>欧红伟（注册号：1120000080）</v>
      </c>
      <c r="E7" s="2344" t="s">
        <v>2151</v>
      </c>
      <c r="F7" s="1304">
        <f ca="1">IF(G7&lt;B2,"已过期",2000110082)</f>
        <v>2000110082</v>
      </c>
      <c r="G7" s="2345">
        <v>46387</v>
      </c>
      <c r="H7" s="2346" t="str">
        <f t="shared" ca="1" si="1"/>
        <v>欧红伟（注册号：2000110082）</v>
      </c>
    </row>
    <row r="8" spans="1:8" ht="24" customHeight="1">
      <c r="A8" s="1304" t="s">
        <v>2152</v>
      </c>
      <c r="B8" s="1304">
        <f ca="1">IF(C8&lt;B2,"已过期",1419970001)</f>
        <v>1419970001</v>
      </c>
      <c r="C8" s="2342">
        <v>45937</v>
      </c>
      <c r="D8" s="2343" t="str">
        <f t="shared" ca="1" si="0"/>
        <v>吴薇（注册号：1419970001）</v>
      </c>
      <c r="E8" s="2344" t="s">
        <v>2152</v>
      </c>
      <c r="F8" s="1304">
        <f ca="1">IF(G8&lt;B2,"已过期",2002110125)</f>
        <v>2002110125</v>
      </c>
      <c r="G8" s="2345">
        <v>47118</v>
      </c>
      <c r="H8" s="2346" t="str">
        <f t="shared" ca="1" si="1"/>
        <v>吴薇（注册号：2002110125）</v>
      </c>
    </row>
    <row r="9" spans="1:8" ht="24" customHeight="1">
      <c r="A9" s="1304" t="s">
        <v>2153</v>
      </c>
      <c r="B9" s="1304">
        <f ca="1">IF(C9&lt;B2,"已过期",1120060040)</f>
        <v>1120060040</v>
      </c>
      <c r="C9" s="2347">
        <v>45592</v>
      </c>
      <c r="D9" s="2343" t="str">
        <f t="shared" ca="1" si="0"/>
        <v>陈颖（注册号：1120060040）</v>
      </c>
      <c r="E9" s="2344" t="s">
        <v>2153</v>
      </c>
      <c r="F9" s="1304">
        <f ca="1">IF(G9&lt;B2,"已过期",2004110096)</f>
        <v>2004110096</v>
      </c>
      <c r="G9" s="2345">
        <v>47118</v>
      </c>
      <c r="H9" s="2346" t="str">
        <f t="shared" ca="1" si="1"/>
        <v>陈颖（注册号：2004110096）</v>
      </c>
    </row>
    <row r="10" spans="1:8" ht="24" customHeight="1">
      <c r="A10" s="1304" t="s">
        <v>2154</v>
      </c>
      <c r="B10" s="1304">
        <f ca="1">IF(C10&lt;B2,"已过期",1120100036)</f>
        <v>1120100036</v>
      </c>
      <c r="C10" s="2347">
        <v>45752</v>
      </c>
      <c r="D10" s="2343" t="str">
        <f t="shared" ca="1" si="0"/>
        <v>崔锴（注册号：1120100036）</v>
      </c>
      <c r="E10" s="2344" t="s">
        <v>2154</v>
      </c>
      <c r="F10" s="1304">
        <f ca="1">IF(G10&lt;B2,"已过期",2010110070)</f>
        <v>2010110070</v>
      </c>
      <c r="G10" s="2345">
        <v>47907</v>
      </c>
      <c r="H10" s="2346" t="str">
        <f t="shared" ca="1" si="1"/>
        <v>崔锴（注册号：2010110070）</v>
      </c>
    </row>
    <row r="11" spans="1:8" ht="24" customHeight="1">
      <c r="A11" s="1304" t="s">
        <v>2155</v>
      </c>
      <c r="B11" s="1304">
        <f ca="1">IF(C11&lt;B2,"已过期",1120070131)</f>
        <v>1120070131</v>
      </c>
      <c r="C11" s="2342">
        <v>45937</v>
      </c>
      <c r="D11" s="2343" t="str">
        <f t="shared" ca="1" si="0"/>
        <v>郑燚（注册号：1120070131）</v>
      </c>
      <c r="E11" s="2344" t="s">
        <v>2155</v>
      </c>
      <c r="F11" s="1304">
        <f ca="1">IF(G11&lt;B2,"已过期",2014110011)</f>
        <v>2014110011</v>
      </c>
      <c r="G11" s="2345">
        <v>49302</v>
      </c>
      <c r="H11" s="2346" t="str">
        <f t="shared" ca="1" si="1"/>
        <v>郑燚（注册号：2014110011）</v>
      </c>
    </row>
    <row r="12" spans="1:8" ht="24" customHeight="1">
      <c r="A12" s="1304" t="s">
        <v>2156</v>
      </c>
      <c r="B12" s="1304">
        <f ca="1">IF(C12&lt;B2,"已过期",1120040230)</f>
        <v>1120040230</v>
      </c>
      <c r="C12" s="2347">
        <v>45937</v>
      </c>
      <c r="D12" s="2343" t="str">
        <f t="shared" ca="1" si="0"/>
        <v>苏海（注册号：1120040230）</v>
      </c>
      <c r="E12" s="2344" t="s">
        <v>2156</v>
      </c>
      <c r="F12" s="1304">
        <f ca="1">IF(G12&lt;B2,"已过期",98030020)</f>
        <v>98030020</v>
      </c>
      <c r="G12" s="2345">
        <v>47118</v>
      </c>
      <c r="H12" s="2346" t="str">
        <f t="shared" ca="1" si="1"/>
        <v>苏海（注册号：98030020）</v>
      </c>
    </row>
    <row r="13" spans="1:8" ht="24" customHeight="1">
      <c r="A13" s="1304" t="s">
        <v>2157</v>
      </c>
      <c r="B13" s="1304">
        <f ca="1">IF(C13&lt;B2,"已过期",1120020033)</f>
        <v>1120020033</v>
      </c>
      <c r="C13" s="2342">
        <v>45375</v>
      </c>
      <c r="D13" s="2343" t="str">
        <f t="shared" ca="1" si="0"/>
        <v>刘敬东（注册号：1120020033）</v>
      </c>
      <c r="E13" s="2344" t="s">
        <v>2157</v>
      </c>
      <c r="F13" s="1304">
        <f ca="1">IF(G13&lt;B2,"已过期",2000110137)</f>
        <v>2000110137</v>
      </c>
      <c r="G13" s="2345">
        <v>46387</v>
      </c>
      <c r="H13" s="2346" t="str">
        <f t="shared" ca="1" si="1"/>
        <v>刘敬东（注册号：2000110137）</v>
      </c>
    </row>
    <row r="14" spans="1:8" ht="24" customHeight="1">
      <c r="A14" s="1304" t="s">
        <v>2158</v>
      </c>
      <c r="B14" s="1304" t="str">
        <f ca="1">IF(C14&lt;B2,"已过期",1119980106)</f>
        <v>已过期</v>
      </c>
      <c r="C14" s="2347">
        <v>44969</v>
      </c>
      <c r="D14" s="2343" t="str">
        <f t="shared" ca="1" si="0"/>
        <v>刘俊财（注册号：已过期）</v>
      </c>
      <c r="E14" s="2344" t="s">
        <v>2158</v>
      </c>
      <c r="F14" s="1304">
        <f ca="1">IF(G14&lt;B2,"已过期",96010063)</f>
        <v>96010063</v>
      </c>
      <c r="G14" s="2345">
        <v>47483</v>
      </c>
      <c r="H14" s="2346" t="str">
        <f t="shared" ca="1" si="1"/>
        <v>刘俊财（注册号：96010063）</v>
      </c>
    </row>
    <row r="15" spans="1:8" ht="24" customHeight="1">
      <c r="A15" s="1304" t="s">
        <v>2438</v>
      </c>
      <c r="B15" s="1304">
        <v>1120210056</v>
      </c>
      <c r="C15" s="2347">
        <v>45410</v>
      </c>
      <c r="D15" s="2343" t="str">
        <f t="shared" si="0"/>
        <v>宁小鳗（注册号：1120210056）</v>
      </c>
      <c r="E15" s="2344" t="s">
        <v>2159</v>
      </c>
      <c r="F15" s="1304">
        <f ca="1">IF(G15&lt;B2,"已过期",2011110090)</f>
        <v>2011110090</v>
      </c>
      <c r="G15" s="2345">
        <v>48302</v>
      </c>
      <c r="H15" s="2346" t="str">
        <f t="shared" ca="1" si="1"/>
        <v>赵雯（注册号：2011110090）</v>
      </c>
    </row>
    <row r="16" spans="1:8" s="2349" customFormat="1" ht="24" customHeight="1">
      <c r="A16" s="1304"/>
      <c r="B16" s="1304"/>
      <c r="C16" s="1304"/>
      <c r="D16" s="2343" t="str">
        <f>A16&amp;"（注册号："&amp;B16&amp;"）"</f>
        <v>（注册号：）</v>
      </c>
      <c r="E16" s="2344"/>
      <c r="F16" s="1304"/>
      <c r="G16" s="1304"/>
      <c r="H16" s="2348" t="str">
        <f t="shared" si="1"/>
        <v>（注册号：）</v>
      </c>
    </row>
    <row r="17" spans="1:8" ht="24" customHeight="1">
      <c r="A17" s="3506" t="s">
        <v>2160</v>
      </c>
      <c r="B17" s="3506"/>
      <c r="C17" s="3506"/>
      <c r="D17" s="3506"/>
      <c r="E17" s="3506"/>
      <c r="F17" s="3506"/>
      <c r="G17" s="3506"/>
      <c r="H17" s="3506"/>
    </row>
    <row r="18" spans="1:8" ht="24" customHeight="1">
      <c r="A18" s="3507" t="s">
        <v>2161</v>
      </c>
      <c r="B18" s="3507"/>
      <c r="C18" s="3507"/>
      <c r="D18" s="2340"/>
      <c r="E18" s="3508" t="s">
        <v>2162</v>
      </c>
      <c r="F18" s="3507"/>
      <c r="G18" s="3507"/>
    </row>
    <row r="19" spans="1:8" s="2351" customFormat="1" ht="24" customHeight="1">
      <c r="A19" s="2350" t="s">
        <v>2163</v>
      </c>
      <c r="B19" s="2339" t="s">
        <v>2164</v>
      </c>
      <c r="C19" s="2339" t="s">
        <v>2143</v>
      </c>
      <c r="D19" s="2340"/>
      <c r="E19" s="2344" t="s">
        <v>2163</v>
      </c>
      <c r="F19" s="2339" t="s">
        <v>2164</v>
      </c>
      <c r="G19" s="2339" t="s">
        <v>2143</v>
      </c>
    </row>
    <row r="20" spans="1:8" s="2351" customFormat="1" ht="24" customHeight="1">
      <c r="A20" s="2352" t="s">
        <v>2165</v>
      </c>
      <c r="B20" s="2352" t="s">
        <v>2166</v>
      </c>
      <c r="C20" s="2345">
        <v>45898</v>
      </c>
      <c r="D20" s="2353"/>
      <c r="E20" s="2354" t="s">
        <v>2167</v>
      </c>
      <c r="F20" s="2357" t="s">
        <v>2439</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2023-10-12T09:10:50Z</dcterms:modified>
</cp:coreProperties>
</file>