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18房山西潞东里\"/>
    </mc:Choice>
  </mc:AlternateContent>
  <xr:revisionPtr revIDLastSave="0" documentId="13_ncr:1_{0EF10D8C-8EB2-4943-A545-5C03F0418517}" xr6:coauthVersionLast="45" xr6:coauthVersionMax="45" xr10:uidLastSave="{00000000-0000-0000-0000-000000000000}"/>
  <bookViews>
    <workbookView xWindow="-8685" yWindow="-45" windowWidth="17580"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9" l="1"/>
  <c r="D9" i="69"/>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D20" i="9"/>
  <c r="G20" i="9"/>
  <c r="E14" i="74"/>
  <c r="D14" i="74"/>
  <c r="G24" i="9"/>
  <c r="N21" i="1"/>
  <c r="N19" i="1"/>
  <c r="N6" i="1"/>
  <c r="C37" i="21"/>
  <c r="E37" i="21"/>
  <c r="F37" i="21"/>
  <c r="AA37" i="21"/>
  <c r="R48" i="21"/>
  <c r="G37" i="21"/>
  <c r="H37" i="21"/>
  <c r="AB37" i="21"/>
  <c r="T48" i="21"/>
  <c r="I37" i="21"/>
  <c r="J37" i="21"/>
  <c r="AC37" i="21"/>
  <c r="V48" i="21"/>
  <c r="R49" i="21"/>
  <c r="C49" i="21"/>
  <c r="B3" i="21"/>
  <c r="C19" i="69"/>
  <c r="D73" i="43"/>
  <c r="D75" i="43"/>
  <c r="E72" i="43"/>
  <c r="B70" i="43"/>
  <c r="C28" i="43"/>
  <c r="C33" i="43"/>
  <c r="C6" i="69"/>
  <c r="C7" i="69"/>
  <c r="N16" i="1"/>
  <c r="F50" i="69"/>
  <c r="B14" i="74"/>
  <c r="M27" i="79"/>
  <c r="T27" i="79"/>
  <c r="W27" i="79"/>
  <c r="N27" i="79"/>
  <c r="U27" i="79"/>
  <c r="L27" i="79"/>
  <c r="S27" i="79"/>
  <c r="P27" i="79"/>
  <c r="I27" i="79"/>
  <c r="E59" i="21"/>
  <c r="F59" i="21"/>
  <c r="G59" i="21"/>
  <c r="H59" i="21"/>
  <c r="I59" i="21"/>
  <c r="J59" i="21"/>
  <c r="K59" i="21"/>
  <c r="L59" i="21"/>
  <c r="M59" i="21"/>
  <c r="N59" i="21"/>
  <c r="O59" i="21"/>
  <c r="P59" i="21"/>
  <c r="Q59" i="21"/>
  <c r="D59" i="21"/>
  <c r="I5" i="21"/>
  <c r="G5" i="21"/>
  <c r="E5" i="21"/>
  <c r="D3" i="4"/>
  <c r="D14" i="9"/>
  <c r="B2" i="1"/>
  <c r="G23" i="43"/>
  <c r="S25" i="79"/>
  <c r="T25" i="79"/>
  <c r="U25" i="79"/>
  <c r="W25" i="79"/>
  <c r="S26" i="79"/>
  <c r="T26" i="79"/>
  <c r="U26" i="79"/>
  <c r="W26" i="79"/>
  <c r="C23" i="43"/>
  <c r="C15" i="4"/>
  <c r="F6" i="1"/>
  <c r="I24" i="43"/>
  <c r="C24" i="43"/>
  <c r="C13" i="43"/>
  <c r="C6" i="43"/>
  <c r="C5" i="43"/>
  <c r="D72" i="43"/>
  <c r="D33" i="43"/>
  <c r="M14" i="4"/>
  <c r="K44" i="67"/>
  <c r="J44" i="67"/>
  <c r="J43" i="67"/>
  <c r="J52" i="67"/>
  <c r="Y6" i="1"/>
  <c r="G1" i="69"/>
  <c r="B29" i="1"/>
  <c r="F19" i="6"/>
  <c r="A7" i="1"/>
  <c r="B7" i="1"/>
  <c r="E7" i="1"/>
  <c r="A8" i="1"/>
  <c r="B8" i="1"/>
  <c r="E8" i="1"/>
  <c r="A9" i="1"/>
  <c r="B9" i="1"/>
  <c r="E9" i="1"/>
  <c r="A10" i="1"/>
  <c r="B10" i="1"/>
  <c r="E10" i="1"/>
  <c r="A11" i="1"/>
  <c r="B11" i="1"/>
  <c r="E11" i="1"/>
  <c r="A12" i="1"/>
  <c r="B12" i="1"/>
  <c r="E12" i="1"/>
  <c r="A13" i="1"/>
  <c r="B13" i="1"/>
  <c r="E13" i="1"/>
  <c r="A6" i="1"/>
  <c r="B6" i="1"/>
  <c r="E6" i="1"/>
  <c r="M26" i="79"/>
  <c r="P26" i="79"/>
  <c r="L26" i="79"/>
  <c r="N26" i="79"/>
  <c r="L28" i="79"/>
  <c r="M28" i="79"/>
  <c r="N28" i="79"/>
  <c r="I26"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8" i="79"/>
  <c r="W28" i="79"/>
  <c r="AB23" i="79"/>
  <c r="S28" i="79"/>
  <c r="U29"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R3" i="79"/>
  <c r="Z23" i="79"/>
  <c r="S29" i="79"/>
  <c r="T30" i="79"/>
  <c r="W30"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B19" i="53"/>
  <c r="B37" i="72"/>
  <c r="C7" i="39"/>
  <c r="C67" i="39"/>
  <c r="C7" i="35"/>
  <c r="C7" i="33"/>
  <c r="C7" i="21"/>
  <c r="C7" i="40"/>
  <c r="C63" i="40"/>
  <c r="M47" i="9"/>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F37" i="67"/>
  <c r="F7" i="15"/>
  <c r="E7" i="76"/>
  <c r="F8" i="67"/>
  <c r="F43" i="15"/>
  <c r="B10" i="76"/>
  <c r="F37" i="15"/>
  <c r="D35" i="9"/>
  <c r="L47" i="15"/>
  <c r="E13" i="76"/>
  <c r="E9" i="76"/>
  <c r="L48" i="15"/>
  <c r="M6" i="67"/>
  <c r="M8" i="67"/>
  <c r="F9" i="67"/>
  <c r="B9" i="76"/>
  <c r="K1" i="73"/>
  <c r="D4" i="73"/>
  <c r="C21" i="69"/>
  <c r="C30" i="69"/>
  <c r="C48" i="69"/>
  <c r="F6" i="15"/>
  <c r="F8" i="15"/>
  <c r="F9" i="15"/>
  <c r="C6" i="15"/>
  <c r="F4" i="73"/>
  <c r="I1" i="73"/>
  <c r="B39" i="1"/>
  <c r="F11" i="15"/>
  <c r="C10" i="15"/>
  <c r="C5" i="15"/>
  <c r="C32" i="15"/>
  <c r="C33" i="15"/>
  <c r="R7" i="1"/>
  <c r="F35" i="15"/>
  <c r="C34" i="15"/>
  <c r="C31" i="15"/>
  <c r="C14" i="15"/>
  <c r="C15" i="15"/>
  <c r="F16" i="15"/>
  <c r="C16" i="15"/>
  <c r="C17" i="15"/>
  <c r="C18" i="15"/>
  <c r="C19" i="15"/>
  <c r="C20" i="15"/>
  <c r="F24" i="15"/>
  <c r="C23" i="15"/>
  <c r="F26" i="15"/>
  <c r="C26" i="15"/>
  <c r="C24" i="15"/>
  <c r="C27" i="15"/>
  <c r="C29" i="15"/>
  <c r="F36" i="15"/>
  <c r="C36" i="15"/>
  <c r="F13" i="15"/>
  <c r="C13" i="15"/>
  <c r="C37" i="15"/>
  <c r="F38" i="15"/>
  <c r="C38" i="15"/>
  <c r="C30" i="15"/>
  <c r="C39" i="15"/>
  <c r="F42" i="15"/>
  <c r="F40" i="15"/>
  <c r="AE7" i="1"/>
  <c r="F41" i="15"/>
  <c r="C40" i="15"/>
  <c r="M6" i="15"/>
  <c r="M8" i="15"/>
  <c r="M7" i="15"/>
  <c r="M9" i="15"/>
  <c r="J6" i="15"/>
  <c r="M11" i="15"/>
  <c r="J10" i="15"/>
  <c r="J5" i="15"/>
  <c r="J26" i="15"/>
  <c r="J29" i="15"/>
  <c r="J57" i="15"/>
  <c r="J55" i="15"/>
  <c r="J58" i="15"/>
  <c r="J59" i="15"/>
  <c r="J53" i="15"/>
  <c r="J60" i="15"/>
  <c r="L46" i="15"/>
  <c r="B2" i="15"/>
  <c r="F6" i="67"/>
  <c r="F7"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C37" i="67"/>
  <c r="F38" i="67"/>
  <c r="C38" i="67"/>
  <c r="C30" i="67"/>
  <c r="C39" i="67"/>
  <c r="F42" i="67"/>
  <c r="F40" i="67"/>
  <c r="L48" i="67"/>
  <c r="J53" i="67"/>
  <c r="F1" i="67"/>
  <c r="AE6" i="1"/>
  <c r="F41" i="67"/>
  <c r="C40" i="67"/>
  <c r="M7" i="67"/>
  <c r="M9" i="67"/>
  <c r="J6" i="67"/>
  <c r="M11" i="67"/>
  <c r="J10" i="67"/>
  <c r="J5" i="67"/>
  <c r="J26" i="67"/>
  <c r="J29" i="67"/>
  <c r="D2" i="67"/>
  <c r="B2" i="67"/>
  <c r="D9" i="68"/>
  <c r="D10" i="68"/>
  <c r="D19" i="68"/>
  <c r="C19" i="68"/>
  <c r="C20" i="68"/>
  <c r="F22" i="68"/>
  <c r="C23" i="68"/>
  <c r="C24" i="68"/>
  <c r="C25" i="68"/>
  <c r="C22" i="68"/>
  <c r="F27" i="68"/>
  <c r="C28" i="68"/>
  <c r="C27" i="68"/>
  <c r="C26" i="68"/>
  <c r="D22" i="68"/>
  <c r="C29" i="68"/>
  <c r="D27" i="68"/>
  <c r="C31" i="68"/>
  <c r="C34" i="68"/>
  <c r="C35" i="68"/>
  <c r="C36" i="68"/>
  <c r="D37" i="68"/>
  <c r="C37" i="68"/>
  <c r="C38" i="68"/>
  <c r="C33" i="68"/>
  <c r="C39" i="68"/>
  <c r="C42" i="68"/>
  <c r="C43" i="68"/>
  <c r="C41" i="68"/>
  <c r="C46" i="68"/>
  <c r="C45" i="68"/>
  <c r="C44" i="68"/>
  <c r="D41" i="68"/>
  <c r="C47" i="68"/>
  <c r="D45" i="68"/>
  <c r="C49" i="68"/>
  <c r="F50" i="68"/>
  <c r="C51" i="68"/>
  <c r="C52" i="68"/>
  <c r="B2" i="68"/>
  <c r="D19" i="9"/>
  <c r="B7" i="76"/>
  <c r="M28" i="15"/>
  <c r="D3" i="73"/>
  <c r="F7" i="73"/>
  <c r="B12" i="76"/>
  <c r="M24" i="67"/>
  <c r="M26" i="15"/>
  <c r="F20" i="31"/>
  <c r="F6" i="73"/>
  <c r="D7" i="73"/>
  <c r="M29" i="67"/>
  <c r="E2" i="69"/>
  <c r="M22" i="67"/>
  <c r="M26" i="67"/>
  <c r="AO13" i="1"/>
  <c r="M24" i="15"/>
  <c r="L47" i="67"/>
  <c r="M28" i="67"/>
  <c r="F5" i="73"/>
  <c r="D6" i="73"/>
  <c r="C76" i="15"/>
  <c r="B8" i="76"/>
  <c r="M23" i="15"/>
  <c r="C58" i="21"/>
  <c r="D58" i="21"/>
  <c r="E58" i="21"/>
  <c r="F58" i="21"/>
  <c r="G58" i="21"/>
  <c r="H58" i="21"/>
  <c r="I58" i="21"/>
  <c r="J58" i="21"/>
  <c r="K58" i="21"/>
  <c r="L58" i="21"/>
  <c r="M58" i="21"/>
  <c r="N58" i="21"/>
  <c r="O58" i="21"/>
  <c r="F7" i="21"/>
  <c r="AA7" i="21"/>
  <c r="H7" i="21"/>
  <c r="AB7" i="21"/>
  <c r="AB8" i="21"/>
  <c r="J7" i="21"/>
  <c r="AC7" i="21"/>
  <c r="AC32" i="21"/>
  <c r="B2" i="21"/>
  <c r="C19" i="9"/>
  <c r="J15" i="67"/>
  <c r="E2" i="68"/>
  <c r="E8" i="76"/>
  <c r="J15" i="15"/>
  <c r="E11" i="76"/>
  <c r="E10" i="76"/>
  <c r="M23" i="67"/>
  <c r="M29" i="15"/>
  <c r="B11" i="76"/>
  <c r="D3" i="21"/>
  <c r="F3" i="73"/>
  <c r="E12" i="76"/>
  <c r="B3" i="15"/>
  <c r="B3" i="67"/>
  <c r="B3" i="68"/>
  <c r="D34" i="9"/>
  <c r="C76" i="67"/>
  <c r="M22" i="15"/>
  <c r="B13" i="76"/>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6" i="43"/>
  <c r="D80" i="43"/>
  <c r="D61" i="43"/>
  <c r="P61" i="15"/>
  <c r="C94" i="9"/>
  <c r="C92" i="9"/>
  <c r="C31" i="12"/>
  <c r="C48" i="68"/>
  <c r="C30" i="68"/>
  <c r="C77" i="9"/>
  <c r="C74" i="9"/>
  <c r="C30" i="11"/>
  <c r="J84" i="43"/>
  <c r="J85" i="43"/>
  <c r="J86" i="43"/>
  <c r="J87" i="43"/>
  <c r="J88" i="43"/>
  <c r="J89" i="43"/>
  <c r="J90" i="43"/>
  <c r="D83" i="43"/>
  <c r="E83" i="43"/>
  <c r="B81" i="43"/>
  <c r="D66" i="43"/>
  <c r="D64" i="43"/>
  <c r="D62" i="43"/>
  <c r="D67" i="43"/>
  <c r="D65" i="43"/>
  <c r="D63" i="43"/>
  <c r="D69"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22" i="9"/>
  <c r="G19" i="9"/>
  <c r="Q71" i="15"/>
  <c r="L56" i="15"/>
  <c r="Q50" i="15"/>
  <c r="I54" i="15"/>
  <c r="B20" i="31"/>
  <c r="B21" i="31"/>
  <c r="F51" i="67"/>
  <c r="F65" i="67"/>
  <c r="J57" i="67"/>
  <c r="J55" i="67"/>
  <c r="J58" i="67"/>
  <c r="Q50" i="67"/>
  <c r="L56" i="67"/>
  <c r="I54" i="67"/>
  <c r="F50" i="15"/>
  <c r="F51" i="15"/>
  <c r="F71" i="15"/>
  <c r="F66" i="67"/>
  <c r="L59" i="15"/>
  <c r="N59" i="15"/>
  <c r="L58" i="15"/>
  <c r="M59" i="15"/>
  <c r="F66" i="15"/>
  <c r="Q71" i="67"/>
  <c r="F64" i="15"/>
  <c r="D103" i="9"/>
  <c r="F71" i="67"/>
  <c r="F65" i="15"/>
  <c r="C103" i="9"/>
  <c r="N59" i="67"/>
  <c r="L59" i="67"/>
  <c r="L58" i="67"/>
  <c r="M59" i="67"/>
  <c r="B13" i="70"/>
  <c r="F50" i="67"/>
  <c r="F68" i="67"/>
  <c r="F64" i="67"/>
  <c r="F68" i="15"/>
  <c r="E61" i="43"/>
  <c r="B59" i="43"/>
  <c r="B116" i="43"/>
  <c r="Z7" i="43"/>
  <c r="E30" i="6"/>
  <c r="E56" i="39"/>
  <c r="H7" i="34"/>
  <c r="AB7" i="34"/>
  <c r="T49" i="34"/>
  <c r="G49" i="34"/>
  <c r="E67" i="39"/>
  <c r="J7" i="34"/>
  <c r="W7" i="34"/>
  <c r="F7" i="34"/>
  <c r="S7" i="34"/>
  <c r="AA26" i="35"/>
  <c r="S26" i="35"/>
  <c r="AC26" i="35"/>
  <c r="W26" i="35"/>
  <c r="AB26" i="35"/>
  <c r="U26" i="35"/>
  <c r="E61" i="39"/>
  <c r="E56" i="40"/>
  <c r="C9" i="68"/>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D10" i="52"/>
  <c r="D125" i="9"/>
  <c r="D11" i="52"/>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AC7" i="36"/>
  <c r="V36" i="36"/>
  <c r="I36" i="36"/>
  <c r="W7" i="36"/>
  <c r="F7" i="37"/>
  <c r="D14" i="71"/>
  <c r="M17" i="67"/>
  <c r="M17" i="15"/>
  <c r="F59" i="15"/>
  <c r="P28" i="43"/>
  <c r="B66" i="40"/>
  <c r="P25" i="43"/>
  <c r="C49" i="67"/>
  <c r="P29" i="43"/>
  <c r="P27" i="43"/>
  <c r="B70" i="39"/>
  <c r="C49" i="15"/>
  <c r="J18" i="15"/>
  <c r="C32" i="9"/>
  <c r="Q60" i="67"/>
  <c r="Q73" i="67"/>
  <c r="J24" i="15"/>
  <c r="F1" i="15"/>
  <c r="Q52" i="15"/>
  <c r="J18" i="67"/>
  <c r="Q52" i="67"/>
  <c r="Q60" i="15"/>
  <c r="Q73" i="15"/>
  <c r="Q61" i="67"/>
  <c r="Q74" i="67"/>
  <c r="Q74" i="15"/>
  <c r="Q61" i="15"/>
  <c r="AE11" i="1"/>
  <c r="AE9" i="1"/>
  <c r="AE8" i="1"/>
  <c r="AE12" i="1"/>
  <c r="AE10" i="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53" i="15"/>
  <c r="C48" i="15"/>
  <c r="C66" i="15"/>
  <c r="F25" i="12"/>
  <c r="F41" i="69"/>
  <c r="F22" i="11"/>
  <c r="C35" i="9"/>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26" i="12"/>
  <c r="D25" i="12"/>
  <c r="C44" i="11"/>
  <c r="D41" i="11"/>
  <c r="C23" i="11"/>
  <c r="C24" i="11"/>
  <c r="C25" i="11"/>
  <c r="C26" i="11"/>
  <c r="D22" i="11"/>
  <c r="C34" i="9"/>
  <c r="C66" i="67"/>
  <c r="C60" i="67"/>
  <c r="H23" i="6"/>
  <c r="C30" i="43"/>
  <c r="C31" i="43"/>
  <c r="H20" i="6"/>
  <c r="R20" i="6"/>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F50" i="11"/>
  <c r="C4" i="52"/>
  <c r="B45" i="72"/>
  <c r="A10" i="51"/>
  <c r="B9" i="72"/>
  <c r="A7" i="51"/>
  <c r="B7" i="72"/>
  <c r="C21" i="9"/>
  <c r="D21" i="9"/>
  <c r="G21" i="9"/>
  <c r="R25" i="6"/>
  <c r="R12" i="1"/>
  <c r="C10" i="68"/>
  <c r="B2" i="43"/>
  <c r="B3" i="43"/>
  <c r="H69" i="39"/>
  <c r="I67" i="39"/>
  <c r="D10" i="71"/>
  <c r="C9" i="71"/>
  <c r="C8" i="71"/>
  <c r="G65" i="40"/>
  <c r="H63" i="40"/>
  <c r="C43" i="37"/>
  <c r="C42" i="37"/>
  <c r="I48" i="35"/>
  <c r="C48" i="33"/>
  <c r="C49" i="33"/>
  <c r="E47" i="37"/>
  <c r="F47" i="37"/>
  <c r="E46" i="37"/>
  <c r="F46" i="37"/>
  <c r="I47" i="37"/>
  <c r="J47" i="37"/>
  <c r="E53" i="33"/>
  <c r="F53" i="33"/>
  <c r="E52" i="33"/>
  <c r="F52" i="33"/>
  <c r="C22" i="11"/>
  <c r="C31" i="11"/>
  <c r="J19" i="67"/>
  <c r="B6" i="76"/>
  <c r="E6" i="76"/>
  <c r="D8" i="71"/>
  <c r="C7" i="71"/>
  <c r="T16" i="1"/>
  <c r="C36" i="11"/>
  <c r="C37" i="11"/>
  <c r="C34" i="11"/>
  <c r="C23" i="12"/>
  <c r="C14" i="12"/>
  <c r="C16" i="12"/>
  <c r="C21" i="12"/>
  <c r="C22" i="12"/>
  <c r="H19" i="6"/>
  <c r="S19" i="6"/>
  <c r="S27" i="6"/>
  <c r="I27" i="6"/>
  <c r="I5" i="6"/>
  <c r="I6" i="6"/>
  <c r="E2" i="76"/>
  <c r="B2" i="76"/>
  <c r="I69" i="39"/>
  <c r="J67" i="39"/>
  <c r="D9" i="71"/>
  <c r="I63" i="40"/>
  <c r="H65" i="40"/>
  <c r="J48" i="35"/>
  <c r="D7" i="71"/>
  <c r="C6" i="71"/>
  <c r="J59" i="67"/>
  <c r="J60" i="67"/>
  <c r="Q48" i="67"/>
  <c r="C30" i="12"/>
  <c r="C28" i="12"/>
  <c r="C38" i="11"/>
  <c r="C35" i="11"/>
  <c r="H27" i="6"/>
  <c r="R19" i="6"/>
  <c r="C27" i="12"/>
  <c r="C25" i="12"/>
  <c r="B3" i="76"/>
  <c r="J69" i="39"/>
  <c r="K67" i="39"/>
  <c r="U7" i="21"/>
  <c r="G48" i="21"/>
  <c r="S7" i="21"/>
  <c r="J63" i="40"/>
  <c r="I65" i="40"/>
  <c r="K48" i="35"/>
  <c r="L48" i="35"/>
  <c r="M48" i="35"/>
  <c r="N48" i="35"/>
  <c r="O48" i="35"/>
  <c r="H7" i="35"/>
  <c r="J7" i="35"/>
  <c r="I48" i="21"/>
  <c r="W7" i="21"/>
  <c r="D6" i="71"/>
  <c r="C5" i="71"/>
  <c r="Q49" i="67"/>
  <c r="J14" i="67"/>
  <c r="J13" i="67"/>
  <c r="J23" i="67"/>
  <c r="C57" i="67"/>
  <c r="C64" i="67"/>
  <c r="Q70" i="67"/>
  <c r="C33" i="11"/>
  <c r="C39" i="11"/>
  <c r="C61" i="67"/>
  <c r="C32" i="12"/>
  <c r="B2" i="12"/>
  <c r="B3" i="12"/>
  <c r="R27" i="6"/>
  <c r="L67" i="39"/>
  <c r="K69" i="39"/>
  <c r="W7" i="35"/>
  <c r="AC7" i="35"/>
  <c r="V38" i="35"/>
  <c r="I38" i="35"/>
  <c r="J65" i="40"/>
  <c r="K63" i="40"/>
  <c r="I52" i="21"/>
  <c r="J52" i="21"/>
  <c r="U7" i="35"/>
  <c r="AB7" i="35"/>
  <c r="T38" i="35"/>
  <c r="G38" i="35"/>
  <c r="E48" i="21"/>
  <c r="G52" i="21"/>
  <c r="H52" i="21"/>
  <c r="G53" i="21"/>
  <c r="H53" i="21"/>
  <c r="F7" i="35"/>
  <c r="M21" i="67"/>
  <c r="M21" i="15"/>
  <c r="D5" i="71"/>
  <c r="M24" i="43"/>
  <c r="C56" i="67"/>
  <c r="C65" i="67"/>
  <c r="J22" i="67"/>
  <c r="C75" i="67"/>
  <c r="Q48" i="15"/>
  <c r="C46" i="11"/>
  <c r="C45" i="11"/>
  <c r="C43" i="11"/>
  <c r="C42" i="11"/>
  <c r="F63" i="67"/>
  <c r="C62" i="67"/>
  <c r="C59" i="67"/>
  <c r="J20" i="67"/>
  <c r="J17" i="67"/>
  <c r="J19" i="15"/>
  <c r="Q49" i="15"/>
  <c r="C57" i="15"/>
  <c r="J14" i="15"/>
  <c r="J13" i="15"/>
  <c r="J23" i="15"/>
  <c r="Q70" i="15"/>
  <c r="F63" i="15"/>
  <c r="C62" i="15"/>
  <c r="J20" i="15"/>
  <c r="R16" i="1"/>
  <c r="L69" i="39"/>
  <c r="M67" i="39"/>
  <c r="S7" i="35"/>
  <c r="AA7" i="35"/>
  <c r="R38" i="35"/>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L51" i="67"/>
  <c r="L57" i="67"/>
  <c r="L60" i="67"/>
  <c r="L46" i="67"/>
  <c r="Q67" i="67"/>
  <c r="C80" i="67"/>
  <c r="C79"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C80" i="15"/>
  <c r="C79" i="15"/>
  <c r="C46" i="15"/>
  <c r="H7" i="39"/>
  <c r="J7" i="39"/>
  <c r="S7" i="39"/>
  <c r="AA7" i="39"/>
  <c r="R47" i="39"/>
  <c r="O63" i="40"/>
  <c r="O65" i="40"/>
  <c r="N65" i="40"/>
  <c r="D2" i="37"/>
  <c r="D2" i="34"/>
  <c r="D2" i="36"/>
  <c r="D2" i="35"/>
  <c r="L51" i="15"/>
  <c r="Q75" i="67"/>
  <c r="Q62"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9" i="1"/>
  <c r="AO12" i="1"/>
  <c r="AO10" i="1"/>
  <c r="AO7" i="1"/>
  <c r="AO11" i="1"/>
  <c r="AO6" i="1"/>
  <c r="AO8"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C5" i="74"/>
  <c r="C73" i="9"/>
  <c r="C78" i="9"/>
  <c r="D59" i="9"/>
  <c r="M55" i="9"/>
  <c r="M54" i="9"/>
  <c r="D56" i="9"/>
  <c r="D58" i="9"/>
  <c r="C97" i="9"/>
  <c r="B31" i="72"/>
  <c r="D15" i="53"/>
  <c r="C86" i="9"/>
  <c r="C93" i="9"/>
  <c r="C85" i="9"/>
  <c r="C95" i="9"/>
  <c r="C96" i="9"/>
  <c r="E96" i="9"/>
  <c r="E97" i="9"/>
  <c r="B48" i="72"/>
  <c r="E4" i="52"/>
  <c r="C64" i="9"/>
  <c r="C63" i="9"/>
  <c r="C67" i="9"/>
  <c r="C68" i="9"/>
  <c r="D54" i="9"/>
  <c r="D9" i="52"/>
  <c r="D123" i="9"/>
  <c r="H5" i="52"/>
  <c r="H119" i="9"/>
  <c r="H102" i="9"/>
  <c r="D7" i="53"/>
  <c r="B21" i="72"/>
  <c r="B53" i="72"/>
  <c r="F5" i="52"/>
  <c r="F119" i="9"/>
  <c r="B20" i="72"/>
  <c r="D119" i="9"/>
  <c r="D5" i="52"/>
  <c r="B49" i="72"/>
  <c r="C80" i="9"/>
  <c r="E80" i="9"/>
  <c r="E81" i="9"/>
  <c r="H108" i="9"/>
  <c r="C6" i="74"/>
  <c r="D5" i="53"/>
  <c r="D6" i="53"/>
  <c r="B22" i="72"/>
  <c r="E118" i="9"/>
  <c r="D118" i="9"/>
  <c r="D4" i="52"/>
  <c r="B47" i="72"/>
  <c r="M48" i="9"/>
  <c r="G4" i="52"/>
  <c r="B52" i="72"/>
  <c r="B30" i="72"/>
  <c r="D13" i="53"/>
  <c r="D14" i="53"/>
  <c r="B32" i="72"/>
  <c r="H107" i="9"/>
  <c r="D122" i="9"/>
  <c r="D8" i="52"/>
  <c r="C72" i="9"/>
  <c r="C79" i="9"/>
  <c r="C81" i="9"/>
  <c r="P57" i="9"/>
  <c r="N58" i="9"/>
  <c r="C104" i="9"/>
  <c r="H4" i="52"/>
  <c r="C105" i="9"/>
  <c r="I4" i="52"/>
  <c r="G118" i="9"/>
  <c r="F118" i="9"/>
  <c r="F4" i="52"/>
  <c r="B51" i="72"/>
  <c r="N61" i="9"/>
  <c r="D55" i="9"/>
  <c r="M53" i="9"/>
  <c r="N57" i="9"/>
  <c r="N59" i="9"/>
  <c r="N60"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<sst xmlns="http://schemas.openxmlformats.org/spreadsheetml/2006/main" count="7846" uniqueCount="3428">
  <si>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</si>
  <si>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</si>
  <si>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</si>
  <si>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</si>
  <si>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</si>
  <si>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</si>
  <si>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</si>
  <si>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</si>
  <si>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</si>
  <si>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</si>
  <si>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</si>
  <si>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</si>
  <si>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</si>
  <si>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</si>
  <si>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</si>
  <si>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</si>
  <si>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</si>
  <si>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</si>
  <si>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</si>
  <si>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</si>
  <si>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</si>
  <si>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</si>
  <si>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</si>
  <si>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</si>
  <si>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</si>
  <si>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</si>
  <si>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</si>
  <si>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</si>
  <si>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</si>
  <si>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</si>
  <si>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</si>
  <si>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</si>
  <si>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</si>
  <si>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</si>
  <si>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</si>
  <si>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</si>
  <si>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</si>
  <si>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</si>
  <si>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</si>
  <si>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</si>
  <si>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</si>
  <si>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</si>
  <si>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</si>
  <si>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</si>
  <si>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</si>
  <si>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</si>
  <si>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</si>
  <si>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</si>
  <si>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</si>
  <si>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</si>
  <si>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</si>
  <si>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</si>
  <si>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</si>
  <si>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</si>
  <si>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</si>
  <si>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</si>
  <si>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</si>
  <si>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</si>
  <si>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</si>
  <si>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</si>
  <si>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</si>
  <si>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</si>
  <si>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</si>
  <si>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</si>
  <si>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</si>
  <si>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</si>
  <si>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</si>
  <si>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</si>
  <si>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</si>
  <si>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</si>
  <si>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</si>
  <si>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</si>
  <si>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</si>
  <si>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</si>
  <si>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</si>
  <si>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</si>
  <si>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</si>
  <si>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</si>
  <si>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</si>
  <si>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</si>
  <si>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</si>
  <si>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</si>
  <si>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</si>
  <si>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</si>
  <si>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</si>
  <si>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</si>
  <si>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</si>
  <si>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</si>
  <si>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</si>
  <si>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</si>
  <si>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</si>
  <si>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</si>
  <si>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</si>
  <si>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</si>
  <si>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</si>
  <si>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</si>
  <si>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</si>
  <si>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</si>
  <si>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</si>
  <si>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</si>
  <si>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</si>
  <si>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</si>
  <si>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</si>
  <si>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</si>
  <si>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</si>
  <si>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</si>
  <si>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</si>
  <si>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</si>
  <si>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</si>
  <si>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</si>
  <si>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</si>
  <si>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</si>
  <si>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</si>
  <si>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</si>
  <si>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</si>
  <si>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</si>
  <si>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</si>
  <si>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</si>
  <si>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</si>
  <si>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</si>
  <si>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</si>
  <si>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</si>
  <si>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</si>
  <si>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</si>
  <si>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</si>
  <si>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</si>
  <si>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</si>
  <si>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</si>
  <si>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</si>
  <si>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</si>
  <si>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</si>
  <si>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</si>
  <si>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</si>
  <si>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</si>
  <si>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</si>
  <si>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</si>
  <si>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</si>
  <si>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</si>
  <si>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</si>
  <si>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</si>
  <si>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</si>
  <si>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</si>
  <si>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</si>
  <si>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</si>
  <si>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</si>
  <si>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</si>
  <si>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</si>
  <si>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</si>
  <si>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</si>
  <si>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</si>
  <si>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</si>
  <si>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</si>
  <si>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</si>
  <si>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</si>
  <si>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</si>
  <si>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</si>
  <si>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</si>
  <si>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</si>
  <si>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</si>
  <si>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</si>
  <si>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</si>
  <si>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</si>
  <si>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</si>
  <si>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</si>
  <si>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</si>
  <si>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</si>
  <si>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</si>
  <si>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</si>
  <si>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</si>
  <si>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</si>
  <si>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</si>
  <si>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</si>
  <si>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</si>
  <si>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</si>
  <si>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</si>
  <si>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</si>
  <si>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</si>
  <si>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</si>
  <si>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</si>
  <si>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</si>
  <si>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</si>
  <si>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</si>
  <si>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</si>
  <si>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</si>
  <si>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</si>
  <si>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</si>
  <si>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</si>
  <si>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</si>
  <si>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</si>
  <si>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</si>
  <si>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</si>
  <si>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</si>
  <si>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</si>
  <si>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</si>
  <si>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</si>
  <si>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</si>
  <si>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</si>
  <si>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</si>
  <si>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</si>
  <si>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</si>
  <si>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</si>
  <si>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</si>
  <si>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</si>
  <si>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</si>
  <si>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</si>
  <si>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</si>
  <si>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</si>
  <si>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</si>
  <si>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</si>
  <si>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</si>
  <si>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</si>
  <si>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</si>
  <si>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</si>
  <si>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</si>
  <si>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</si>
  <si>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</si>
  <si>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</si>
  <si>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</si>
  <si>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</si>
  <si>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</si>
  <si>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</si>
  <si>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</si>
  <si>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</si>
  <si>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</si>
  <si>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</si>
  <si>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</si>
  <si>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</si>
  <si>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</si>
  <si>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</si>
  <si>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</si>
  <si>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</si>
  <si>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</si>
  <si>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</si>
  <si>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</si>
  <si>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</si>
  <si>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</si>
  <si>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</si>
  <si>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</si>
  <si>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</si>
  <si>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</si>
  <si>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</si>
  <si>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</si>
  <si>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</si>
  <si>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</si>
  <si>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</si>
  <si>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</si>
  <si>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</si>
  <si>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</si>
  <si>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</si>
  <si>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</si>
  <si>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</si>
  <si>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</si>
  <si>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</si>
  <si>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</si>
  <si>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</si>
  <si>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</si>
  <si>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</si>
  <si>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</si>
  <si>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</si>
  <si>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</si>
  <si>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</si>
  <si>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</si>
  <si>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</si>
  <si>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</si>
  <si>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</si>
  <si>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</si>
  <si>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</si>
  <si>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</si>
  <si>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</si>
  <si>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</si>
  <si>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</si>
  <si>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</si>
  <si>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</si>
  <si>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</si>
  <si>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</si>
  <si>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</si>
  <si>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</si>
  <si>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</si>
  <si>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</si>
  <si>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</si>
  <si>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</si>
  <si>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</si>
  <si>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</si>
  <si>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</si>
  <si>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</si>
  <si>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</si>
  <si>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</si>
  <si>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</si>
  <si>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</si>
  <si>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</si>
  <si>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</si>
  <si>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</si>
  <si>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</si>
  <si>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</si>
  <si>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</si>
  <si>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</si>
  <si>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</si>
  <si>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</si>
  <si>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</si>
  <si>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</si>
  <si>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</si>
  <si>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</si>
  <si>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</si>
  <si>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</si>
  <si>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</si>
  <si>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</si>
  <si>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</si>
  <si>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</si>
  <si>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</si>
  <si>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</si>
  <si>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</si>
  <si>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</si>
  <si>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</si>
  <si>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</si>
  <si>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</si>
  <si>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</si>
  <si>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</si>
  <si>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</si>
  <si>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</si>
  <si>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</si>
  <si>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</si>
  <si>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</si>
  <si>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</si>
  <si>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</si>
  <si>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</si>
  <si>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</si>
  <si>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</si>
  <si>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</si>
  <si>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</si>
  <si>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</si>
  <si>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</si>
  <si>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</si>
  <si>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</si>
  <si>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</si>
  <si>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</si>
  <si>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</si>
  <si>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</si>
  <si>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</si>
  <si>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</si>
  <si>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</si>
  <si>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</si>
  <si>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</si>
  <si>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</si>
  <si>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</si>
  <si>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</si>
  <si>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</si>
  <si>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</si>
  <si>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</si>
  <si>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</si>
  <si>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</si>
  <si>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</si>
  <si>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</si>
  <si>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</si>
  <si>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</si>
  <si>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</si>
  <si>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</si>
  <si>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</si>
  <si>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</si>
  <si>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</si>
  <si>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</si>
  <si>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</si>
  <si>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</si>
  <si>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</si>
  <si>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</si>
  <si>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</si>
  <si>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</si>
  <si>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</si>
  <si>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</si>
  <si>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</si>
  <si>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</si>
  <si>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</si>
  <si>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</si>
  <si>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</si>
  <si>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</si>
  <si>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</si>
  <si>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</si>
  <si>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</si>
  <si>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</si>
  <si>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</si>
  <si>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</si>
  <si>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</si>
  <si>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</si>
  <si>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</si>
  <si>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</si>
  <si>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</si>
  <si>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</si>
  <si>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</si>
  <si>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</si>
  <si>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</si>
  <si>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</si>
  <si>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</si>
  <si>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</si>
  <si>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</si>
  <si>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</si>
  <si>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</si>
  <si>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</si>
  <si>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</si>
  <si>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</si>
  <si>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</si>
  <si>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</si>
  <si>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</si>
  <si>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</si>
  <si>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</si>
  <si>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</si>
  <si>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</si>
  <si>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</si>
  <si>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</si>
  <si>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</si>
  <si>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</si>
  <si>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</si>
  <si>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</si>
  <si>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</si>
  <si>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</si>
  <si>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</si>
  <si>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</si>
  <si>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</si>
  <si>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</si>
  <si>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</si>
  <si>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</si>
  <si>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</si>
  <si>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</si>
  <si>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</si>
  <si>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</si>
  <si>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</si>
  <si>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</si>
  <si>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</si>
  <si>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</si>
  <si>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</si>
  <si>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</si>
  <si>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</si>
  <si>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</si>
  <si>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</si>
  <si>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</si>
  <si>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</si>
  <si>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</si>
  <si>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</si>
  <si>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</si>
  <si>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</si>
  <si>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</si>
  <si>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</si>
  <si>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</si>
  <si>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</si>
  <si>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</si>
  <si>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</si>
  <si>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</si>
  <si>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</si>
  <si>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</si>
  <si>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</si>
  <si>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</si>
  <si>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</si>
  <si>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</si>
  <si>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</si>
  <si>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</si>
  <si>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</si>
  <si>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</si>
  <si>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</si>
  <si>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</si>
  <si>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</si>
  <si>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</si>
  <si>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</si>
  <si>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</si>
  <si>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</si>
  <si>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</si>
  <si>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</si>
  <si>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</si>
  <si>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</si>
  <si>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</si>
  <si>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</si>
  <si>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</si>
  <si>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</si>
  <si>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</si>
  <si>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</si>
  <si>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</si>
  <si>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</si>
  <si>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</si>
  <si>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</si>
  <si>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</si>
  <si>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</si>
  <si>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</si>
  <si>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</si>
  <si>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</si>
  <si>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</si>
  <si>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</si>
  <si>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</si>
  <si>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</si>
  <si>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</si>
  <si>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</si>
  <si>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</si>
  <si>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</si>
  <si>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</si>
  <si>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</si>
  <si>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</si>
  <si>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</si>
  <si>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</si>
  <si>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</si>
  <si>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</si>
  <si>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</si>
  <si>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</si>
  <si>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</si>
  <si>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</si>
  <si>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</si>
  <si>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</si>
  <si>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</si>
  <si>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</si>
  <si>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</si>
  <si>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</si>
  <si>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</si>
  <si>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</si>
  <si>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</si>
  <si>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</si>
  <si>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</si>
  <si>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</si>
  <si>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</si>
  <si>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</si>
  <si>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</si>
  <si>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</si>
  <si>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</si>
  <si>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</si>
  <si>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</si>
  <si>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</si>
  <si>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</si>
  <si>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</si>
  <si>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</si>
  <si>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</si>
  <si>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</si>
  <si>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</si>
  <si>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</si>
  <si>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</si>
  <si>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</si>
  <si>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</si>
  <si>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</si>
  <si>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</si>
  <si>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</si>
  <si>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</si>
  <si>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</si>
  <si>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</si>
  <si>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</si>
  <si>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</si>
  <si>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</si>
  <si>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</si>
  <si>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</si>
  <si>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</si>
  <si>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</si>
  <si>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</si>
  <si>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</si>
  <si>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</si>
  <si>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</si>
  <si>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</si>
  <si>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</si>
  <si>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</si>
  <si>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</si>
  <si>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</si>
  <si>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</si>
  <si>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</si>
  <si>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</si>
  <si>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</si>
  <si>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</si>
  <si>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</si>
  <si>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</si>
  <si>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</si>
  <si>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</si>
  <si>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</si>
  <si>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</si>
  <si>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</si>
  <si>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</si>
  <si>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</si>
  <si>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</si>
  <si>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</si>
  <si>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</si>
  <si>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</si>
  <si>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</si>
  <si>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</si>
  <si>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</si>
  <si>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</si>
  <si>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</si>
  <si>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</si>
  <si>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</si>
  <si>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</si>
  <si>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</si>
  <si>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</si>
  <si>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</si>
  <si>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</si>
  <si>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</si>
  <si>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</si>
  <si>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</si>
  <si>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</si>
  <si>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</si>
  <si>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</si>
  <si>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</si>
  <si>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</si>
  <si>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</si>
  <si>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</si>
  <si>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</si>
  <si>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</si>
  <si>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</si>
  <si>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</si>
  <si>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</si>
  <si>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</si>
  <si>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</si>
  <si>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</si>
  <si>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</si>
  <si>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</si>
  <si>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</si>
  <si>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</si>
  <si>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</si>
  <si>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</si>
  <si>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</si>
  <si>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</si>
  <si>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</si>
  <si>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</si>
  <si>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</si>
  <si>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</si>
  <si>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</si>
  <si>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</si>
  <si>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</si>
  <si>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</si>
  <si>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</si>
  <si>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</si>
  <si>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</si>
  <si>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</si>
  <si>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</si>
  <si>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</si>
  <si>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</si>
  <si>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</si>
  <si>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</si>
  <si>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</si>
  <si>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</si>
  <si>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</si>
  <si>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</si>
  <si>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</si>
  <si>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</si>
  <si>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</si>
  <si>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</si>
  <si>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</si>
  <si>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</si>
  <si>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</si>
  <si>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</si>
  <si>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</si>
  <si>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</si>
  <si>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</si>
  <si>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</si>
  <si>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</si>
  <si>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</si>
  <si>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</si>
  <si>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</si>
  <si>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</si>
  <si>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</si>
  <si>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</si>
  <si>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</si>
  <si>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</si>
  <si>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</si>
  <si>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</si>
  <si>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</si>
  <si>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</si>
  <si>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</si>
  <si>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</si>
  <si>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</si>
  <si>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</si>
  <si>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</si>
  <si>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</si>
  <si>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</si>
  <si>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</si>
  <si>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</si>
  <si>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</si>
  <si>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</si>
  <si>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</si>
  <si>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</si>
  <si>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</si>
  <si>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</si>
  <si>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</si>
  <si>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</si>
  <si>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</si>
  <si>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</si>
  <si>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</si>
  <si>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</si>
  <si>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</si>
  <si>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</si>
  <si>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</si>
  <si>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</si>
  <si>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</si>
  <si>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</si>
  <si>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</si>
  <si>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</si>
  <si>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</si>
  <si>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</si>
  <si>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</si>
  <si>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</si>
  <si>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</si>
  <si>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</si>
  <si>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</si>
  <si>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</si>
  <si>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</si>
  <si>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</si>
  <si>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</si>
  <si>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</si>
  <si>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</si>
  <si>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</si>
  <si>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</si>
  <si>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</si>
  <si>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</si>
  <si>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</si>
  <si>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</si>
  <si>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</si>
  <si>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</si>
  <si>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</si>
  <si>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</si>
  <si>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</si>
  <si>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</si>
  <si>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</si>
  <si>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</si>
  <si>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</si>
  <si>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</si>
  <si>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</si>
  <si>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</si>
  <si>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</si>
  <si>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</si>
  <si>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</si>
  <si>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</si>
  <si>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</si>
  <si>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</si>
  <si>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</si>
  <si>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</si>
  <si>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</si>
  <si>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</si>
  <si>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</si>
  <si>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</si>
  <si>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</si>
  <si>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</si>
  <si>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</si>
  <si>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</si>
  <si>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</si>
  <si>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</si>
  <si>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</si>
  <si>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</si>
  <si>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</si>
  <si>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</si>
  <si>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</si>
  <si>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</si>
  <si>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</si>
  <si>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</si>
  <si>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</si>
  <si>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</si>
  <si>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</si>
  <si>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</si>
  <si>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</si>
  <si>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</si>
  <si>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</si>
  <si>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</si>
  <si>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</si>
  <si>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</si>
  <si>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</si>
  <si>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</si>
  <si>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</si>
  <si>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</si>
  <si>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</si>
  <si>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</si>
  <si>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</si>
  <si>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</si>
  <si>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</si>
  <si>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</si>
  <si>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</si>
  <si>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</si>
  <si>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</si>
  <si>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</si>
  <si>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</si>
  <si>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</si>
  <si>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</si>
  <si>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</si>
  <si>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</si>
  <si>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</si>
  <si>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</si>
  <si>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</si>
  <si>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</si>
  <si>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</si>
  <si>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</si>
  <si>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</si>
  <si>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</si>
  <si>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</si>
  <si>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</si>
  <si>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</si>
  <si>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</si>
  <si>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</si>
  <si>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</si>
  <si>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</si>
  <si>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</si>
  <si>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</si>
  <si>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</si>
  <si>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</si>
  <si>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</si>
  <si>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</si>
  <si>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</si>
  <si>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</si>
  <si>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</si>
  <si>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</si>
  <si>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</si>
  <si>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</si>
  <si>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</si>
  <si>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</si>
  <si>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</si>
  <si>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</si>
  <si>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</si>
  <si>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</si>
  <si>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</si>
  <si>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</si>
  <si>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</si>
  <si>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</si>
  <si>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</si>
  <si>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</si>
  <si>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</si>
  <si>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</si>
  <si>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</si>
  <si>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</si>
  <si>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</si>
  <si>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</si>
  <si>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</si>
  <si>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</si>
  <si>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</si>
  <si>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</si>
  <si>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</si>
  <si>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</si>
  <si>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</si>
  <si>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</si>
  <si>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</si>
  <si>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</si>
  <si>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</si>
  <si>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</si>
  <si>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</si>
  <si>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</si>
  <si>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</si>
  <si>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</si>
  <si>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</si>
  <si>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</si>
  <si>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</si>
  <si>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</si>
  <si>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</si>
  <si>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</si>
  <si>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</si>
  <si>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</si>
  <si>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</si>
  <si>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</si>
  <si>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</si>
  <si>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</si>
  <si>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</si>
  <si>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</si>
  <si>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</si>
  <si>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</si>
  <si>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</si>
  <si>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</si>
  <si>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</si>
  <si>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</si>
  <si>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</si>
  <si>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</si>
  <si>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</si>
  <si>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</si>
  <si>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</si>
  <si>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</si>
  <si>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</si>
  <si>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</si>
  <si>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</si>
  <si>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</si>
  <si>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</si>
  <si>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</si>
  <si>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</si>
  <si>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</si>
  <si>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</si>
  <si>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</si>
  <si>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</si>
  <si>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</si>
  <si>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</si>
  <si>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</si>
  <si>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</si>
  <si>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</si>
  <si>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</si>
  <si>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</si>
  <si>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</si>
  <si>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</si>
  <si>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</si>
  <si>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</si>
  <si>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</si>
  <si>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</si>
  <si>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</si>
  <si>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</si>
  <si>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</si>
  <si>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</si>
  <si>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</si>
  <si>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</si>
  <si>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</si>
  <si>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</si>
  <si>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</si>
  <si>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</si>
  <si>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</si>
  <si>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</si>
  <si>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</si>
  <si>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</si>
  <si>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</si>
  <si>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</si>
  <si>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</si>
  <si>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</si>
  <si>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</si>
  <si>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</si>
  <si>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</si>
  <si>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</si>
  <si>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</si>
  <si>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</si>
  <si>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</si>
  <si>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</si>
  <si>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</si>
  <si>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</si>
  <si>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</si>
  <si>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</si>
  <si>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</si>
  <si>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</si>
  <si>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</si>
  <si>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</si>
  <si>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</si>
  <si>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</si>
  <si>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</si>
  <si>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</si>
  <si>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</si>
  <si>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</si>
  <si>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</si>
  <si>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</si>
  <si>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</si>
  <si>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</si>
  <si>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</si>
  <si>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</si>
  <si>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</si>
  <si>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</si>
  <si>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</si>
  <si>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</si>
  <si>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</si>
  <si>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</si>
  <si>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</si>
  <si>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</si>
  <si>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</si>
  <si>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</si>
  <si>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</si>
  <si>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</si>
  <si>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</si>
  <si>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</si>
  <si>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</si>
  <si>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</si>
  <si>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</si>
  <si>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</si>
  <si>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</si>
  <si>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</si>
  <si>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</si>
  <si>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</si>
  <si>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</si>
  <si>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</si>
  <si>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</si>
  <si>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</si>
  <si>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</si>
  <si>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</si>
  <si>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</si>
  <si>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</si>
  <si>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</si>
  <si>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</si>
  <si>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</si>
  <si>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</si>
  <si>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</si>
  <si>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</si>
  <si>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</si>
  <si>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</si>
  <si>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</si>
  <si>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</si>
  <si>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</si>
  <si>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</si>
  <si>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</si>
  <si>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</si>
  <si>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</si>
  <si>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</si>
  <si>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</si>
  <si>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</si>
  <si>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</si>
  <si>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</si>
  <si>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</si>
  <si>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</si>
  <si>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</si>
  <si>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</si>
  <si>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</si>
  <si>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</si>
  <si>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</si>
  <si>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</si>
  <si>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</si>
  <si>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</si>
  <si>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</si>
  <si>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</si>
  <si>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</si>
  <si>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</si>
  <si>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</si>
  <si>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</si>
  <si>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</si>
  <si>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</si>
  <si>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</si>
  <si>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</si>
  <si>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</si>
  <si>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</si>
  <si>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</si>
  <si>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</si>
  <si>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</si>
  <si>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</si>
  <si>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</si>
  <si>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</si>
  <si>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</si>
  <si>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</si>
  <si>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</si>
  <si>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</si>
  <si>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</si>
  <si>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</si>
  <si>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</si>
  <si>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</si>
  <si>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</si>
  <si>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</si>
  <si>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</si>
  <si>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</si>
  <si>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</si>
  <si>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</si>
  <si>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</si>
  <si>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</si>
  <si>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</si>
  <si>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</si>
  <si>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</si>
  <si>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</si>
  <si>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</si>
  <si>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</si>
  <si>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</si>
  <si>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</si>
  <si>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</si>
  <si>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</si>
  <si>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</si>
  <si>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</si>
  <si>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</si>
  <si>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</si>
  <si>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</si>
  <si>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</si>
  <si>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</si>
  <si>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</si>
  <si>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</si>
  <si>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</si>
  <si>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</si>
  <si>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</si>
  <si>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</si>
  <si>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</si>
  <si>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</si>
  <si>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</si>
  <si>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</si>
  <si>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</si>
  <si>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</si>
  <si>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</si>
  <si>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</si>
  <si>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</si>
  <si>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</si>
  <si>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</si>
  <si>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</si>
  <si>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</si>
  <si>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</si>
  <si>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</si>
  <si>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</si>
  <si>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</si>
  <si>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</si>
  <si>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</si>
  <si>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</si>
  <si>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</si>
  <si>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</si>
  <si>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</si>
  <si>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</si>
  <si>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</si>
  <si>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</si>
  <si>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</si>
  <si>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</si>
  <si>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</si>
  <si>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</si>
  <si>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</si>
  <si>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</si>
  <si>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</si>
  <si>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</si>
  <si>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</si>
  <si>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</si>
  <si>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</si>
  <si>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</si>
  <si>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</si>
  <si>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</si>
  <si>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</si>
  <si>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</si>
  <si>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</si>
  <si>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</si>
  <si>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</si>
  <si>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</si>
  <si>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</si>
  <si>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</si>
  <si>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</si>
  <si>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</si>
  <si>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</si>
  <si>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</si>
  <si>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</si>
  <si>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</si>
  <si>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</si>
  <si>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</si>
  <si>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</si>
  <si>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</si>
  <si>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</si>
  <si>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</si>
  <si>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</si>
  <si>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</si>
  <si>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</si>
  <si>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</si>
  <si>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</si>
  <si>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</si>
  <si>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</si>
  <si>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</si>
  <si>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</si>
  <si>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</si>
  <si>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</si>
  <si>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</si>
  <si>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</si>
  <si>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</si>
  <si>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</si>
  <si>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</si>
  <si>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</si>
  <si>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</si>
  <si>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</si>
  <si>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</si>
  <si>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</si>
  <si>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</si>
  <si>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</si>
  <si>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</si>
  <si>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</si>
  <si>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</si>
  <si>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</si>
  <si>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</si>
  <si>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</si>
  <si>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</si>
  <si>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</si>
  <si>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</si>
  <si>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</si>
  <si>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</si>
  <si>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</si>
  <si>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</si>
  <si>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</si>
  <si>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</si>
  <si>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</si>
  <si>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</si>
  <si>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</si>
  <si>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</si>
  <si>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</si>
  <si>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</si>
  <si>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</si>
  <si>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</si>
  <si>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</si>
  <si>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</si>
  <si>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</si>
  <si>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</si>
  <si>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</si>
  <si>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</si>
  <si>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</si>
  <si>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</si>
  <si>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</si>
  <si>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</si>
  <si>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</si>
  <si>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</si>
  <si>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</si>
  <si>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</si>
  <si>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</si>
  <si>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</si>
  <si>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</si>
  <si>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</si>
  <si>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</si>
  <si>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</si>
  <si>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</si>
  <si>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</si>
  <si>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</si>
  <si>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</si>
  <si>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</si>
  <si>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</si>
  <si>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</si>
  <si>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</si>
  <si>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</si>
  <si>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</si>
  <si>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</si>
  <si>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</si>
  <si>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</si>
  <si>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</si>
  <si>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</si>
  <si>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</si>
  <si>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</si>
  <si>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</si>
  <si>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</si>
  <si>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</si>
  <si>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</si>
  <si>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</si>
  <si>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</si>
  <si>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</si>
  <si>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</si>
  <si>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</si>
  <si>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</si>
  <si>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</si>
  <si>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</si>
  <si>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</si>
  <si>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</si>
  <si>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</si>
  <si>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</si>
  <si>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</si>
  <si>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</si>
  <si>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</si>
  <si>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</si>
  <si>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</si>
  <si>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</si>
  <si>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</si>
  <si>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</si>
  <si>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</si>
  <si>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</si>
  <si>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</si>
  <si>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</si>
  <si>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</si>
  <si>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</si>
  <si>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</si>
  <si>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</si>
  <si>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</si>
  <si>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</si>
  <si>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</si>
  <si>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</si>
  <si>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</si>
  <si>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</si>
  <si>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</si>
  <si>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</si>
  <si>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</si>
  <si>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</si>
  <si>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</si>
  <si>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</si>
  <si>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</si>
  <si>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</si>
  <si>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</si>
  <si>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</si>
  <si>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</si>
  <si>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</si>
  <si>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</si>
  <si>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</si>
  <si>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</si>
  <si>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</si>
  <si>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</si>
  <si>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</si>
  <si>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</si>
  <si>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</si>
  <si>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</si>
  <si>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</si>
  <si>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</si>
  <si>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</si>
  <si>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</si>
  <si>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</si>
  <si>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</si>
  <si>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</si>
  <si>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</si>
  <si>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</si>
  <si>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</si>
  <si>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</si>
  <si>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</si>
  <si>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</si>
  <si>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</si>
  <si>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</si>
  <si>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</si>
  <si>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</si>
  <si>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</si>
  <si>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</si>
  <si>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</si>
  <si>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</si>
  <si>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</si>
  <si>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</si>
  <si>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</si>
  <si>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</si>
  <si>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</si>
  <si>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</si>
  <si>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</si>
  <si>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</si>
  <si>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</si>
  <si>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</si>
  <si>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</si>
  <si>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</si>
  <si>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</si>
  <si>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</si>
  <si>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</si>
  <si>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</si>
  <si>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</si>
  <si>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</si>
  <si>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</si>
  <si>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</si>
  <si>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</si>
  <si>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</si>
  <si>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</si>
  <si>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</si>
  <si>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</si>
  <si>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</si>
  <si>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</si>
  <si>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</si>
  <si>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</si>
  <si>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</si>
  <si>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</si>
  <si>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</si>
  <si>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</si>
  <si>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</si>
  <si>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</si>
  <si>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</si>
  <si>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</si>
  <si>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</si>
  <si>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</si>
  <si>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</si>
  <si>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</si>
  <si>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</si>
  <si>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</si>
  <si>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</si>
  <si>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</si>
  <si>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</si>
  <si>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</si>
  <si>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</si>
  <si>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</si>
  <si>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</si>
  <si>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</si>
  <si>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</si>
  <si>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</si>
  <si>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</si>
  <si>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</si>
  <si>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</si>
  <si>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</si>
  <si>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</si>
  <si>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</si>
  <si>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</si>
  <si>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</si>
  <si>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</si>
  <si>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</si>
  <si>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</si>
  <si>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</si>
  <si>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</si>
  <si>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</si>
  <si>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</si>
  <si>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</si>
  <si>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</si>
  <si>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</si>
  <si>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</si>
  <si>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</si>
  <si>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</si>
  <si>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</si>
  <si>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</si>
  <si>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</si>
  <si>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</si>
  <si>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</si>
  <si>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</si>
  <si>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</si>
  <si>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</si>
  <si>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</si>
  <si>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</si>
  <si>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</si>
  <si>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</si>
  <si>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</si>
  <si>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</si>
  <si>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</si>
  <si>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</si>
  <si>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</si>
  <si>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</si>
  <si>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</si>
  <si>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</si>
  <si>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</si>
  <si>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</si>
  <si>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</si>
  <si>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</si>
  <si>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</si>
  <si>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</si>
  <si>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</si>
  <si>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</si>
  <si>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</si>
  <si>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</si>
  <si>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</si>
  <si>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</si>
  <si>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</si>
  <si>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</si>
  <si>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</si>
  <si>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</si>
  <si>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</si>
  <si>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</si>
  <si>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</si>
  <si>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</si>
  <si>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</si>
  <si>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</si>
  <si>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</si>
  <si>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</si>
  <si>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</si>
  <si>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</si>
  <si>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</si>
  <si>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</si>
  <si>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</si>
  <si>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</si>
  <si>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</si>
  <si>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</si>
  <si>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</si>
  <si>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</si>
  <si>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</si>
  <si>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</si>
  <si>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</si>
  <si>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</si>
  <si>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</si>
  <si>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</si>
  <si>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</si>
  <si>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</si>
  <si>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</si>
  <si>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</si>
  <si>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</si>
  <si>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</si>
  <si>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</si>
  <si>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</si>
  <si>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</si>
  <si>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</si>
  <si>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</si>
  <si>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</si>
  <si>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</si>
  <si>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</si>
  <si>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</si>
  <si>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</si>
  <si>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</si>
  <si>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</si>
  <si>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</si>
  <si>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</si>
  <si>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</si>
  <si>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</si>
  <si>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</si>
  <si>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</si>
  <si>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</si>
  <si>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</si>
  <si>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</si>
  <si>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</si>
  <si>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</si>
  <si>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</si>
  <si>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</si>
  <si>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</si>
  <si>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</si>
  <si>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</si>
  <si>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</si>
  <si>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</si>
  <si>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</si>
  <si>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</si>
  <si>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</si>
  <si>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</si>
  <si>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</si>
  <si>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</si>
  <si>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</si>
  <si>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</si>
  <si>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</si>
  <si>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</si>
  <si>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</si>
  <si>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</si>
  <si>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</si>
  <si>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</si>
  <si>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</si>
  <si>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</si>
  <si>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</si>
  <si>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</si>
  <si>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</si>
  <si>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</si>
  <si>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</si>
  <si>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</si>
  <si>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</si>
  <si>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</si>
  <si>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</si>
  <si>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</si>
  <si>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</si>
  <si>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</si>
  <si>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</si>
  <si>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</si>
  <si>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</si>
  <si>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</si>
  <si>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</si>
  <si>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</si>
  <si>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</si>
  <si>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</si>
  <si>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</si>
  <si>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</si>
  <si>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</si>
  <si>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</si>
  <si>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</si>
  <si>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</si>
  <si>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</si>
  <si>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</si>
  <si>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</si>
  <si>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</si>
  <si>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</si>
  <si>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</si>
  <si>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</si>
  <si>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</si>
  <si>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</si>
  <si>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</si>
  <si>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</si>
  <si>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</si>
  <si>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</si>
  <si>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</si>
  <si>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</si>
  <si>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</si>
  <si>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</si>
  <si>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</si>
  <si>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</si>
  <si>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</si>
  <si>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</si>
  <si>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</si>
  <si>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</si>
  <si>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</si>
  <si>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</si>
  <si>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</si>
  <si>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</si>
  <si>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</si>
  <si>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</si>
  <si>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</si>
  <si>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</si>
  <si>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</si>
  <si>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</si>
  <si>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</si>
  <si>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</si>
  <si>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</si>
  <si>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</si>
  <si>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</si>
  <si>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</si>
  <si>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</si>
  <si>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</si>
  <si>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</si>
  <si>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</si>
  <si>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</si>
  <si>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</si>
  <si>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</si>
  <si>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</si>
  <si>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</si>
  <si>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</si>
  <si>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</si>
  <si>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</si>
  <si>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</si>
  <si>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</si>
  <si>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</si>
  <si>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</si>
  <si>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</si>
  <si>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</si>
  <si>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</si>
  <si>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</si>
  <si>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</si>
  <si>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</si>
  <si>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</si>
  <si>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</si>
  <si>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</si>
  <si>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</si>
  <si>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</si>
  <si>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</si>
  <si>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</si>
  <si>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</si>
  <si>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</si>
  <si>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</si>
  <si>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</si>
  <si>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</si>
  <si>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</si>
  <si>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</si>
  <si>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</si>
  <si>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</si>
  <si>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</si>
  <si>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</si>
  <si>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</si>
  <si>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</si>
  <si>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</si>
  <si>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</si>
  <si>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</si>
  <si>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</si>
  <si>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</si>
  <si>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</si>
  <si>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</si>
  <si>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</si>
  <si>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</si>
  <si>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</si>
  <si>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</si>
  <si>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</si>
  <si>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</si>
  <si>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</si>
  <si>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</si>
  <si>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</si>
  <si>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</si>
  <si>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</si>
  <si>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</si>
  <si>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</si>
  <si>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</si>
  <si>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</si>
  <si>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</si>
  <si>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</si>
  <si>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</si>
  <si>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</si>
  <si>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</si>
  <si>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</si>
  <si>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</si>
  <si>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</si>
  <si>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</si>
  <si>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</si>
  <si>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</si>
  <si>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</si>
  <si>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</si>
  <si>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</si>
  <si>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</si>
  <si>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</si>
  <si>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</si>
  <si>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</si>
  <si>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</si>
  <si>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</si>
  <si>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</si>
  <si>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</si>
  <si>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</si>
  <si>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</si>
  <si>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</si>
  <si>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</si>
  <si>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</si>
  <si>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</si>
  <si>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</si>
  <si>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</si>
  <si>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</si>
  <si>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</si>
  <si>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</si>
  <si>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</si>
  <si>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</si>
  <si>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</si>
  <si>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</si>
  <si>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</si>
  <si>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</si>
  <si>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</si>
  <si>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</si>
  <si>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</si>
  <si>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</si>
  <si>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</si>
  <si>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</si>
  <si>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</si>
  <si>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</si>
  <si>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</si>
  <si>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</si>
  <si>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</si>
  <si>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</si>
  <si>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</si>
  <si>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</si>
  <si>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</si>
  <si>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</si>
  <si>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</si>
  <si>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</si>
  <si>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</si>
  <si>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</si>
  <si>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</si>
  <si>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</si>
  <si>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</si>
  <si>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</si>
  <si>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</si>
  <si>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</si>
  <si>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</si>
  <si>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</si>
  <si>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</si>
  <si>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</si>
  <si>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</si>
  <si>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</si>
  <si>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</si>
  <si>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</si>
  <si>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</si>
  <si>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</si>
  <si>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</si>
  <si>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</si>
  <si>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</si>
  <si>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</si>
  <si>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</si>
  <si>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</si>
  <si>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</si>
  <si>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</si>
  <si>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</si>
  <si>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</si>
  <si>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</si>
  <si>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</si>
  <si>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</si>
  <si>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</si>
  <si>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</si>
  <si>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</si>
  <si>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</si>
  <si>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</si>
  <si>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</si>
  <si>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</si>
  <si>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</si>
  <si>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</si>
  <si>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</si>
  <si>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</si>
  <si>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</si>
  <si>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</si>
  <si>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</si>
  <si>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</si>
  <si>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</si>
  <si>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</si>
  <si>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</si>
  <si>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</si>
  <si>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</si>
  <si>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</si>
  <si>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</si>
  <si>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</si>
  <si>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</si>
  <si>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</si>
  <si>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</si>
  <si>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</si>
  <si>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</si>
  <si>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</si>
  <si>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</si>
  <si>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</si>
  <si>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</si>
  <si>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</si>
  <si>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</si>
  <si>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</si>
  <si>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</si>
  <si>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</si>
  <si>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</si>
  <si>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</si>
  <si>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</si>
  <si>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</si>
  <si>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</si>
  <si>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</si>
  <si>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</si>
  <si>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</si>
  <si>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</si>
  <si>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</si>
  <si>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</si>
  <si>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</si>
  <si>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</si>
  <si>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</si>
  <si>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</si>
  <si>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</si>
  <si>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</si>
  <si>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</si>
  <si>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</si>
  <si>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</si>
  <si>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</si>
  <si>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</si>
  <si>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</si>
  <si>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</si>
  <si>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</si>
  <si>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</si>
  <si>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</si>
  <si>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</si>
  <si>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</si>
  <si>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</si>
  <si>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</si>
  <si>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</si>
  <si>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</si>
  <si>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</si>
  <si>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</si>
  <si>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</si>
  <si>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</si>
  <si>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</si>
  <si>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</si>
  <si>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</si>
  <si>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</si>
  <si>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</si>
  <si>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</si>
  <si>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</si>
  <si>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</si>
  <si>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</si>
  <si>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</si>
  <si>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</si>
  <si>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</si>
  <si>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</si>
  <si>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</si>
  <si>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</si>
  <si>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</si>
  <si>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</si>
  <si>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</si>
  <si>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</si>
  <si>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</si>
  <si>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</si>
  <si>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</si>
  <si>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</si>
  <si>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</si>
  <si>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</si>
  <si>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</si>
  <si>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</si>
  <si>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</si>
  <si>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</si>
  <si>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</si>
  <si>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</si>
  <si>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</si>
  <si>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</si>
  <si>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</si>
  <si>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</si>
  <si>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</si>
  <si>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</si>
  <si>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</si>
  <si>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</si>
  <si>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</si>
  <si>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</si>
  <si>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</si>
  <si>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</si>
  <si>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</si>
  <si>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</si>
  <si>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</si>
  <si>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</si>
  <si>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</si>
  <si>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</si>
  <si>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</si>
  <si>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</si>
  <si>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</si>
  <si>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</si>
  <si>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</si>
  <si>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</si>
  <si>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</si>
  <si>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</si>
  <si>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</si>
  <si>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</si>
  <si>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</si>
  <si>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</si>
  <si>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</si>
  <si>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</si>
  <si>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</si>
  <si>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</si>
  <si>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</si>
  <si>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</si>
  <si>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</si>
  <si>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</si>
  <si>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</si>
  <si>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</si>
  <si>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</si>
  <si>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</si>
  <si>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</si>
  <si>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</si>
  <si>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</si>
  <si>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</si>
  <si>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</si>
  <si>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</si>
  <si>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</si>
  <si>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</si>
  <si>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</si>
  <si>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</si>
  <si>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</si>
  <si>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</si>
  <si>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</si>
  <si>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</si>
  <si>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</si>
  <si>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</si>
  <si>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</si>
  <si>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</si>
  <si>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</si>
  <si>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</si>
  <si>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</si>
  <si>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</si>
  <si>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</si>
  <si>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</si>
  <si>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</si>
  <si>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</si>
  <si>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</si>
  <si>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</si>
  <si>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</si>
  <si>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</si>
  <si>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</si>
  <si>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</si>
  <si>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</si>
  <si>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</si>
  <si>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</si>
  <si>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</si>
  <si>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</si>
  <si>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</si>
  <si>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</si>
  <si>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</si>
  <si>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</si>
  <si>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</si>
  <si>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</si>
  <si>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</si>
  <si>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</si>
  <si>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</si>
  <si>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</si>
  <si>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</si>
  <si>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</si>
  <si>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</si>
  <si>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</si>
  <si>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</si>
  <si>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</si>
  <si>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</si>
  <si>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</si>
  <si>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</si>
  <si>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</si>
  <si>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</si>
  <si>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</si>
  <si>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</si>
  <si>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</si>
  <si>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</si>
  <si>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</si>
  <si>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</si>
  <si>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</si>
  <si>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</si>
  <si>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</si>
  <si>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</si>
  <si>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</si>
  <si>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</si>
  <si>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</si>
  <si>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</si>
  <si>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</si>
  <si>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</si>
  <si>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</si>
  <si>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</si>
  <si>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</si>
  <si>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</si>
  <si>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</si>
  <si>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</si>
  <si>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</si>
  <si>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</si>
  <si>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</si>
  <si>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</si>
  <si>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</si>
  <si>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</si>
  <si>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</si>
  <si>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</si>
  <si>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</si>
  <si>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</si>
  <si>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</si>
  <si>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</si>
  <si>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</si>
  <si>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</si>
  <si>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</si>
  <si>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</si>
  <si>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</si>
  <si>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</si>
  <si>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</si>
  <si>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</si>
  <si>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</si>
  <si>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</si>
  <si>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</si>
  <si>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</si>
  <si>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</si>
  <si>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</si>
  <si>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</si>
  <si>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</si>
  <si>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</si>
  <si>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</si>
  <si>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</si>
  <si>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</si>
  <si>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</si>
  <si>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</si>
  <si>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</si>
  <si>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</si>
  <si>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</si>
  <si>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</si>
  <si>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</si>
  <si>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</si>
  <si>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</si>
  <si>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</si>
  <si>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</si>
  <si>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</si>
  <si>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</si>
  <si>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</si>
  <si>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</si>
  <si>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</si>
  <si>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</si>
  <si>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</si>
  <si>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</si>
  <si>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</si>
  <si>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</si>
  <si>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</si>
  <si>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</si>
  <si>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</si>
  <si>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</si>
  <si>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</si>
  <si>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</si>
  <si>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</si>
  <si>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</si>
  <si>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</si>
  <si>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</si>
  <si>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</si>
  <si>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</si>
  <si>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</si>
  <si>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</si>
  <si>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</si>
  <si>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</si>
  <si>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</si>
  <si>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</si>
  <si>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</si>
  <si>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</si>
  <si>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</si>
  <si>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</si>
  <si>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</si>
  <si>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</si>
  <si>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</si>
  <si>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</si>
  <si>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</si>
  <si>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</si>
  <si>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</si>
  <si>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</si>
  <si>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</si>
  <si>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</si>
  <si>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</si>
  <si>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</si>
  <si>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</si>
  <si>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</si>
  <si>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</si>
  <si>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</si>
  <si>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</si>
  <si>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</si>
  <si>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</si>
  <si>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</si>
  <si>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</si>
  <si>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</si>
  <si>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</si>
  <si>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</si>
  <si>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</si>
  <si>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</si>
  <si>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</si>
  <si>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</si>
  <si>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</si>
  <si>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</si>
  <si>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</si>
  <si>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</si>
  <si>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</si>
  <si>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</si>
  <si>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</si>
  <si>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</si>
  <si>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</si>
  <si>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</si>
  <si>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</si>
  <si>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</si>
  <si>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</si>
  <si>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</si>
  <si>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</si>
  <si>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</si>
  <si>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</si>
  <si>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</si>
  <si>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</si>
  <si>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</si>
  <si>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</si>
  <si>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</si>
  <si>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</si>
  <si>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</si>
  <si>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</si>
  <si>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</si>
  <si>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</si>
  <si>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</si>
  <si>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</si>
  <si>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</si>
  <si>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</si>
  <si>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</si>
  <si>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</si>
  <si>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</si>
  <si>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</si>
  <si>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</si>
  <si>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</si>
  <si>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</si>
  <si>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</si>
  <si>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</si>
  <si>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</si>
  <si>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</si>
  <si>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</si>
  <si>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</si>
  <si>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</si>
  <si>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</si>
  <si>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</si>
  <si>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</si>
  <si>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</si>
  <si>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</si>
  <si>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</si>
  <si>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</si>
  <si>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</si>
  <si>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</si>
  <si>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</si>
  <si>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</si>
  <si>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</si>
  <si>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</si>
  <si>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</si>
  <si>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</si>
  <si>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</si>
  <si>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</si>
  <si>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</si>
  <si>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</si>
  <si>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</si>
  <si>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</si>
  <si>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</si>
  <si>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</si>
  <si>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</si>
  <si>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</si>
  <si>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</si>
  <si>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</si>
  <si>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</si>
  <si>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</si>
  <si>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</si>
  <si>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</si>
  <si>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</si>
  <si>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</si>
  <si>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</si>
  <si>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</si>
  <si>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</si>
  <si>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</si>
  <si>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</si>
  <si>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</si>
  <si>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</si>
  <si>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</si>
  <si>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</si>
  <si>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</si>
  <si>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</si>
  <si>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</si>
  <si>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</si>
  <si>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</si>
  <si>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</si>
  <si>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</si>
  <si>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</si>
  <si>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</si>
  <si>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</si>
  <si>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</si>
  <si>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</si>
  <si>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</si>
  <si>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</si>
  <si>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</si>
  <si>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</si>
  <si>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</si>
  <si>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</si>
  <si>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</si>
  <si>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</si>
  <si>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</si>
  <si>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</si>
  <si>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</si>
  <si>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</si>
  <si>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</si>
  <si>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</si>
  <si>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</si>
  <si>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</si>
  <si>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</si>
  <si>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</si>
  <si>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</si>
  <si>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</si>
  <si>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</si>
  <si>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</si>
  <si>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</si>
  <si>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</si>
  <si>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</si>
  <si>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</si>
  <si>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</si>
  <si>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</si>
  <si>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</si>
  <si>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</si>
  <si>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</si>
  <si>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</si>
  <si>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</si>
  <si>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</si>
  <si>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</si>
  <si>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</si>
  <si>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</si>
  <si>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</si>
  <si>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</si>
  <si>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</si>
  <si>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</si>
  <si>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</si>
  <si>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</si>
  <si>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</si>
  <si>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</si>
  <si>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</si>
  <si>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</si>
  <si>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</si>
  <si>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</si>
  <si>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</si>
  <si>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</si>
  <si>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</si>
  <si>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</si>
  <si>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</si>
  <si>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</si>
  <si>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</si>
  <si>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</si>
  <si>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</si>
  <si>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</si>
  <si>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</si>
  <si>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</si>
  <si>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</si>
  <si>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</si>
  <si>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</si>
  <si>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</si>
  <si>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</si>
  <si>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</si>
  <si>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</si>
  <si>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</si>
  <si>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</si>
  <si>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</si>
  <si>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</si>
  <si>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</si>
  <si>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</si>
  <si>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</si>
  <si>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</si>
  <si>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</si>
  <si>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</si>
  <si>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</si>
  <si>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</si>
  <si>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</si>
  <si>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</si>
  <si>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</si>
  <si>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</si>
  <si>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</si>
  <si>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</si>
  <si>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</si>
  <si>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</si>
  <si>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</si>
  <si>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</si>
  <si>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</si>
  <si>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</si>
  <si>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</si>
  <si>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</si>
  <si>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</si>
  <si>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</si>
  <si>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</si>
  <si>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</si>
  <si>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</si>
  <si>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</si>
  <si>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</si>
  <si>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</si>
  <si>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</si>
  <si>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</si>
  <si>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</si>
  <si>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</si>
  <si>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</si>
  <si>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</si>
  <si>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</si>
  <si>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</si>
  <si>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</si>
  <si>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</si>
  <si>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</si>
  <si>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</si>
  <si>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</si>
  <si>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</si>
  <si>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</si>
  <si>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</si>
  <si>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</si>
  <si>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</si>
  <si>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</si>
  <si>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</si>
  <si>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</si>
  <si>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</si>
  <si>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</si>
  <si>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</si>
  <si>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</si>
  <si>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</si>
  <si>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</si>
  <si>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</si>
  <si>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</si>
  <si>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</si>
  <si>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</si>
  <si>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</si>
  <si>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</si>
  <si>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</si>
  <si>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</si>
  <si>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</si>
  <si>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</si>
  <si>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</si>
  <si>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</si>
  <si>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</si>
  <si>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</si>
  <si>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</si>
  <si>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</si>
  <si>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</si>
  <si>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</si>
  <si>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</si>
  <si>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</si>
  <si>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</si>
  <si>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</si>
  <si>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</si>
  <si>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</si>
  <si>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</si>
  <si>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</si>
  <si>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</si>
  <si>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</si>
  <si>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</si>
  <si>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</si>
  <si>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</si>
  <si>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</si>
  <si>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</si>
  <si>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</si>
  <si>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</si>
  <si>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</si>
  <si>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</si>
  <si>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</si>
  <si>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</si>
  <si>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</si>
  <si>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</si>
  <si>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</si>
  <si>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</si>
  <si>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</si>
  <si>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</si>
  <si>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</si>
  <si>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</si>
  <si>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</si>
  <si>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</si>
  <si>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</si>
  <si>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</si>
  <si>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</si>
  <si>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</si>
  <si>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</si>
  <si>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</si>
  <si>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</si>
  <si>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</si>
  <si>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</si>
  <si>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</si>
  <si>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</si>
  <si>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</si>
  <si>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</si>
  <si>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</si>
  <si>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</si>
  <si>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</si>
  <si>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</si>
  <si>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</si>
  <si>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</si>
  <si>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</si>
  <si>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</si>
  <si>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</si>
  <si>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</si>
  <si>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</si>
  <si>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</si>
  <si>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</si>
  <si>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</si>
  <si>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</si>
  <si>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</si>
  <si>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</si>
  <si>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</si>
  <si>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</si>
  <si>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</si>
  <si>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</si>
  <si>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</si>
  <si>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</si>
  <si>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</si>
  <si>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</si>
  <si>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</si>
  <si>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</si>
  <si>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</si>
  <si>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</si>
  <si>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</si>
  <si>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</si>
  <si>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</si>
  <si>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</si>
  <si>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</si>
  <si>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</si>
  <si>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</si>
  <si>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</si>
  <si>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</si>
  <si>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</si>
  <si>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</si>
  <si>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</si>
  <si>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</si>
  <si>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</si>
  <si>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</si>
  <si>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</si>
  <si>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</si>
  <si>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</si>
  <si>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</si>
  <si>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</si>
  <si>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</si>
  <si>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</si>
  <si>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</si>
  <si>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</si>
  <si>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</si>
  <si>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</si>
  <si>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</si>
  <si>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</si>
  <si>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</si>
  <si>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</si>
  <si>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</si>
  <si>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</si>
  <si>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</si>
  <si>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</si>
  <si>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</si>
  <si>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</si>
  <si>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</si>
  <si>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</si>
  <si>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</si>
  <si>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</si>
  <si>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</si>
  <si>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</si>
  <si>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</si>
  <si>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</si>
  <si>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</si>
  <si>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</si>
  <si>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</si>
  <si>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</si>
  <si>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</si>
  <si>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</si>
  <si>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</si>
  <si>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</si>
  <si>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</si>
  <si>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</si>
  <si>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</si>
  <si>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</si>
  <si>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</si>
  <si>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</si>
  <si>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</si>
  <si>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</si>
  <si>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</si>
  <si>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</si>
  <si>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</si>
  <si>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</si>
  <si>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</si>
  <si>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</si>
  <si>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</si>
  <si>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</si>
  <si>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</si>
  <si>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</si>
  <si>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</si>
  <si>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</si>
  <si>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</si>
  <si>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</si>
  <si>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</si>
  <si>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</si>
  <si>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</si>
  <si>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</si>
  <si>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</si>
  <si>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</si>
  <si>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</si>
  <si>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</si>
  <si>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</si>
  <si>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</si>
  <si>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</si>
  <si>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</si>
  <si>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</si>
  <si>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</si>
  <si>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</si>
  <si>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</si>
  <si>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</si>
  <si>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</si>
  <si>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</si>
  <si>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</si>
  <si>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</si>
  <si>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</si>
  <si>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</si>
  <si>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</si>
  <si>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</si>
  <si>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</si>
  <si>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</si>
  <si>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</si>
  <si>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</si>
  <si>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</si>
  <si>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</si>
  <si>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</si>
  <si>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</si>
  <si>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</si>
  <si>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</si>
  <si>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</si>
  <si>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</si>
  <si>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</si>
  <si>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</si>
  <si>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</si>
  <si>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</si>
  <si>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</si>
  <si>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</si>
  <si>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</si>
  <si>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</si>
  <si>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</si>
  <si>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</si>
  <si>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</si>
  <si>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</si>
  <si>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</si>
  <si>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</si>
  <si>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</si>
  <si>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</si>
  <si>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</si>
  <si>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</si>
  <si>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</si>
  <si>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</si>
  <si>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</si>
  <si>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</si>
  <si>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</si>
  <si>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</si>
  <si>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</si>
  <si>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</si>
  <si>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</si>
  <si>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</si>
  <si>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</si>
  <si>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</si>
  <si>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</si>
  <si>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</si>
  <si>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</si>
  <si>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</si>
  <si>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</si>
  <si>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</si>
  <si>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</si>
  <si>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</si>
  <si>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</si>
  <si>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</si>
  <si>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</si>
  <si>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</si>
  <si>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</si>
  <si>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</si>
  <si>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</si>
  <si>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</si>
  <si>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</si>
  <si>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</si>
  <si>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</si>
  <si>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</si>
  <si>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</si>
  <si>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</si>
  <si>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</si>
  <si>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</si>
  <si>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</si>
  <si>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</si>
  <si>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</si>
  <si>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</si>
  <si>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</si>
  <si>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</si>
  <si>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</si>
  <si>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</si>
  <si>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</si>
  <si>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</si>
  <si>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</si>
  <si>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</si>
  <si>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</si>
  <si>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</si>
  <si>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</si>
  <si>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</si>
  <si>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</si>
  <si>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</si>
  <si>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</si>
  <si>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</si>
  <si>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</si>
  <si>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</si>
  <si>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</si>
  <si>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</si>
  <si>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</si>
  <si>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</si>
  <si>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</si>
  <si>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</si>
  <si>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</si>
  <si>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</si>
  <si>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</si>
  <si>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</si>
  <si>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</si>
  <si>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</si>
  <si>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</si>
  <si>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</si>
  <si>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</si>
  <si>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</si>
  <si>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</si>
  <si>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</si>
  <si>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</si>
  <si>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</si>
  <si>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</si>
  <si>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</si>
  <si>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</si>
  <si>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</si>
  <si>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</si>
  <si>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</si>
  <si>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</si>
  <si>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</si>
  <si>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</si>
  <si>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</si>
  <si>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</si>
  <si>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</si>
  <si>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</si>
  <si>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</si>
  <si>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</si>
  <si>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</si>
  <si>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</si>
  <si>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</si>
  <si>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</si>
  <si>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</si>
  <si>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</si>
  <si>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</si>
  <si>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</si>
  <si>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</si>
  <si>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</si>
  <si>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</si>
  <si>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</si>
  <si>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</si>
  <si>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</si>
  <si>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</si>
  <si>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</si>
  <si>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</si>
  <si>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</si>
  <si>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</si>
  <si>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</si>
  <si>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</si>
  <si>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</si>
  <si>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</si>
  <si>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</si>
  <si>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</si>
  <si>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</si>
  <si>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</si>
  <si>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</si>
  <si>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</si>
  <si>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</si>
  <si>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</si>
  <si>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</si>
  <si>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</si>
  <si>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</si>
  <si>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</si>
  <si>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</si>
  <si>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</si>
  <si>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</si>
  <si>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</si>
  <si>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</si>
  <si>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</si>
  <si>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</si>
  <si>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</si>
  <si>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</si>
  <si>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</si>
  <si>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</si>
  <si>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</si>
  <si>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</si>
  <si>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</si>
  <si>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</si>
  <si>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</si>
  <si>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</si>
  <si>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</si>
  <si>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</si>
  <si>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</si>
  <si>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</si>
  <si>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</si>
  <si>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</si>
  <si>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</si>
  <si>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</si>
  <si>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</si>
  <si>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</si>
  <si>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</si>
  <si>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</si>
  <si>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</si>
  <si>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</si>
  <si>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</si>
  <si>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</si>
  <si>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</si>
  <si>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</si>
  <si>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</si>
  <si>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</si>
  <si>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</si>
  <si>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</si>
  <si>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</si>
  <si>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</si>
  <si>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</si>
  <si>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</si>
  <si>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</si>
  <si>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</si>
  <si>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</si>
  <si>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</si>
  <si>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</si>
  <si>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</si>
  <si>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</si>
  <si>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</si>
  <si>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</si>
  <si>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</si>
  <si>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</si>
  <si>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</si>
  <si>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</si>
  <si>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</si>
  <si>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</si>
  <si>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</si>
  <si>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</si>
  <si>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</si>
  <si>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</si>
  <si>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</si>
  <si>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</si>
  <si>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</si>
  <si>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</si>
  <si>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</si>
  <si>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</si>
  <si>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</si>
  <si>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</si>
  <si>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</si>
  <si>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</si>
  <si>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</si>
  <si>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</si>
  <si>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</si>
  <si>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</si>
  <si>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</si>
  <si>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</si>
  <si>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</si>
  <si>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</si>
  <si>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</si>
  <si>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</si>
  <si>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</si>
  <si>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</si>
  <si>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</si>
  <si>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</si>
  <si>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</si>
  <si>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</si>
  <si>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</si>
  <si>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</si>
  <si>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</si>
  <si>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</si>
  <si>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</si>
  <si>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</si>
  <si>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</si>
  <si>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</si>
  <si>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</si>
  <si>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</si>
  <si>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</si>
  <si>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</si>
  <si>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</si>
  <si>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</si>
  <si>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</si>
  <si>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</si>
  <si>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</si>
  <si>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</si>
  <si>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</si>
  <si>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</si>
  <si>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</si>
  <si>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</si>
  <si>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</si>
  <si>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</si>
  <si>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</si>
  <si>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</si>
  <si>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</si>
  <si>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</si>
  <si>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</si>
  <si>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</si>
  <si>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</si>
  <si>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</si>
  <si>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</si>
  <si>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</si>
  <si>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</si>
  <si>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</si>
  <si>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</si>
  <si>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</si>
  <si>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</si>
  <si>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</si>
  <si>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</si>
  <si>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</si>
  <si>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</si>
  <si>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</si>
  <si>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</si>
  <si>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</si>
  <si>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</si>
  <si>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</si>
  <si>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</si>
  <si>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</si>
  <si>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</si>
  <si>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</si>
  <si>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</si>
  <si>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</si>
  <si>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</si>
  <si>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</si>
  <si>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</si>
  <si>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</si>
  <si>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</si>
  <si>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</si>
  <si>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</si>
  <si>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</si>
  <si>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</si>
  <si>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</si>
  <si>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</si>
  <si>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</si>
  <si>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</si>
  <si>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</si>
  <si>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</si>
  <si>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</si>
  <si>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</si>
  <si>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</si>
  <si>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</si>
  <si>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</si>
  <si>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</si>
  <si>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</si>
  <si>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</si>
  <si>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</si>
  <si>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</si>
  <si>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</si>
  <si>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</si>
  <si>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</si>
  <si>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</si>
  <si>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</si>
  <si>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</si>
  <si>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</si>
  <si>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</si>
  <si>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</si>
  <si>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</si>
  <si>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</si>
  <si>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</si>
  <si>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</si>
  <si>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</si>
  <si>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</si>
  <si>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</si>
  <si>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</si>
  <si>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</si>
  <si>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</si>
  <si>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</si>
  <si>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</si>
  <si>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</si>
  <si>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</si>
  <si>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</si>
  <si>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</si>
  <si>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</si>
  <si>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</si>
  <si>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</si>
  <si>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</si>
  <si>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</si>
  <si>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</si>
  <si>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</si>
  <si>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</si>
  <si>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</si>
  <si>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</si>
  <si>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</si>
  <si>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</si>
  <si>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</si>
  <si>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</si>
  <si>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</si>
  <si>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</si>
  <si>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</si>
  <si>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</si>
  <si>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</si>
  <si>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</si>
  <si>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</si>
  <si>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</si>
  <si>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</si>
  <si>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</si>
  <si>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</si>
  <si>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</si>
  <si>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</si>
  <si>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</si>
  <si>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</si>
  <si>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</si>
  <si>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</si>
  <si>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</si>
  <si>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</si>
  <si>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</si>
  <si>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</si>
  <si>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</si>
  <si>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</si>
  <si>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</si>
  <si>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</si>
  <si>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</si>
  <si>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</si>
  <si>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</si>
  <si>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</si>
  <si>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</si>
  <si>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</si>
  <si>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</si>
  <si>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</si>
  <si>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</si>
  <si>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</si>
  <si>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</si>
  <si>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</si>
  <si>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</si>
  <si>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</si>
  <si>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</si>
  <si>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</si>
  <si>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</si>
  <si>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</si>
  <si>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</si>
  <si>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</si>
  <si>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</si>
  <si>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</si>
  <si>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</si>
  <si>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</si>
  <si>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</si>
  <si>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</si>
  <si>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</si>
  <si>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</si>
  <si>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</si>
  <si>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</si>
  <si>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</si>
  <si>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</si>
  <si>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</si>
  <si>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</si>
  <si>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</si>
  <si>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</si>
  <si>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</si>
  <si>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</si>
  <si>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</si>
  <si>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</si>
  <si>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</si>
  <si>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</si>
  <si>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</si>
  <si>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</si>
  <si>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</si>
  <si>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</si>
  <si>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</si>
  <si>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</si>
  <si>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</si>
  <si>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</si>
  <si>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</si>
  <si>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</si>
  <si>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</si>
  <si>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</si>
  <si>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</si>
  <si>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</si>
  <si>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</si>
  <si>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</si>
  <si>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</si>
  <si>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</si>
  <si>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</si>
  <si>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</si>
  <si>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</si>
  <si>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</si>
  <si>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</si>
  <si>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</si>
  <si>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</si>
  <si>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</si>
  <si>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</si>
  <si>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</si>
  <si>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</si>
  <si>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</si>
  <si>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</si>
  <si>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</si>
  <si>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</si>
  <si>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</si>
  <si>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</si>
  <si>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</si>
  <si>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</si>
  <si>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</si>
  <si>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</si>
  <si>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</si>
  <si>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</si>
  <si>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</si>
  <si>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</si>
  <si>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</si>
  <si>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</si>
  <si>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</si>
  <si>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</si>
  <si>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</si>
  <si>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</si>
  <si>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</si>
  <si>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</si>
  <si>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</si>
  <si>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</si>
  <si>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</si>
  <si>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</si>
  <si>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</si>
  <si>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</si>
  <si>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</si>
  <si>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</si>
  <si>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</si>
  <si>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</si>
  <si>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</si>
  <si>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</si>
  <si>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</si>
  <si>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</si>
  <si>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</si>
  <si>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</si>
  <si>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</si>
  <si>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</si>
  <si>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</si>
  <si>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</si>
  <si>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</si>
  <si>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</si>
  <si>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</si>
  <si>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</si>
  <si>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</si>
  <si>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</si>
  <si>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</si>
  <si>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</si>
  <si>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</si>
  <si>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</si>
  <si>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</si>
  <si>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</si>
  <si>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</si>
  <si>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</si>
  <si>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</si>
  <si>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</si>
  <si>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</si>
  <si>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</si>
  <si>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</si>
  <si>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</si>
  <si>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</si>
  <si>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</si>
  <si>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</si>
  <si>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</si>
  <si>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</si>
  <si>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</si>
  <si>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</si>
  <si>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</si>
  <si>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</si>
  <si>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</si>
  <si>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</si>
  <si>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</si>
  <si>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</si>
  <si>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</si>
  <si>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</si>
  <si>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</si>
  <si>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</si>
  <si>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</si>
  <si>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</si>
  <si>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</si>
  <si>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</si>
  <si>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</si>
  <si>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</si>
  <si>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</si>
  <si>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</si>
  <si>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</si>
  <si>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</si>
  <si>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</si>
  <si>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</si>
  <si>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</si>
  <si>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</si>
  <si>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</si>
  <si>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</si>
  <si>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</si>
  <si>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</si>
  <si>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</si>
  <si>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</si>
  <si>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</si>
  <si>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</si>
  <si>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</si>
  <si>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</si>
  <si>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</si>
  <si>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</si>
  <si>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</si>
  <si>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</si>
  <si>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</si>
  <si>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</si>
  <si>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</si>
  <si>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</si>
  <si>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</si>
  <si>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</si>
  <si>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</si>
  <si>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</si>
  <si>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</si>
  <si>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</si>
  <si>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</si>
  <si>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</si>
  <si>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</si>
  <si>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</si>
  <si>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</si>
  <si>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</si>
  <si>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</si>
  <si>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</si>
  <si>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</si>
  <si>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</si>
  <si>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</si>
  <si>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</si>
  <si>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</si>
  <si>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</si>
  <si>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</si>
  <si>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</si>
  <si>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</si>
  <si>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</si>
  <si>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</si>
  <si>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</si>
  <si>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</si>
  <si>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</si>
  <si>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</si>
  <si>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</si>
  <si>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</si>
  <si>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</si>
  <si>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</si>
  <si>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</si>
  <si>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</si>
  <si>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</si>
  <si>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</si>
  <si>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</si>
  <si>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</si>
  <si>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</si>
  <si>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</si>
  <si>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</si>
  <si>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</si>
  <si>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</si>
  <si>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</si>
  <si>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</si>
  <si>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</si>
  <si>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</si>
  <si>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</si>
  <si>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</si>
  <si>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</si>
  <si>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</si>
  <si>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</si>
  <si>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</si>
  <si>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</si>
  <si>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</si>
  <si>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</si>
  <si>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</si>
  <si>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</si>
  <si>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</si>
  <si>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</si>
  <si>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</si>
  <si>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</si>
  <si>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</si>
  <si>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</si>
  <si>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</si>
  <si>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</si>
  <si>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</si>
  <si>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</si>
  <si>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</si>
  <si>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</si>
  <si>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</si>
  <si>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</si>
  <si>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</si>
  <si>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</si>
  <si>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</si>
  <si>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</si>
  <si>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</si>
  <si>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</si>
  <si>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</si>
  <si>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</si>
  <si>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</si>
  <si>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</si>
  <si>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</si>
  <si>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</si>
  <si>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</si>
  <si>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</si>
  <si>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</si>
  <si>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</si>
  <si>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</si>
  <si>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</si>
  <si>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</si>
  <si>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</si>
  <si>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</si>
  <si>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</si>
  <si>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</si>
  <si>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</si>
  <si>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</si>
  <si>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</si>
  <si>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</si>
  <si>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</si>
  <si>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</si>
  <si>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</si>
  <si>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</si>
  <si>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</si>
  <si>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</si>
  <si>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</si>
  <si>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</si>
  <si>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</si>
  <si>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</si>
  <si>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</si>
  <si>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</si>
  <si>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</si>
  <si>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</si>
  <si>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</si>
  <si>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</si>
  <si>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</si>
  <si>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</si>
  <si>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</si>
  <si>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</si>
  <si>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</si>
  <si>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</si>
  <si>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</si>
  <si>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</si>
  <si>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</si>
  <si>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</si>
  <si>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</si>
  <si>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</si>
  <si>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</si>
  <si>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</si>
  <si>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</si>
  <si>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</si>
  <si>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</si>
  <si>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</si>
  <si>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</si>
  <si>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</si>
  <si>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</si>
  <si>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</si>
  <si>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</si>
  <si>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</si>
  <si>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</si>
  <si>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</si>
  <si>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</si>
  <si>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</si>
  <si>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</si>
  <si>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</si>
  <si>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</si>
  <si>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</si>
  <si>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</si>
  <si>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</si>
  <si>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</si>
  <si>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</si>
  <si>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</si>
  <si>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</si>
  <si>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</si>
  <si>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</si>
  <si>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</si>
  <si>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</si>
  <si>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</si>
  <si>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</si>
  <si>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</si>
  <si>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</si>
  <si>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</si>
  <si>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</si>
  <si>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</si>
  <si>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</si>
  <si>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</si>
  <si>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</si>
  <si>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</si>
  <si>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</si>
  <si>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</si>
  <si>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</si>
  <si>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</si>
  <si>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</si>
  <si>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</si>
  <si>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</si>
  <si>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</si>
  <si>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</si>
  <si>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</si>
  <si>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</si>
  <si>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</si>
  <si>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</si>
  <si>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</si>
  <si>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</si>
  <si>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</si>
  <si>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</si>
  <si>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</si>
  <si>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</si>
  <si>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</si>
  <si>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</si>
  <si>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</si>
  <si>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</si>
  <si>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</si>
  <si>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</si>
  <si>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</si>
  <si>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</si>
  <si>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</si>
  <si>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</si>
  <si>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</si>
  <si>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</si>
  <si>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</si>
  <si>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</si>
  <si>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</si>
  <si>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</si>
  <si>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</si>
  <si>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</si>
  <si>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</si>
  <si>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</si>
  <si>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</si>
  <si>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</si>
  <si>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</si>
  <si>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</si>
  <si>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</si>
  <si>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</si>
  <si>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</si>
  <si>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</si>
  <si>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</si>
  <si>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</si>
  <si>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</si>
  <si>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</si>
  <si>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</si>
  <si>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</si>
  <si>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</si>
  <si>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</si>
  <si>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</si>
  <si>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</si>
  <si>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</si>
  <si>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</si>
  <si>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</si>
  <si>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</si>
  <si>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</si>
  <si>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</si>
  <si>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</si>
  <si>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</si>
  <si>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</si>
  <si>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</si>
  <si>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</si>
  <si>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</si>
  <si>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</si>
  <si>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</si>
  <si>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</si>
  <si>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</si>
  <si>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</si>
  <si>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</si>
  <si>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</si>
  <si>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</si>
  <si>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</si>
  <si>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</si>
  <si>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</si>
  <si>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</si>
  <si>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</si>
  <si>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</si>
  <si>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</si>
  <si>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</si>
  <si>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</si>
  <si>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</si>
  <si>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</si>
  <si>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</si>
  <si>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</si>
  <si>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</si>
  <si>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</si>
  <si>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</si>
  <si>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</si>
  <si>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</si>
  <si>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</si>
  <si>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</si>
  <si>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</si>
  <si>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</si>
  <si>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</si>
  <si>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</si>
  <si>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</si>
  <si>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</si>
  <si>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</si>
  <si>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</si>
  <si>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</si>
  <si>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</si>
  <si>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</si>
  <si>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</si>
  <si>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</si>
  <si>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</si>
  <si>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</si>
  <si>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</si>
  <si>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</si>
  <si>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</si>
  <si>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</si>
  <si>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</si>
  <si>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</si>
  <si>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</si>
  <si>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</si>
  <si>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</si>
  <si>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</si>
  <si>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</si>
  <si>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</si>
  <si>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</si>
  <si>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</si>
  <si>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</si>
  <si>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</si>
  <si>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</si>
  <si>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</si>
  <si>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</si>
  <si>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</si>
  <si>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</si>
  <si>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</si>
  <si>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</si>
  <si>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</si>
  <si>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</si>
  <si>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</si>
  <si>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</si>
  <si>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</si>
  <si>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</si>
  <si>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</si>
  <si>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</si>
  <si>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</si>
  <si>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</si>
  <si>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</si>
  <si>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</si>
  <si>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</si>
  <si>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</si>
  <si>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</si>
  <si>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</si>
  <si>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</si>
  <si>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</si>
  <si>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</si>
  <si>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</si>
  <si>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</si>
  <si>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</si>
  <si>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</si>
  <si>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</si>
  <si>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</si>
  <si>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</si>
  <si>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</si>
  <si>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</si>
  <si>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</si>
  <si>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</si>
  <si>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</si>
  <si>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</si>
  <si>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</si>
  <si>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</si>
  <si>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</si>
  <si>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</si>
  <si>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</si>
  <si>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</si>
  <si>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</si>
  <si>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</si>
  <si>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</si>
  <si>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</si>
  <si>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</si>
  <si>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</si>
  <si>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</si>
  <si>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</si>
  <si>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</si>
  <si>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</si>
  <si>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</si>
  <si>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</si>
  <si>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</si>
  <si>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</si>
  <si>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</si>
  <si>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</si>
  <si>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</si>
  <si>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</si>
  <si>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</si>
  <si>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</si>
  <si>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</si>
  <si>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</si>
  <si>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</si>
  <si>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</si>
  <si>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</si>
  <si>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</si>
  <si>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</si>
  <si>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</si>
  <si>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</si>
  <si>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</si>
  <si>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</si>
  <si>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</si>
  <si>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</si>
  <si>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</si>
  <si>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</si>
  <si>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</si>
  <si>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</si>
  <si>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</si>
  <si>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</si>
  <si>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</si>
  <si>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</si>
  <si>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</si>
  <si>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</si>
  <si>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</si>
  <si>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</si>
  <si>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售价</t>
  </si>
  <si>
    <t>4/6</t>
    <phoneticPr fontId="24" type="noConversion"/>
  </si>
  <si>
    <t>2/6</t>
    <phoneticPr fontId="24" type="noConversion"/>
  </si>
  <si>
    <t>4/5</t>
    <phoneticPr fontId="24" type="noConversion"/>
  </si>
  <si>
    <t>3/6</t>
    <phoneticPr fontId="24" type="noConversion"/>
  </si>
  <si>
    <t>是</t>
  </si>
  <si>
    <t>地上</t>
  </si>
  <si>
    <t>住宅</t>
  </si>
  <si>
    <t>平层住宅</t>
  </si>
  <si>
    <t>住宅</t>
    <phoneticPr fontId="7" type="noConversion"/>
  </si>
  <si>
    <t>利息：取LPR加浮动点数</t>
  </si>
  <si>
    <t>成新度</t>
  </si>
  <si>
    <t>收益法 (元)</t>
  </si>
  <si>
    <t>砖混</t>
  </si>
  <si>
    <t>非生产用房</t>
  </si>
  <si>
    <t>否</t>
  </si>
  <si>
    <t>Ⅶ-房1</t>
  </si>
  <si>
    <t>城镇住宅用地</t>
  </si>
  <si>
    <t>自定义容积率</t>
  </si>
  <si>
    <t>不临65条商业街</t>
  </si>
  <si>
    <t>1000米以外</t>
  </si>
  <si>
    <t>无</t>
  </si>
  <si>
    <t>与级别开发程度一致</t>
  </si>
  <si>
    <t>1999</t>
    <phoneticPr fontId="6" type="noConversion"/>
  </si>
  <si>
    <t>1997</t>
    <phoneticPr fontId="6" type="noConversion"/>
  </si>
  <si>
    <t>较好</t>
  </si>
  <si>
    <t>一般</t>
  </si>
  <si>
    <t>好</t>
  </si>
  <si>
    <t>比较法-住宅</t>
  </si>
  <si>
    <t>成本法 (元)</t>
  </si>
  <si>
    <t>单套模式</t>
  </si>
  <si>
    <t>西潞东里</t>
    <phoneticPr fontId="3" type="noConversion"/>
  </si>
  <si>
    <t>2022-8</t>
    <phoneticPr fontId="24" type="noConversion"/>
  </si>
  <si>
    <t>2022-7</t>
    <phoneticPr fontId="24" type="noConversion"/>
  </si>
  <si>
    <t>正常</t>
  </si>
  <si>
    <t>板楼</t>
  </si>
  <si>
    <t>板楼</t>
    <phoneticPr fontId="24" type="noConversion"/>
  </si>
  <si>
    <t>混合</t>
  </si>
  <si>
    <t>混合</t>
    <phoneticPr fontId="24" type="noConversion"/>
  </si>
  <si>
    <t>普通装修</t>
  </si>
  <si>
    <t>普通装修</t>
    <phoneticPr fontId="24" type="noConversion"/>
  </si>
  <si>
    <t>楼层</t>
    <phoneticPr fontId="24" type="noConversion"/>
  </si>
  <si>
    <t>南北</t>
  </si>
  <si>
    <t>南北</t>
    <phoneticPr fontId="24" type="noConversion"/>
  </si>
  <si>
    <t>押一</t>
  </si>
  <si>
    <t>中心城区以外</t>
  </si>
  <si>
    <t>2023-2</t>
    <phoneticPr fontId="3" type="noConversion"/>
  </si>
  <si>
    <t>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t>
    <phoneticPr fontId="40" type="noConversion"/>
  </si>
  <si>
    <t>周边有F2、F13、F36、F41、616、833路等多条公交线路经过并设站，距离地铁房山线良乡南关约2公里，交通较便捷。</t>
    <phoneticPr fontId="40" type="noConversion"/>
  </si>
  <si>
    <t>周边有西潞园小区、北潞园小区、拱辰星园等住宅项目，住宅社区成熟度一般。</t>
    <phoneticPr fontId="40" type="noConversion"/>
  </si>
  <si>
    <t>估价对象周边有刺猬河、北潞园健身公园、房山区良乡体育中心等自然人文景观，总体自然人文环境较好。</t>
    <phoneticPr fontId="40"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</si>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</sst>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44" fillId="0" borderId="44" xfId="0" applyNumberFormat="1" applyFont="1" applyFill="1" applyBorder="1" applyAlignment="1" applyProtection="1">
      <alignment horizontal="center" vertical="center" wrapText="1"/>
      <protection locked="0"/>
    </xf>
    <xf numFmtId="181"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47" fillId="6" borderId="0" xfId="0" applyNumberFormat="1" applyFont="1" applyFill="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21" borderId="1" xfId="16" applyFont="1" applyFill="1" applyBorder="1" applyAlignment="1">
      <alignment horizontal="left" vertical="center" wrapText="1"/>
    </xf>
    <xf numFmtId="0" fontId="253" fillId="21" borderId="125" xfId="16"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16" applyFont="1" applyFill="1" applyAlignment="1">
      <alignment horizontal="left" vertical="center"/>
    </xf>
    <xf numFmtId="10" fontId="102" fillId="21" borderId="121" xfId="16" applyNumberFormat="1" applyFont="1" applyFill="1" applyBorder="1" applyAlignment="1">
      <alignment horizontal="left" vertical="center"/>
    </xf>
    <xf numFmtId="10" fontId="102" fillId="21" borderId="0" xfId="16" applyNumberFormat="1" applyFont="1" applyFill="1" applyAlignment="1">
      <alignment horizontal="left" vertical="center"/>
    </xf>
    <xf numFmtId="10" fontId="102" fillId="21" borderId="163" xfId="16" applyNumberFormat="1" applyFont="1" applyFill="1" applyBorder="1" applyAlignment="1">
      <alignment horizontal="left" vertical="center"/>
    </xf>
    <xf numFmtId="10" fontId="102" fillId="21" borderId="164" xfId="16" applyNumberFormat="1" applyFont="1" applyFill="1" applyBorder="1" applyAlignment="1">
      <alignment horizontal="left" vertical="center"/>
    </xf>
    <xf numFmtId="10" fontId="102" fillId="21" borderId="165" xfId="16" applyNumberFormat="1" applyFont="1" applyFill="1" applyBorder="1" applyAlignment="1">
      <alignment horizontal="left" vertical="center"/>
    </xf>
    <xf numFmtId="0" fontId="144" fillId="21" borderId="0" xfId="16" applyFont="1" applyFill="1" applyAlignment="1">
      <alignment horizontal="left" vertical="center"/>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2" fillId="5" borderId="1"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600318</xdr:colOff>
      <xdr:row>11</xdr:row>
      <xdr:rowOff>28575</xdr:rowOff>
    </xdr:to>
    <xdr:pic>
      <xdr:nvPicPr>
        <xdr:cNvPr id="2" name="图片 1">
          <a:extLst>
            <a:ext uri="{FF2B5EF4-FFF2-40B4-BE49-F238E27FC236}">
              <a16:creationId xmlns:a16="http://schemas.microsoft.com/office/drawing/2014/main" id="{E47C497B-1A44-44EB-A0D3-019093EE27E7}"/>
            </a:ext>
          </a:extLst>
        </xdr:cNvPr>
        <xdr:cNvPicPr>
          <a:picLocks noChangeAspect="1"/>
        </xdr:cNvPicPr>
      </xdr:nvPicPr>
      <xdr:blipFill>
        <a:blip xmlns:r="http://schemas.openxmlformats.org/officeDocument/2006/relationships" r:embed="rId1"/>
        <a:stretch>
          <a:fillRect/>
        </a:stretch>
      </xdr:blipFill>
      <xdr:spPr>
        <a:xfrm>
          <a:off x="0" y="0"/>
          <a:ext cx="10887318" cy="1914525"/>
        </a:xfrm>
        <a:prstGeom prst="rect">
          <a:avLst/>
        </a:prstGeom>
      </xdr:spPr>
    </xdr:pic>
    <xdr:clientData/>
  </xdr:twoCellAnchor>
  <xdr:twoCellAnchor editAs="oneCell">
    <xdr:from>
      <xdr:col>0</xdr:col>
      <xdr:colOff>0</xdr:colOff>
      <xdr:row>14</xdr:row>
      <xdr:rowOff>133350</xdr:rowOff>
    </xdr:from>
    <xdr:to>
      <xdr:col>10</xdr:col>
      <xdr:colOff>246762</xdr:colOff>
      <xdr:row>46</xdr:row>
      <xdr:rowOff>18379</xdr:rowOff>
    </xdr:to>
    <xdr:pic>
      <xdr:nvPicPr>
        <xdr:cNvPr id="3" name="图片 2">
          <a:extLst>
            <a:ext uri="{FF2B5EF4-FFF2-40B4-BE49-F238E27FC236}">
              <a16:creationId xmlns:a16="http://schemas.microsoft.com/office/drawing/2014/main" id="{D1083A1E-0BA5-4A81-B2FF-D2F1FEE094FA}"/>
            </a:ext>
          </a:extLst>
        </xdr:cNvPr>
        <xdr:cNvPicPr>
          <a:picLocks noChangeAspect="1"/>
        </xdr:cNvPicPr>
      </xdr:nvPicPr>
      <xdr:blipFill>
        <a:blip xmlns:r="http://schemas.openxmlformats.org/officeDocument/2006/relationships" r:embed="rId2"/>
        <a:stretch>
          <a:fillRect/>
        </a:stretch>
      </xdr:blipFill>
      <xdr:spPr>
        <a:xfrm>
          <a:off x="0" y="2533650"/>
          <a:ext cx="7104762" cy="5371429"/>
        </a:xfrm>
        <a:prstGeom prst="rect">
          <a:avLst/>
        </a:prstGeom>
      </xdr:spPr>
    </xdr:pic>
    <xdr:clientData/>
  </xdr:twoCellAnchor>
  <xdr:twoCellAnchor editAs="oneCell">
    <xdr:from>
      <xdr:col>0</xdr:col>
      <xdr:colOff>0</xdr:colOff>
      <xdr:row>46</xdr:row>
      <xdr:rowOff>9525</xdr:rowOff>
    </xdr:from>
    <xdr:to>
      <xdr:col>6</xdr:col>
      <xdr:colOff>189962</xdr:colOff>
      <xdr:row>70</xdr:row>
      <xdr:rowOff>161392</xdr:rowOff>
    </xdr:to>
    <xdr:pic>
      <xdr:nvPicPr>
        <xdr:cNvPr id="4" name="图片 3">
          <a:extLst>
            <a:ext uri="{FF2B5EF4-FFF2-40B4-BE49-F238E27FC236}">
              <a16:creationId xmlns:a16="http://schemas.microsoft.com/office/drawing/2014/main" id="{65105C4E-0D77-436E-8C60-DA49342958EF}"/>
            </a:ext>
          </a:extLst>
        </xdr:cNvPr>
        <xdr:cNvPicPr>
          <a:picLocks noChangeAspect="1"/>
        </xdr:cNvPicPr>
      </xdr:nvPicPr>
      <xdr:blipFill>
        <a:blip xmlns:r="http://schemas.openxmlformats.org/officeDocument/2006/relationships" r:embed="rId3"/>
        <a:stretch>
          <a:fillRect/>
        </a:stretch>
      </xdr:blipFill>
      <xdr:spPr>
        <a:xfrm>
          <a:off x="0" y="7896225"/>
          <a:ext cx="4304762" cy="4266667"/>
        </a:xfrm>
        <a:prstGeom prst="rect">
          <a:avLst/>
        </a:prstGeom>
      </xdr:spPr>
    </xdr:pic>
    <xdr:clientData/>
  </xdr:twoCellAnchor>
  <xdr:twoCellAnchor editAs="oneCell">
    <xdr:from>
      <xdr:col>0</xdr:col>
      <xdr:colOff>0</xdr:colOff>
      <xdr:row>71</xdr:row>
      <xdr:rowOff>57150</xdr:rowOff>
    </xdr:from>
    <xdr:to>
      <xdr:col>11</xdr:col>
      <xdr:colOff>418105</xdr:colOff>
      <xdr:row>96</xdr:row>
      <xdr:rowOff>66138</xdr:rowOff>
    </xdr:to>
    <xdr:pic>
      <xdr:nvPicPr>
        <xdr:cNvPr id="5" name="图片 4">
          <a:extLst>
            <a:ext uri="{FF2B5EF4-FFF2-40B4-BE49-F238E27FC236}">
              <a16:creationId xmlns:a16="http://schemas.microsoft.com/office/drawing/2014/main" id="{9854DF99-0A6C-4823-B6AA-CB3948ECF457}"/>
            </a:ext>
          </a:extLst>
        </xdr:cNvPr>
        <xdr:cNvPicPr>
          <a:picLocks noChangeAspect="1"/>
        </xdr:cNvPicPr>
      </xdr:nvPicPr>
      <xdr:blipFill>
        <a:blip xmlns:r="http://schemas.openxmlformats.org/officeDocument/2006/relationships" r:embed="rId4"/>
        <a:stretch>
          <a:fillRect/>
        </a:stretch>
      </xdr:blipFill>
      <xdr:spPr>
        <a:xfrm>
          <a:off x="0" y="12230100"/>
          <a:ext cx="7961905" cy="4295238"/>
        </a:xfrm>
        <a:prstGeom prst="rect">
          <a:avLst/>
        </a:prstGeom>
      </xdr:spPr>
    </xdr:pic>
    <xdr:clientData/>
  </xdr:twoCellAnchor>
  <xdr:twoCellAnchor editAs="oneCell">
    <xdr:from>
      <xdr:col>10</xdr:col>
      <xdr:colOff>562081</xdr:colOff>
      <xdr:row>13</xdr:row>
      <xdr:rowOff>142875</xdr:rowOff>
    </xdr:from>
    <xdr:to>
      <xdr:col>19</xdr:col>
      <xdr:colOff>551413</xdr:colOff>
      <xdr:row>39</xdr:row>
      <xdr:rowOff>113555</xdr:rowOff>
    </xdr:to>
    <xdr:pic>
      <xdr:nvPicPr>
        <xdr:cNvPr id="6" name="图片 5">
          <a:extLst>
            <a:ext uri="{FF2B5EF4-FFF2-40B4-BE49-F238E27FC236}">
              <a16:creationId xmlns:a16="http://schemas.microsoft.com/office/drawing/2014/main" id="{B3CAF612-3A06-4D24-88F9-7AEAD467F53A}"/>
            </a:ext>
          </a:extLst>
        </xdr:cNvPr>
        <xdr:cNvPicPr>
          <a:picLocks noChangeAspect="1"/>
        </xdr:cNvPicPr>
      </xdr:nvPicPr>
      <xdr:blipFill>
        <a:blip xmlns:r="http://schemas.openxmlformats.org/officeDocument/2006/relationships" r:embed="rId5"/>
        <a:stretch>
          <a:fillRect/>
        </a:stretch>
      </xdr:blipFill>
      <xdr:spPr>
        <a:xfrm>
          <a:off x="7420081" y="2371725"/>
          <a:ext cx="6161532" cy="4428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2023-1-0642&#21496;&#27861;&#30707;&#26223;&#23665;&#20116;&#37324;&#2237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估价对象为房地产，为所有。根据《国有土地使用证》[]，估价对象（分摊）出让国有建设用地使用权面积为0平方米，建筑面积为90.08平方米。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估价对象为房地产,属开发建设的，该项目尚在开发建设中。根据《国有土地使用证》[]，估价对象（分摊）出让国有建设用地使用权面积为0平方米，规划建筑面积为90.08平方米。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2023年9月20日（评估专业人员实地查勘之日）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90.08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2578</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2579</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4" t="s">
        <v>2581</v>
      </c>
      <c r="J2" s="3494"/>
      <c r="K2" s="3494"/>
      <c r="L2" s="3494"/>
      <c r="M2" s="3494"/>
      <c r="N2" s="3494"/>
      <c r="O2" s="3494"/>
      <c r="P2" s="3494"/>
      <c r="Q2" s="3494"/>
      <c r="R2" s="3494"/>
    </row>
    <row r="3" spans="1:18">
      <c r="A3" s="3016" t="s">
        <v>2502</v>
      </c>
      <c r="B3" s="3017">
        <f>项目基本情况!D3</f>
        <v>45189</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3.24</v>
      </c>
      <c r="D5" s="3021">
        <f>IF(ISERROR(ROUND(POWER(1+E5,A5-C5)*(POWER(1+E5,C5)-1)/(POWER(1+E5,A5)-1),3)),0,ROUND(POWER(1+E5,A5-C5)*(POWER(1+E5,C5)-1)/(POWER(1+E5,A5)-1),4))</f>
        <v>0.1507</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13.25</v>
      </c>
      <c r="D6" s="3021">
        <f>IF(ISERROR(ROUND(POWER(1+E6,A6-C6)*(POWER(1+E6,C6)-1)/(POWER(1+E6,A6)-1),3)),0,ROUND(POWER(1+E6,A6-C6)*(POWER(1+E6,C6)-1)/(POWER(1+E6,A6)-1),4))</f>
        <v>0.47170000000000001</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33.270000000000003</v>
      </c>
      <c r="D7" s="3021">
        <f>IF(ISERROR(ROUND(POWER(1+E7,A7-C7)*(POWER(1+E7,C7)-1)/(POWER(1+E7,A7)-1),3)),0,ROUND(POWER(1+E7,A7-C7)*(POWER(1+E7,C7)-1)/(POWER(1+E7,A7)-1),4))</f>
        <v>0.77880000000000005</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17" sqref="L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495" t="str">
        <f>IF(B10="北京市","北京市",C10)&amp;F10&amp;IF(结果表!G1="在建","出让国有建设用地使用权及在建建筑物",IF(结果表!G1="土地","出让国有建设用地使用权",))&amp;B9&amp;"预评估"</f>
        <v>预评估</v>
      </c>
      <c r="C1" s="3496"/>
      <c r="D1" s="3496"/>
      <c r="E1" s="3496"/>
      <c r="F1" s="3496"/>
      <c r="G1" s="3496"/>
      <c r="H1" s="3496"/>
      <c r="I1" s="3497"/>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4" t="s">
        <v>2169</v>
      </c>
      <c r="B2" s="2368"/>
      <c r="C2" s="2369"/>
      <c r="D2" s="2666"/>
      <c r="E2" s="2658"/>
      <c r="F2" s="2658"/>
      <c r="G2" s="2659"/>
      <c r="H2" s="2659"/>
      <c r="I2" s="2659"/>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0">
        <v>45189</v>
      </c>
      <c r="C3" s="2371" t="s">
        <v>2171</v>
      </c>
      <c r="D3" s="2370">
        <f>B3</f>
        <v>45189</v>
      </c>
      <c r="E3" s="2659"/>
      <c r="F3" s="2659"/>
      <c r="G3" s="2659"/>
      <c r="H3" s="2659"/>
      <c r="I3" s="2659"/>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2175</v>
      </c>
      <c r="B7" s="2384"/>
      <c r="C7" s="2382"/>
      <c r="D7" s="2383"/>
      <c r="E7" s="2658"/>
      <c r="F7" s="2660"/>
      <c r="G7" s="2660"/>
      <c r="H7" s="2660"/>
      <c r="I7" s="2660"/>
      <c r="J7" s="2436"/>
      <c r="K7" s="2612"/>
      <c r="L7" s="2609"/>
      <c r="M7" s="2609"/>
      <c r="N7" s="2436"/>
      <c r="O7" s="2447"/>
      <c r="P7" s="2436"/>
      <c r="Q7" s="2436"/>
      <c r="R7" s="2436"/>
    </row>
    <row r="8" spans="1:30">
      <c r="A8" s="2385" t="s">
        <v>2176</v>
      </c>
      <c r="B8" s="2386"/>
      <c r="C8" s="2387"/>
      <c r="D8" s="3498" t="s">
        <v>2177</v>
      </c>
      <c r="E8" s="2388"/>
      <c r="F8" s="2389"/>
      <c r="G8" s="2659"/>
      <c r="H8" s="2659"/>
      <c r="I8" s="2659"/>
      <c r="J8" s="2436"/>
      <c r="K8" s="2610"/>
      <c r="L8" s="2609"/>
      <c r="M8" s="2609"/>
      <c r="N8" s="2436"/>
      <c r="O8" s="2447"/>
      <c r="P8" s="2436"/>
      <c r="Q8" s="2436"/>
      <c r="R8" s="2436"/>
    </row>
    <row r="9" spans="1:30" ht="13.5" thickBot="1">
      <c r="A9" s="2390" t="s">
        <v>2178</v>
      </c>
      <c r="B9" s="2391"/>
      <c r="C9" s="2392"/>
      <c r="D9" s="3499"/>
      <c r="E9" s="2391"/>
      <c r="F9" s="2393"/>
      <c r="G9" s="2661"/>
      <c r="H9" s="2661"/>
      <c r="I9" s="2661"/>
      <c r="J9" s="2436"/>
      <c r="K9" s="2612"/>
      <c r="L9" s="2609"/>
      <c r="M9" s="2609"/>
      <c r="N9" s="2436"/>
      <c r="O9" s="2447"/>
      <c r="P9" s="2436"/>
      <c r="Q9" s="2436"/>
      <c r="R9" s="2436"/>
    </row>
    <row r="10" spans="1:30" ht="13.5" thickTop="1">
      <c r="A10" s="2394" t="s">
        <v>2179</v>
      </c>
      <c r="B10" s="2395"/>
      <c r="C10" s="2396"/>
      <c r="D10" s="2379"/>
      <c r="E10" s="2397" t="s">
        <v>2180</v>
      </c>
      <c r="F10" s="2662"/>
      <c r="G10" s="2663"/>
      <c r="H10" s="2664"/>
      <c r="I10" s="2665"/>
      <c r="J10" s="2436"/>
      <c r="K10" s="2612"/>
      <c r="L10" s="2609"/>
      <c r="M10" s="2609"/>
      <c r="N10" s="2436"/>
      <c r="O10" s="2447"/>
      <c r="P10" s="2436"/>
      <c r="Q10" s="2436"/>
      <c r="R10" s="2436"/>
    </row>
    <row r="11" spans="1:30">
      <c r="A11" s="2398" t="s">
        <v>2181</v>
      </c>
      <c r="B11" s="2399"/>
      <c r="C11" s="2400"/>
      <c r="D11" s="2401"/>
      <c r="E11" s="2367"/>
      <c r="F11" s="2367"/>
      <c r="G11" s="2367"/>
      <c r="H11" s="2367"/>
      <c r="I11" s="2367"/>
      <c r="J11" s="3057"/>
      <c r="K11" s="3056"/>
      <c r="L11" s="2609"/>
      <c r="M11" s="2609"/>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2577</v>
      </c>
      <c r="J12" s="3058"/>
      <c r="K12" s="2609"/>
      <c r="L12" s="2609"/>
      <c r="M12" s="2436"/>
      <c r="N12" s="2447"/>
      <c r="O12" s="2436"/>
      <c r="P12" s="2436"/>
      <c r="Q12" s="2436"/>
      <c r="AD12" s="1745"/>
    </row>
    <row r="13" spans="1:30">
      <c r="A13" s="3419" t="s">
        <v>3334</v>
      </c>
      <c r="B13" s="2404" t="s">
        <v>2190</v>
      </c>
      <c r="C13" s="856">
        <v>61250</v>
      </c>
      <c r="D13" s="856"/>
      <c r="E13" s="856"/>
      <c r="F13" s="856"/>
      <c r="G13" s="856"/>
      <c r="H13" s="856"/>
      <c r="I13" s="856"/>
      <c r="J13" s="3058"/>
      <c r="K13" s="2609"/>
      <c r="L13" s="2609" t="s">
        <v>3398</v>
      </c>
      <c r="M13" s="2436"/>
      <c r="N13" s="2447"/>
      <c r="O13" s="2436"/>
      <c r="P13" s="2436"/>
      <c r="Q13" s="2436"/>
      <c r="AD13" s="1745"/>
    </row>
    <row r="14" spans="1:30">
      <c r="A14" s="1081"/>
      <c r="B14" s="2404" t="s">
        <v>2191</v>
      </c>
      <c r="C14" s="2405">
        <v>70</v>
      </c>
      <c r="D14" s="2405"/>
      <c r="E14" s="2405"/>
      <c r="F14" s="2405"/>
      <c r="G14" s="2405"/>
      <c r="H14" s="2405"/>
      <c r="I14" s="2405"/>
      <c r="J14" s="3059"/>
      <c r="K14" s="2609"/>
      <c r="L14" s="2609" t="s">
        <v>3399</v>
      </c>
      <c r="M14" s="3449">
        <f>L14+70</f>
        <v>2067</v>
      </c>
      <c r="N14" s="2447"/>
      <c r="O14" s="2436"/>
      <c r="P14" s="2436"/>
      <c r="Q14" s="2436"/>
      <c r="AD14" s="1745"/>
    </row>
    <row r="15" spans="1:30">
      <c r="A15" s="320"/>
      <c r="B15" s="2406" t="s">
        <v>2192</v>
      </c>
      <c r="C15" s="2407">
        <f>IF(A13="出让",IF(C13="","",ROUNDDOWN(MIN((C13-$D$3)/365,C14),2)),C14)</f>
        <v>44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5"/>
      <c r="N15" s="2448"/>
      <c r="O15" s="2505"/>
      <c r="P15" s="2436"/>
      <c r="Q15" s="2436"/>
      <c r="AD15" s="1745"/>
    </row>
    <row r="16" spans="1:30">
      <c r="A16" s="2397" t="s">
        <v>2193</v>
      </c>
      <c r="B16" s="3505"/>
      <c r="C16" s="3506"/>
      <c r="D16" s="3507"/>
      <c r="E16" s="2410" t="s">
        <v>2194</v>
      </c>
      <c r="F16" s="3508"/>
      <c r="G16" s="3509"/>
      <c r="H16" s="3509"/>
      <c r="I16" s="3510"/>
      <c r="J16" s="2436"/>
      <c r="K16" s="2613"/>
      <c r="L16" s="2448"/>
      <c r="M16" s="2448"/>
      <c r="N16" s="2505"/>
      <c r="O16" s="2448"/>
      <c r="P16" s="2505"/>
      <c r="Q16" s="2436"/>
      <c r="R16" s="2436"/>
    </row>
    <row r="17" spans="1:28">
      <c r="A17" s="313" t="s">
        <v>2195</v>
      </c>
      <c r="B17" s="302" t="s">
        <v>2196</v>
      </c>
      <c r="C17" s="8">
        <f>'数据-汇总表'!E3</f>
        <v>90.08</v>
      </c>
      <c r="D17" s="2319" t="s">
        <v>2197</v>
      </c>
      <c r="E17" s="3511" t="s">
        <v>2198</v>
      </c>
      <c r="F17" s="3512"/>
      <c r="G17" s="3512"/>
      <c r="H17" s="3512"/>
      <c r="I17" s="3513"/>
      <c r="J17" s="2436"/>
      <c r="K17" s="2614"/>
      <c r="L17" s="2448"/>
      <c r="M17" s="2448"/>
      <c r="N17" s="2505"/>
      <c r="O17" s="2448"/>
      <c r="P17" s="2505"/>
      <c r="Q17" s="2436"/>
      <c r="R17" s="2436"/>
      <c r="S17" s="2436"/>
      <c r="T17" s="2436"/>
      <c r="U17" s="2436"/>
      <c r="V17" s="2436"/>
    </row>
    <row r="18" spans="1:28" ht="24.75" thickBot="1">
      <c r="A18" s="2411" t="s">
        <v>2199</v>
      </c>
      <c r="B18" s="1090" t="s">
        <v>2200</v>
      </c>
      <c r="C18" s="2412">
        <f>'数据-汇总表'!D3</f>
        <v>0</v>
      </c>
      <c r="D18" s="1092" t="s">
        <v>2201</v>
      </c>
      <c r="E18" s="3514" t="s">
        <v>2202</v>
      </c>
      <c r="F18" s="3515"/>
      <c r="G18" s="3515"/>
      <c r="H18" s="3515"/>
      <c r="I18" s="3516"/>
      <c r="J18" s="2436"/>
      <c r="K18" s="2614"/>
      <c r="L18" s="2448"/>
      <c r="M18" s="2448"/>
      <c r="N18" s="2505"/>
      <c r="O18" s="2448"/>
      <c r="P18" s="2505"/>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0"/>
      <c r="I19" s="2660"/>
      <c r="J19" s="2436"/>
      <c r="K19" s="2612"/>
      <c r="L19" s="2609"/>
      <c r="M19" s="2609"/>
      <c r="N19" s="2505"/>
      <c r="O19" s="2448"/>
      <c r="P19" s="2505"/>
      <c r="Q19" s="2436"/>
      <c r="R19" s="2436"/>
      <c r="S19" s="2436"/>
      <c r="T19" s="2436"/>
      <c r="U19" s="2436"/>
      <c r="V19" s="2436"/>
    </row>
    <row r="20" spans="1:28">
      <c r="A20" s="2628" t="s">
        <v>2205</v>
      </c>
      <c r="B20" s="3501" t="s">
        <v>2206</v>
      </c>
      <c r="C20" s="3502"/>
      <c r="D20" s="3503" t="s">
        <v>2207</v>
      </c>
      <c r="E20" s="3504"/>
      <c r="F20" s="2643" t="s">
        <v>1056</v>
      </c>
      <c r="G20" s="2660"/>
      <c r="H20" s="2660"/>
      <c r="I20" s="2660"/>
      <c r="J20" s="2436"/>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6"/>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8"/>
      <c r="B22" s="2632" t="s">
        <v>2211</v>
      </c>
      <c r="C22" s="2630" t="s">
        <v>1058</v>
      </c>
      <c r="D22" s="2659"/>
      <c r="E22" s="2659"/>
      <c r="F22" s="2659"/>
      <c r="G22" s="2660"/>
      <c r="H22" s="2660"/>
      <c r="I22" s="2660"/>
      <c r="J22" s="2436"/>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3" t="s">
        <v>2212</v>
      </c>
      <c r="B23" s="2498" t="s">
        <v>2213</v>
      </c>
      <c r="C23" s="2634"/>
      <c r="D23" s="2635" t="s">
        <v>2213</v>
      </c>
      <c r="E23" s="2636"/>
      <c r="F23" s="2659"/>
      <c r="G23" s="2660"/>
      <c r="H23" s="2660"/>
      <c r="I23" s="2660"/>
      <c r="J23" s="2436"/>
      <c r="K23" s="2615"/>
      <c r="L23" s="2471"/>
      <c r="M23" s="2609"/>
      <c r="N23" s="2505"/>
      <c r="O23" s="2448"/>
      <c r="P23" s="2505"/>
      <c r="Q23" s="2436"/>
      <c r="R23" s="2436"/>
      <c r="S23" s="2436"/>
      <c r="T23" s="2436"/>
      <c r="U23" s="2436"/>
      <c r="V23" s="2436"/>
    </row>
    <row r="24" spans="1:28">
      <c r="A24" s="2633"/>
      <c r="B24" s="2498" t="s">
        <v>1059</v>
      </c>
      <c r="C24" s="2637"/>
      <c r="D24" s="2633" t="s">
        <v>1059</v>
      </c>
      <c r="E24" s="2638"/>
      <c r="F24" s="2659"/>
      <c r="G24" s="2660"/>
      <c r="H24" s="2660"/>
      <c r="I24" s="2660"/>
      <c r="J24" s="2436"/>
      <c r="K24" s="2615"/>
      <c r="L24" s="2471"/>
      <c r="M24" s="2609"/>
      <c r="N24" s="2505"/>
      <c r="O24" s="2448"/>
      <c r="P24" s="2505"/>
      <c r="Q24" s="2436"/>
      <c r="R24" s="2436"/>
      <c r="S24" s="2436"/>
      <c r="T24" s="2436"/>
      <c r="U24" s="2436"/>
      <c r="V24" s="2436"/>
    </row>
    <row r="25" spans="1:28">
      <c r="A25" s="2633"/>
      <c r="B25" s="2498" t="s">
        <v>1060</v>
      </c>
      <c r="C25" s="2637"/>
      <c r="D25" s="2633" t="s">
        <v>1060</v>
      </c>
      <c r="E25" s="2638"/>
      <c r="F25" s="2659"/>
      <c r="G25" s="2660"/>
      <c r="H25" s="2660"/>
      <c r="I25" s="2660"/>
      <c r="J25" s="2436"/>
      <c r="K25" s="2612"/>
      <c r="L25" s="2609"/>
      <c r="M25" s="2609"/>
      <c r="N25" s="2505"/>
      <c r="O25" s="2448"/>
      <c r="P25" s="2505"/>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5"/>
      <c r="O26" s="2448"/>
      <c r="P26" s="2505"/>
      <c r="Q26" s="2436"/>
      <c r="R26" s="2436"/>
      <c r="S26" s="2436"/>
      <c r="T26" s="2436"/>
      <c r="U26" s="2436"/>
      <c r="V26" s="2436"/>
    </row>
    <row r="27" spans="1:28" ht="13.5" thickTop="1">
      <c r="A27" s="3518" t="s">
        <v>2214</v>
      </c>
      <c r="B27" s="320" t="s">
        <v>2215</v>
      </c>
      <c r="C27" s="2413"/>
      <c r="D27" s="2414"/>
      <c r="E27" s="2660"/>
      <c r="F27" s="2660"/>
      <c r="G27" s="2660"/>
      <c r="H27" s="2660"/>
      <c r="I27" s="2660"/>
      <c r="J27" s="2436"/>
      <c r="K27" s="2613"/>
      <c r="L27" s="2448"/>
      <c r="M27" s="2448"/>
      <c r="N27" s="2505"/>
      <c r="O27" s="2448"/>
      <c r="P27" s="2505"/>
      <c r="Q27" s="2436"/>
      <c r="R27" s="2436"/>
      <c r="S27" s="2436"/>
      <c r="T27" s="2436"/>
      <c r="U27" s="2436"/>
      <c r="V27" s="2436"/>
    </row>
    <row r="28" spans="1:28">
      <c r="A28" s="3518"/>
      <c r="B28" s="302" t="s">
        <v>2216</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18"/>
      <c r="B29" s="302" t="s">
        <v>2217</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19"/>
      <c r="B30" s="302" t="s">
        <v>2218</v>
      </c>
      <c r="C30" s="3520"/>
      <c r="D30" s="3521"/>
      <c r="E30" s="2660"/>
      <c r="F30" s="2660"/>
      <c r="G30" s="2660"/>
      <c r="H30" s="2660"/>
      <c r="I30" s="2660"/>
      <c r="J30" s="2436"/>
      <c r="K30" s="2612"/>
      <c r="L30" s="2609"/>
      <c r="M30" s="2609"/>
      <c r="N30" s="2436"/>
      <c r="O30" s="2447"/>
      <c r="P30" s="2436"/>
      <c r="Q30" s="2436"/>
      <c r="R30" s="2436"/>
      <c r="S30" s="2436"/>
      <c r="T30" s="2436"/>
      <c r="U30" s="2436"/>
      <c r="V30" s="2436"/>
    </row>
    <row r="31" spans="1:28">
      <c r="A31" s="3522" t="s">
        <v>2219</v>
      </c>
      <c r="B31" s="2419"/>
      <c r="C31" s="2320" t="str">
        <f>IF(B31="现房","成新及维护状况正常否",IF(B31="在建","工程状态是否正常",IF(B31="土地","是否闲置","-")))</f>
        <v>-</v>
      </c>
      <c r="D31" s="1373"/>
      <c r="E31" s="2420"/>
      <c r="F31" s="2660"/>
      <c r="G31" s="2660"/>
      <c r="H31" s="2660"/>
      <c r="I31" s="2660"/>
      <c r="J31" s="2436"/>
      <c r="K31" s="2611"/>
      <c r="L31" s="2609"/>
      <c r="M31" s="2609"/>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3"/>
      <c r="E32" s="2420"/>
      <c r="F32" s="2660"/>
      <c r="G32" s="2660"/>
      <c r="H32" s="2660"/>
      <c r="I32" s="2660"/>
      <c r="J32" s="2436"/>
      <c r="K32" s="2612"/>
      <c r="L32" s="2609"/>
      <c r="M32" s="2609"/>
      <c r="N32" s="2436"/>
      <c r="O32" s="2447"/>
      <c r="P32" s="2436"/>
      <c r="Q32" s="2436"/>
      <c r="R32" s="2436"/>
      <c r="S32" s="2436"/>
      <c r="T32" s="2436"/>
      <c r="U32" s="2436"/>
      <c r="V32" s="2436"/>
    </row>
    <row r="33" spans="1:30">
      <c r="A33" s="3523"/>
      <c r="B33" s="2422"/>
      <c r="C33" s="1590" t="str">
        <f>IF(B33="现房","成新及维护状况是否正常",IF(B33="在建","工程状态是否正常",IF(B33="土地","是否闲置","-")))</f>
        <v>-</v>
      </c>
      <c r="D33" s="1365"/>
      <c r="E33" s="2423"/>
      <c r="F33" s="2660"/>
      <c r="G33" s="2660"/>
      <c r="H33" s="2660"/>
      <c r="I33" s="2660"/>
      <c r="J33" s="2436"/>
      <c r="K33" s="2612"/>
      <c r="L33" s="2609"/>
      <c r="M33" s="2609"/>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517" t="s">
        <v>2228</v>
      </c>
      <c r="T34" s="2425" t="str">
        <f>NUMBERSTRING(7-K34,1)&amp;"通"</f>
        <v>七通</v>
      </c>
      <c r="U34" s="2436"/>
      <c r="V34" s="2436"/>
    </row>
    <row r="35" spans="1:30">
      <c r="A35" s="2426"/>
      <c r="B35" s="3524" t="s">
        <v>2229</v>
      </c>
      <c r="C35" s="3524"/>
      <c r="D35" s="3524"/>
      <c r="E35" s="3524"/>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1" t="s">
        <v>2580</v>
      </c>
      <c r="G36" s="2660"/>
      <c r="H36" s="2660"/>
      <c r="I36" s="2660"/>
      <c r="J36" s="2436"/>
      <c r="K36" s="2612"/>
      <c r="L36" s="2609"/>
      <c r="M36" s="2609"/>
      <c r="N36" s="2436"/>
      <c r="O36" s="2447"/>
      <c r="P36" s="2436"/>
      <c r="Q36" s="2436"/>
      <c r="R36" s="2436"/>
      <c r="S36" s="2436"/>
      <c r="T36" s="2436"/>
      <c r="U36" s="2436"/>
      <c r="V36" s="2436"/>
    </row>
    <row r="37" spans="1:30">
      <c r="A37" s="2626" t="s">
        <v>2230</v>
      </c>
      <c r="B37" s="2428"/>
      <c r="C37" s="2428"/>
      <c r="D37" s="2428" t="s">
        <v>304</v>
      </c>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2231</v>
      </c>
      <c r="B38" s="2429"/>
      <c r="C38" s="2429"/>
      <c r="D38" s="2429" t="s">
        <v>3391</v>
      </c>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8"/>
      <c r="J40" s="2505"/>
      <c r="K40" s="2611"/>
      <c r="L40" s="2448"/>
      <c r="M40" s="2448"/>
      <c r="N40" s="2505"/>
      <c r="O40" s="2448"/>
      <c r="P40" s="2436"/>
      <c r="Q40" s="2436"/>
      <c r="R40" s="2436"/>
      <c r="S40" s="2436"/>
      <c r="T40" s="2436"/>
      <c r="U40" s="2436"/>
      <c r="V40" s="2436"/>
    </row>
    <row r="41" spans="1:30">
      <c r="A41" s="2433" t="s">
        <v>2233</v>
      </c>
      <c r="B41" s="1757"/>
      <c r="C41" s="1373"/>
      <c r="D41" s="2367"/>
      <c r="E41" s="2367"/>
      <c r="F41" s="2367"/>
      <c r="G41" s="2367"/>
      <c r="H41" s="2367"/>
      <c r="I41" s="1576"/>
      <c r="J41" s="2436"/>
      <c r="K41" s="2612"/>
      <c r="L41" s="2609"/>
      <c r="M41" s="2609"/>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90.08</v>
      </c>
      <c r="H5" s="13">
        <f t="shared" ref="H5:AT5" si="0">SUM(H13:H656)</f>
        <v>90.08</v>
      </c>
      <c r="I5" s="13">
        <f t="shared" si="0"/>
        <v>90.08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90.08</v>
      </c>
      <c r="BA5" s="15">
        <f t="shared" si="1"/>
        <v>90.08</v>
      </c>
      <c r="BB5" s="15">
        <f t="shared" si="1"/>
        <v>90.08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90.08</v>
      </c>
      <c r="H13" s="17">
        <f>SUMIF(I$12:AB$12,"总值",I13:AB13)</f>
        <v>90.08</v>
      </c>
      <c r="I13" s="1626">
        <v>90.08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90.08</v>
      </c>
      <c r="BA13" s="13">
        <f>SUM(BB13:BK13)</f>
        <v>90.08</v>
      </c>
      <c r="BB13" s="13">
        <f>IF($D13="是",I13-J13,0)</f>
        <v>90.08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5"/>
      <c r="G2" s="2646"/>
      <c r="H2" s="2647"/>
      <c r="I2" s="2322" t="s">
        <v>1132</v>
      </c>
      <c r="J2" s="2655"/>
      <c r="K2" s="2655"/>
      <c r="L2" s="2655"/>
      <c r="M2" s="2655"/>
      <c r="N2" s="2657"/>
      <c r="O2" s="2655"/>
      <c r="P2" s="2655"/>
    </row>
    <row r="3" spans="1:16" ht="15.75" thickBot="1">
      <c r="A3" s="3535" t="s">
        <v>1105</v>
      </c>
      <c r="B3" s="3535"/>
      <c r="C3" s="3535"/>
      <c r="D3" s="43">
        <f>'数据-基础表'!AY6</f>
        <v>0</v>
      </c>
      <c r="E3" s="43">
        <f>'数据-基础表'!AZ5</f>
        <v>90.08</v>
      </c>
      <c r="F3" s="2655"/>
      <c r="G3" s="1145"/>
      <c r="H3" s="1026" t="s">
        <v>1106</v>
      </c>
      <c r="I3" s="855" t="e">
        <f>ROUND('数据-基础表'!B3/'数据-基础表'!A3,2)</f>
        <v>#DIV/0!</v>
      </c>
      <c r="J3" s="2655"/>
      <c r="K3" s="2655"/>
      <c r="L3" s="2655"/>
      <c r="M3" s="2655"/>
      <c r="N3" s="2657"/>
      <c r="O3" s="2655"/>
      <c r="P3" s="2655"/>
    </row>
    <row r="4" spans="1:16" ht="15">
      <c r="A4" s="3536"/>
      <c r="B4" s="3537"/>
      <c r="C4" s="3538"/>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39" t="s">
        <v>1110</v>
      </c>
      <c r="C5" s="3539"/>
      <c r="D5" s="45">
        <f>ROUND($D$3*E5/$E$3,2)</f>
        <v>0</v>
      </c>
      <c r="E5" s="46">
        <f>SUMIF('数据-基础表'!$11:$11,"住宅",'数据-基础表'!$5:$5)</f>
        <v>90.08</v>
      </c>
      <c r="F5" s="2655"/>
      <c r="G5" s="1145"/>
      <c r="H5" s="1026" t="s">
        <v>1106</v>
      </c>
      <c r="I5" s="855" t="e">
        <f>ROUND(E31/D31,2)</f>
        <v>#DIV/0!</v>
      </c>
      <c r="J5" s="2655"/>
      <c r="K5" s="2655"/>
      <c r="L5" s="2655"/>
      <c r="M5" s="2655"/>
      <c r="N5" s="2655"/>
      <c r="O5" s="2655"/>
      <c r="P5" s="2655"/>
    </row>
    <row r="6" spans="1:16" ht="15" thickBot="1">
      <c r="A6" s="1644"/>
      <c r="B6" s="3539" t="s">
        <v>1111</v>
      </c>
      <c r="C6" s="3539"/>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31"/>
      <c r="B7" s="3532"/>
      <c r="C7" s="3533"/>
      <c r="D7" s="1641" t="s">
        <v>1107</v>
      </c>
      <c r="E7" s="1645" t="s">
        <v>1114</v>
      </c>
      <c r="F7" s="2655"/>
      <c r="G7" s="2651" t="s">
        <v>1115</v>
      </c>
      <c r="H7" s="2652"/>
      <c r="I7" s="2653">
        <v>1.3</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90.08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90.08</v>
      </c>
      <c r="F16" s="2655"/>
      <c r="G16" s="2656"/>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3384</v>
      </c>
      <c r="D19" s="45">
        <f>ROUND($D$3*E19/$E$3,2)</f>
        <v>0</v>
      </c>
      <c r="E19" s="53">
        <f t="shared" ref="E19:E26" si="1">SUM(F19:G19)</f>
        <v>90.08</v>
      </c>
      <c r="F19" s="2791">
        <f>'数据-基础表'!I13</f>
        <v>90.08</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90.08</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90.08</v>
      </c>
      <c r="F27" s="1140">
        <f>IF(SUM(F19:F26)=E8,SUM(F19:F26),"地上面积有误")</f>
        <v>90.08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90.08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90.08</v>
      </c>
      <c r="F31" s="677">
        <f>F27+F30</f>
        <v>90.08</v>
      </c>
      <c r="G31" s="678">
        <f>G27+G30</f>
        <v>0</v>
      </c>
      <c r="H31" s="2655"/>
      <c r="I31" s="2655"/>
      <c r="J31" s="2655"/>
      <c r="K31" s="2655"/>
      <c r="L31" s="2655"/>
      <c r="M31" s="2655"/>
      <c r="N31" s="2655"/>
      <c r="O31" s="2655"/>
      <c r="P31" s="2655"/>
    </row>
    <row r="32" spans="1:19">
      <c r="A32" s="1643"/>
      <c r="B32" s="1643" t="s">
        <v>1159</v>
      </c>
      <c r="C32" s="1643"/>
      <c r="D32" s="1643"/>
      <c r="E32" s="1053">
        <f>SUMIF(C19:C26,"*住宅*",E19:E26)</f>
        <v>90.08</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61250</v>
      </c>
      <c r="F6" s="64">
        <f>SUMIF(项目基本情况!C$12:I$12,C6,项目基本情况!C$15:I$15)</f>
        <v>44</v>
      </c>
      <c r="G6" s="65">
        <f>IF(ISERROR(ROUND(POWER(1+H6,D6-F6)*(POWER(1+H6,F6)-1)/(POWER(1+H6,D6)-1),3)),0,ROUND(POWER(1+H6,D6-F6)*(POWER(1+H6,F6)-1)/(POWER(1+H6,D6)-1),3))</f>
        <v>0.91300000000000003</v>
      </c>
      <c r="H6" s="732">
        <v>0.05</v>
      </c>
      <c r="I6" s="732">
        <v>5.5E-2</v>
      </c>
      <c r="J6" s="66">
        <v>0.06</v>
      </c>
      <c r="K6" s="1030">
        <f>SUMIF('数据-汇总表'!C$19:C$33,A6,'数据-汇总表'!E$19:E$33)</f>
        <v>90.08</v>
      </c>
      <c r="L6" s="733">
        <v>3000</v>
      </c>
      <c r="M6" s="67">
        <f t="shared" ref="M6:M14" si="0">ROUND(K6*L6/10000,0)</f>
        <v>27</v>
      </c>
      <c r="N6" s="731">
        <f>N21</f>
        <v>0.61499999999999999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2800</v>
      </c>
      <c r="V6" s="70">
        <v>0.02</v>
      </c>
      <c r="W6" s="70">
        <v>0.1</v>
      </c>
      <c r="X6" s="1040"/>
      <c r="Y6" s="71">
        <f>N6</f>
        <v>0.61499999999999999</v>
      </c>
      <c r="Z6" s="72"/>
      <c r="AA6" s="66"/>
      <c r="AB6" s="66"/>
      <c r="AC6" s="1040"/>
      <c r="AD6" s="73"/>
      <c r="AE6" s="1041">
        <f ca="1">IF(AN6="",0,SUMIF(INDIRECT("'"&amp;AN6&amp;"'"&amp;"!E:E"),$AE$5,INDIRECT("'"&amp;AN6&amp;"'"&amp;"!F:F")))</f>
        <v>44</v>
      </c>
      <c r="AF6" s="1348"/>
      <c r="AG6" s="138">
        <f>IF(AF6="",0,AE6-AF6)</f>
        <v>0</v>
      </c>
      <c r="AH6" s="74">
        <v>1</v>
      </c>
      <c r="AI6" s="76">
        <v>12</v>
      </c>
      <c r="AJ6" s="77"/>
      <c r="AK6" s="78">
        <v>0.01</v>
      </c>
      <c r="AL6" s="79">
        <v>1E-3</v>
      </c>
      <c r="AM6" s="80">
        <v>0.01</v>
      </c>
      <c r="AN6" s="1715" t="s">
        <v>3387</v>
      </c>
      <c r="AO6" s="52">
        <f ca="1">SUMIF(INDIRECT("'"&amp;AN6&amp;"'"&amp;"!A:A"),"总价",INDIRECT("'"&amp;AN6&amp;"'"&amp;"!B:B"))</f>
        <v>45.346600000000002</v>
      </c>
      <c r="AP6" s="1716">
        <f>IF(C6="住宅",K6*L6,0)</f>
        <v>270240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0.91300000000000003</v>
      </c>
      <c r="H16" s="90">
        <f>ROUND(SUMPRODUCT(H6:H13,K6:K13)/SUMPRODUCT((H6:H13&gt;0)*(K6:K13)),3)</f>
        <v>0.05</v>
      </c>
      <c r="I16" s="91"/>
      <c r="J16" s="91"/>
      <c r="K16" s="92">
        <f>SUM(K6:K15)</f>
        <v>90.08</v>
      </c>
      <c r="L16" s="93">
        <f>ROUND(M16*10000/SUM(K6:K14),0)</f>
        <v>2997</v>
      </c>
      <c r="M16" s="93">
        <f>SUM(M6:M14)</f>
        <v>27</v>
      </c>
      <c r="N16" s="94">
        <f>ROUND(SUMPRODUCT(M6:M14,N6:N14)/M16,3)</f>
        <v>0.61499999999999999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1999</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2303</v>
      </c>
      <c r="D19" s="2672"/>
      <c r="E19" s="2669"/>
      <c r="F19" s="2669"/>
      <c r="G19" s="2669"/>
      <c r="H19" s="2669"/>
      <c r="I19" s="2669"/>
      <c r="J19" s="2669"/>
      <c r="K19" s="2668"/>
      <c r="L19" s="2668"/>
      <c r="M19" s="2667"/>
      <c r="N19" s="3447">
        <f>1-(1-2%)*(2023-N18)/50</f>
        <v>0.52960000000000007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2301</v>
      </c>
      <c r="D20" s="2672"/>
      <c r="E20" s="2669"/>
      <c r="F20" s="2669"/>
      <c r="G20" s="2669"/>
      <c r="H20" s="2669"/>
      <c r="I20" s="2669"/>
      <c r="J20" s="2669"/>
      <c r="K20" s="2668"/>
      <c r="L20" s="2668"/>
      <c r="M20" s="2667"/>
      <c r="N20" s="3448">
        <v>0.7</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2667"/>
      <c r="N21" s="3447">
        <f>ROUND(AVERAGE(N19:N20),3)</f>
        <v>0.61499999999999999</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14413</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0.03</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0.01</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0.01</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3385</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4" customFormat="1" ht="18.75" thickBot="1">
      <c r="A1" s="3540" t="s">
        <v>2284</v>
      </c>
      <c r="B1" s="3541"/>
      <c r="C1" s="3541"/>
      <c r="D1" s="3541"/>
      <c r="E1" s="3541"/>
      <c r="F1" s="3541"/>
      <c r="G1" s="354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36">
      <c r="A3" s="2438" t="s">
        <v>2282</v>
      </c>
      <c r="B3" s="2460" t="s">
        <v>2252</v>
      </c>
      <c r="C3" s="3806" t="s">
        <v>3424</v>
      </c>
      <c r="D3" s="2461"/>
      <c r="E3" s="2439" t="s">
        <v>2282</v>
      </c>
      <c r="F3" s="2462" t="s">
        <v>2253</v>
      </c>
      <c r="G3" s="2463" t="s">
        <v>2283</v>
      </c>
      <c r="H3" s="799"/>
      <c r="I3" s="799"/>
      <c r="J3" s="799"/>
      <c r="K3" s="799"/>
      <c r="L3" s="799"/>
      <c r="M3" s="799"/>
      <c r="N3" s="799"/>
      <c r="O3" s="799"/>
      <c r="P3" s="799"/>
      <c r="Q3" s="799"/>
      <c r="R3" s="799"/>
    </row>
    <row r="4" spans="1:29" ht="36.75">
      <c r="A4" s="2439"/>
      <c r="B4" s="323" t="s">
        <v>2254</v>
      </c>
      <c r="C4" s="2464" t="s">
        <v>2255</v>
      </c>
      <c r="D4" s="2461"/>
      <c r="E4" s="2465"/>
      <c r="F4" s="1373" t="s">
        <v>2256</v>
      </c>
      <c r="G4" s="2466" t="s">
        <v>2257</v>
      </c>
      <c r="H4" s="799"/>
      <c r="I4" s="799"/>
      <c r="J4" s="799"/>
      <c r="K4" s="799"/>
      <c r="L4" s="799"/>
      <c r="M4" s="799"/>
      <c r="N4" s="799"/>
      <c r="O4" s="799"/>
      <c r="P4" s="799"/>
      <c r="Q4" s="799"/>
      <c r="R4" s="799"/>
    </row>
    <row r="5" spans="1:29" ht="36.75">
      <c r="A5" s="2439"/>
      <c r="B5" s="323" t="s">
        <v>2258</v>
      </c>
      <c r="C5" s="2464" t="s">
        <v>2259</v>
      </c>
      <c r="D5" s="2461"/>
      <c r="E5" s="2465"/>
      <c r="F5" s="323" t="s">
        <v>2260</v>
      </c>
      <c r="G5" s="2466" t="s">
        <v>2261</v>
      </c>
      <c r="H5" s="799"/>
      <c r="I5" s="799"/>
      <c r="J5" s="799"/>
      <c r="K5" s="799"/>
      <c r="L5" s="799"/>
      <c r="M5" s="799"/>
      <c r="N5" s="799"/>
      <c r="O5" s="799"/>
      <c r="P5" s="799"/>
      <c r="Q5" s="799"/>
      <c r="R5" s="799"/>
    </row>
    <row r="6" spans="1:29" ht="48">
      <c r="A6" s="2439"/>
      <c r="B6" s="323" t="s">
        <v>2262</v>
      </c>
      <c r="C6" s="3805" t="s">
        <v>3423</v>
      </c>
      <c r="D6" s="2461"/>
      <c r="E6" s="2465"/>
      <c r="F6" s="323" t="s">
        <v>2263</v>
      </c>
      <c r="G6" s="2466" t="s">
        <v>2264</v>
      </c>
      <c r="H6" s="799"/>
      <c r="I6" s="799"/>
      <c r="J6" s="799"/>
      <c r="K6" s="799"/>
      <c r="L6" s="799"/>
      <c r="M6" s="799"/>
      <c r="N6" s="799"/>
      <c r="O6" s="799"/>
      <c r="P6" s="799"/>
      <c r="Q6" s="799"/>
      <c r="R6" s="799"/>
    </row>
    <row r="7" spans="1:29" ht="108.75" thickBot="1">
      <c r="A7" s="2439"/>
      <c r="B7" s="323" t="s">
        <v>2260</v>
      </c>
      <c r="C7" s="3805" t="s">
        <v>3422</v>
      </c>
      <c r="D7" s="2467"/>
      <c r="E7" s="2468"/>
      <c r="F7" s="2469" t="s">
        <v>2265</v>
      </c>
      <c r="G7" s="2470" t="s">
        <v>2266</v>
      </c>
      <c r="H7" s="799"/>
      <c r="I7" s="799"/>
      <c r="J7" s="799"/>
      <c r="K7" s="799"/>
      <c r="L7" s="799"/>
      <c r="M7" s="799"/>
      <c r="N7" s="799"/>
      <c r="O7" s="799"/>
      <c r="P7" s="799"/>
      <c r="Q7" s="799"/>
      <c r="R7" s="799"/>
    </row>
    <row r="8" spans="1:29">
      <c r="A8" s="2439"/>
      <c r="B8" s="323" t="s">
        <v>2263</v>
      </c>
      <c r="C8" s="2466" t="s">
        <v>2264</v>
      </c>
      <c r="D8" s="2467"/>
      <c r="E8" s="2467"/>
      <c r="F8" s="2471"/>
      <c r="G8" s="2471"/>
      <c r="H8" s="799"/>
      <c r="I8" s="799"/>
      <c r="J8" s="799"/>
      <c r="K8" s="799"/>
      <c r="L8" s="799"/>
      <c r="M8" s="799"/>
      <c r="N8" s="799"/>
      <c r="O8" s="799"/>
      <c r="P8" s="799"/>
      <c r="Q8" s="799"/>
      <c r="R8" s="799"/>
    </row>
    <row r="9" spans="1:29" ht="48">
      <c r="A9" s="2439"/>
      <c r="B9" s="323" t="s">
        <v>2267</v>
      </c>
      <c r="C9" s="3807" t="s">
        <v>3425</v>
      </c>
      <c r="D9" s="2461"/>
      <c r="E9" s="2467"/>
      <c r="F9" s="2471"/>
      <c r="G9" s="2471"/>
      <c r="H9" s="799"/>
      <c r="I9" s="799"/>
      <c r="J9" s="799"/>
      <c r="K9" s="799"/>
      <c r="L9" s="799"/>
      <c r="M9" s="799"/>
      <c r="N9" s="799"/>
      <c r="O9" s="799"/>
      <c r="P9" s="799"/>
      <c r="Q9" s="799"/>
      <c r="R9" s="799"/>
    </row>
    <row r="10" spans="1:29" s="2477" customFormat="1" ht="15" thickBot="1">
      <c r="A10" s="2440"/>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1"/>
      <c r="D12" s="2480"/>
      <c r="E12" s="2461"/>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2285</v>
      </c>
      <c r="B13" s="2480"/>
      <c r="C13" s="2480"/>
      <c r="D13" s="2478"/>
      <c r="E13" s="2480"/>
      <c r="F13" s="2480"/>
      <c r="G13" s="2480"/>
    </row>
    <row r="14" spans="1:29" ht="15" thickBot="1">
      <c r="A14" s="2490"/>
      <c r="B14" s="2490"/>
      <c r="C14" s="2491" t="s">
        <v>2269</v>
      </c>
      <c r="D14" s="2461"/>
      <c r="E14" s="2492"/>
      <c r="F14" s="2492"/>
      <c r="G14" s="2457" t="s">
        <v>2270</v>
      </c>
    </row>
    <row r="15" spans="1:29" ht="51">
      <c r="A15" s="2441" t="s">
        <v>2271</v>
      </c>
      <c r="B15" s="2493" t="s">
        <v>2252</v>
      </c>
      <c r="C15" s="2494" t="str">
        <f>C3</f>
        <v>周边有西潞园小区、北潞园小区、拱辰星园等住宅项目，住宅社区成熟度一般。</v>
      </c>
      <c r="D15" s="2461"/>
      <c r="E15" s="2442" t="s">
        <v>2272</v>
      </c>
      <c r="F15" s="2493" t="s">
        <v>2273</v>
      </c>
      <c r="G15" s="2495" t="str">
        <f>G3</f>
        <v>估价对象位于XX开发区，园区建设成熟度XX，产业集聚程度XX</v>
      </c>
    </row>
    <row r="16" spans="1:29" ht="38.25">
      <c r="A16" s="2443"/>
      <c r="B16" s="2496" t="s">
        <v>2254</v>
      </c>
      <c r="C16" s="2497" t="str">
        <f>C4</f>
        <v>估价对象位于XX商圈，周边商业氛围成熟，人流量大，商业繁华度好</v>
      </c>
      <c r="D16" s="2461"/>
      <c r="E16" s="2444"/>
      <c r="F16" s="2498" t="s">
        <v>2256</v>
      </c>
      <c r="G16" s="2499" t="str">
        <f>G4</f>
        <v>估价对象周边道路状况、公共交通通达情况、停车便捷程度，综合评价交通便捷度较好</v>
      </c>
    </row>
    <row r="17" spans="1:18" ht="38.25">
      <c r="A17" s="2443"/>
      <c r="B17" s="2496" t="s">
        <v>2258</v>
      </c>
      <c r="C17" s="2497" t="str">
        <f>C5</f>
        <v>估价对象位于XX商圈，周边办公楼项目较多，入驻率高，办公集聚程度较好</v>
      </c>
      <c r="D17" s="2467"/>
      <c r="E17" s="2444"/>
      <c r="F17" s="2498" t="s">
        <v>2274</v>
      </c>
      <c r="G17" s="2500"/>
    </row>
    <row r="18" spans="1:18" ht="38.25">
      <c r="A18" s="2443"/>
      <c r="B18" s="2498" t="s">
        <v>2262</v>
      </c>
      <c r="C18" s="2499" t="str">
        <f>C6</f>
        <v>周边有F2、F13、F36、F41、616、833路等多条公交线路经过并设站，距离地铁房山线良乡南关约2公里，交通较便捷。</v>
      </c>
      <c r="D18" s="2467"/>
      <c r="E18" s="2444"/>
      <c r="F18" s="2498" t="s">
        <v>2265</v>
      </c>
      <c r="G18" s="2499" t="str">
        <f>G7</f>
        <v>该园区内是否有污染型企业，绿化情况，卫生条件，整体环境状况判断</v>
      </c>
    </row>
    <row r="19" spans="1:18" ht="25.5">
      <c r="A19" s="2443"/>
      <c r="B19" s="2498" t="s">
        <v>2275</v>
      </c>
      <c r="C19" s="2500"/>
      <c r="D19" s="2461"/>
      <c r="E19" s="2444"/>
      <c r="F19" s="323" t="s">
        <v>2260</v>
      </c>
      <c r="G19" s="2499" t="str">
        <f>G5</f>
        <v>估价对象所在区域公共配套设施齐备情况</v>
      </c>
    </row>
    <row r="20" spans="1:18" ht="25.5">
      <c r="A20" s="2443"/>
      <c r="B20" s="2498" t="s">
        <v>2276</v>
      </c>
      <c r="C20" s="2497" t="str">
        <f>C9</f>
        <v>估价对象周边有刺猬河、北潞园健身公园、房山区良乡体育中心等自然人文景观，总体自然人文环境较好。</v>
      </c>
      <c r="D20" s="2467"/>
      <c r="E20" s="2444"/>
      <c r="F20" s="323" t="s">
        <v>2263</v>
      </c>
      <c r="G20" s="2499" t="str">
        <f>G6</f>
        <v>估价对象所在区域基础设施水平</v>
      </c>
    </row>
    <row r="21" spans="1:18" ht="25.5">
      <c r="A21" s="2443"/>
      <c r="B21" s="323" t="s">
        <v>2260</v>
      </c>
      <c r="C21" s="2499" t="str">
        <f>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1" s="2461"/>
      <c r="E21" s="2444"/>
      <c r="F21" s="2498" t="s">
        <v>2277</v>
      </c>
      <c r="G21" s="2501"/>
    </row>
    <row r="22" spans="1:18" ht="13.5" customHeight="1">
      <c r="A22" s="2443"/>
      <c r="B22" s="323" t="s">
        <v>2263</v>
      </c>
      <c r="C22" s="2499" t="str">
        <f>C8</f>
        <v>估价对象所在区域基础设施水平</v>
      </c>
      <c r="D22" s="2461"/>
      <c r="E22" s="2444"/>
      <c r="F22" s="2498" t="s">
        <v>2268</v>
      </c>
      <c r="G22" s="2500"/>
    </row>
    <row r="23" spans="1:18" s="799" customFormat="1" ht="15" thickBot="1">
      <c r="A23" s="2443"/>
      <c r="B23" s="2498" t="s">
        <v>2277</v>
      </c>
      <c r="C23" s="2501"/>
      <c r="D23" s="1741"/>
      <c r="E23" s="2445"/>
      <c r="F23" s="2502" t="s">
        <v>2278</v>
      </c>
      <c r="G23" s="2503"/>
      <c r="H23" s="2487"/>
      <c r="I23" s="2488"/>
      <c r="J23" s="2487"/>
      <c r="K23" s="2487"/>
      <c r="L23" s="2488"/>
      <c r="M23" s="2487"/>
      <c r="N23" s="2487"/>
      <c r="O23" s="2488"/>
      <c r="P23" s="2487"/>
      <c r="Q23" s="2487"/>
      <c r="R23" s="2489"/>
    </row>
    <row r="24" spans="1:18" s="799" customFormat="1" ht="15" thickBot="1">
      <c r="A24" s="2446"/>
      <c r="B24" s="2502" t="s">
        <v>2279</v>
      </c>
      <c r="C24" s="2504">
        <f>C10</f>
        <v>0</v>
      </c>
      <c r="D24" s="1741"/>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90.08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45189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227.55109999999999</v>
      </c>
      <c r="C5" s="2508" t="e">
        <f ca="1">IF(B5=D14,结果表!H102,ROUND(B5*10000/$B$1,0))</f>
        <v>#N/A</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90.08</v>
      </c>
      <c r="C14" s="2514"/>
      <c r="D14" s="2514">
        <f ca="1">ROUND(E14*B14/10000,4)</f>
        <v>227.55109999999999</v>
      </c>
      <c r="E14" s="2514">
        <f ca="1">结果表!G20</f>
        <v>25261</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3403</v>
      </c>
      <c r="D4" s="1756" t="s">
        <v>3404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6</v>
      </c>
      <c r="D14" s="3603">
        <f>10-C14</f>
        <v>4</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4" t="s">
        <v>2131</v>
      </c>
      <c r="F18" s="3635"/>
      <c r="G18" s="3635"/>
      <c r="H18" s="3635"/>
      <c r="I18" s="3635"/>
      <c r="K18" s="302" t="s">
        <v>1289</v>
      </c>
      <c r="L18" s="302">
        <f>IF(C1="",'数据-汇总表'!E3,SUMIF(项目类型,C1,'数据-汇总表'!E17:E26)+SUMIF(项目类型,C1,'数据-汇总表'!I17:I26))</f>
        <v>90.08</v>
      </c>
      <c r="M18" s="302">
        <f>IF(C1="",'数据-汇总表'!E3,SUMIF(项目类型,C1,'数据-汇总表'!E17:E26))</f>
        <v>90.08</v>
      </c>
    </row>
    <row r="19" spans="1:36" ht="15">
      <c r="A19" s="1761" t="s">
        <v>1290</v>
      </c>
      <c r="B19" s="1762" t="s">
        <v>1291</v>
      </c>
      <c r="C19" s="134">
        <f ca="1">SUMIF(INDIRECT("'"&amp;C4&amp;"'"&amp;"!A:A"),结果表!B19,INDIRECT("'"&amp;C4&amp;"'"&amp;"!B:B"))</f>
        <v>250.08009999999999</v>
      </c>
      <c r="D19" s="135">
        <f ca="1">SUMIF(INDIRECT("'"&amp;D4&amp;"'"&amp;"!A:A"),结果表!B19,INDIRECT("'"&amp;D4&amp;"'"&amp;"!B:B"))</f>
        <v>193.75980000000001</v>
      </c>
      <c r="E19" s="1761" t="s">
        <v>1292</v>
      </c>
      <c r="F19" s="1762" t="s">
        <v>1291</v>
      </c>
      <c r="G19" s="136">
        <f ca="1">ROUND(C19*$C$18+D19*$D$18,0)</f>
        <v>228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27762</v>
      </c>
      <c r="D20" s="138">
        <f ca="1">SUMIF(INDIRECT("'"&amp;D4&amp;"'"&amp;"!A:A"),结果表!B20,INDIRECT("'"&amp;D4&amp;"'"&amp;"!B:B"))</f>
        <v>21510</v>
      </c>
      <c r="E20" s="1764"/>
      <c r="F20" s="1026" t="s">
        <v>1295</v>
      </c>
      <c r="G20" s="139">
        <f ca="1">ROUND(C20*$C$18+D20*$D$18,0)</f>
        <v>25261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0.29067071704244096</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f ca="1">系统读取表!D14</f>
        <v>227.55109999999999</v>
      </c>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25261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t="e">
        <f ca="1">ROUND(H101*F45,0)</f>
        <v>#REF!</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19">
        <v>1</v>
      </c>
      <c r="K46" s="3545" t="s">
        <v>1331</v>
      </c>
      <c r="L46" s="3545"/>
      <c r="M46" s="3546"/>
      <c r="N46" s="3546"/>
      <c r="O46" s="3546"/>
    </row>
    <row r="47" spans="1:15" ht="12" customHeight="1">
      <c r="A47" s="160" t="s">
        <v>1332</v>
      </c>
      <c r="B47" s="161"/>
      <c r="C47" s="162"/>
      <c r="D47" s="1087" t="s">
        <v>1333</v>
      </c>
      <c r="E47" s="302" t="s">
        <v>1334</v>
      </c>
      <c r="F47" s="163" t="s">
        <v>1335</v>
      </c>
      <c r="G47" s="2542" t="s">
        <v>1336</v>
      </c>
      <c r="H47" s="2543"/>
      <c r="I47" s="159"/>
      <c r="J47" s="2519">
        <v>2</v>
      </c>
      <c r="K47" s="3545" t="s">
        <v>1337</v>
      </c>
      <c r="L47" s="3545"/>
      <c r="M47" s="3547">
        <f>'数据-取费表'!B2</f>
        <v>45189</v>
      </c>
      <c r="N47" s="3547"/>
      <c r="O47" s="3547"/>
    </row>
    <row r="48" spans="1:15" ht="25.5">
      <c r="A48" s="3607" t="s">
        <v>1338</v>
      </c>
      <c r="B48" s="3608"/>
      <c r="C48" s="3608"/>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6"/>
      <c r="J48" s="2519">
        <v>3</v>
      </c>
      <c r="K48" s="3545" t="s">
        <v>1340</v>
      </c>
      <c r="L48" s="3545"/>
      <c r="M48" s="3548" t="e">
        <f ca="1">H101</f>
        <v>#REF!</v>
      </c>
      <c r="N48" s="3548"/>
      <c r="O48" s="3548"/>
    </row>
    <row r="49" spans="1:35" ht="25.5" customHeight="1">
      <c r="A49" s="2330" t="s">
        <v>1341</v>
      </c>
      <c r="B49" s="3593" t="s">
        <v>1342</v>
      </c>
      <c r="C49" s="3593"/>
      <c r="D49" s="1590">
        <v>0</v>
      </c>
      <c r="E49" s="324" t="s">
        <v>1343</v>
      </c>
      <c r="F49" s="2421" t="s">
        <v>28</v>
      </c>
      <c r="G49" s="3576"/>
      <c r="H49" s="2307" t="s">
        <v>2134</v>
      </c>
      <c r="I49" s="2308"/>
      <c r="J49" s="2519">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47"/>
      <c r="B50" s="3593" t="s">
        <v>1344</v>
      </c>
      <c r="C50" s="3593"/>
      <c r="D50" s="2548"/>
      <c r="E50" s="332"/>
      <c r="F50" s="2421"/>
      <c r="G50" s="3577"/>
      <c r="H50" s="2309" t="s">
        <v>2135</v>
      </c>
      <c r="I50" s="2308"/>
      <c r="J50" s="3544" t="s">
        <v>1345</v>
      </c>
      <c r="K50" s="3544"/>
      <c r="L50" s="3544"/>
      <c r="M50" s="3544"/>
      <c r="N50" s="3544"/>
      <c r="O50" s="3544"/>
    </row>
    <row r="51" spans="1:35" ht="20.45" customHeight="1">
      <c r="A51" s="2549"/>
      <c r="B51" s="3593" t="s">
        <v>1346</v>
      </c>
      <c r="C51" s="3593"/>
      <c r="D51" s="1087"/>
      <c r="E51" s="327"/>
      <c r="F51" s="2421"/>
      <c r="G51" s="3578"/>
      <c r="H51" s="2309" t="s">
        <v>2136</v>
      </c>
      <c r="I51" s="2308"/>
      <c r="J51" s="2520" t="s">
        <v>1347</v>
      </c>
      <c r="K51" s="3545" t="s">
        <v>1348</v>
      </c>
      <c r="L51" s="3545"/>
      <c r="M51" s="2520" t="s">
        <v>1349</v>
      </c>
      <c r="N51" s="2520" t="s">
        <v>1350</v>
      </c>
      <c r="O51" s="2520" t="s">
        <v>1351</v>
      </c>
    </row>
    <row r="52" spans="1:35" ht="24" customHeight="1">
      <c r="A52" s="2332" t="s">
        <v>1352</v>
      </c>
      <c r="B52" s="3593" t="s">
        <v>1353</v>
      </c>
      <c r="C52" s="3593"/>
      <c r="D52" s="1087" t="e">
        <f ca="1">ROUND(D45*'数据-取费表'!B41/(1+'数据-取费表'!C42),0)</f>
        <v>#REF!</v>
      </c>
      <c r="E52" s="2331" t="s">
        <v>1354</v>
      </c>
      <c r="F52" s="2550">
        <f>'数据-取费表'!B41</f>
        <v>5.5000000000000007E-2</v>
      </c>
      <c r="G52" s="2551"/>
      <c r="H52" s="2540"/>
      <c r="I52" s="1807"/>
      <c r="J52" s="2519">
        <v>1</v>
      </c>
      <c r="K52" s="3570" t="s">
        <v>1355</v>
      </c>
      <c r="L52" s="3570"/>
      <c r="M52" s="2521" t="b">
        <f>D48</f>
        <v>0</v>
      </c>
      <c r="N52" s="2519" t="str">
        <f>E48</f>
        <v>销售额×税（费）率</v>
      </c>
      <c r="O52" s="2522">
        <f>F48</f>
        <v>5.5000000000000007E-2</v>
      </c>
    </row>
    <row r="53" spans="1:35" ht="12" customHeight="1">
      <c r="A53" s="2332" t="s">
        <v>1356</v>
      </c>
      <c r="B53" s="3594" t="s">
        <v>2289</v>
      </c>
      <c r="C53" s="3595"/>
      <c r="D53" s="1087" t="e">
        <f ca="1">ROUND(D45*'数据-取费表'!B41/(1+'数据-取费表'!C42),0)</f>
        <v>#REF!</v>
      </c>
      <c r="E53" s="2331" t="s">
        <v>1354</v>
      </c>
      <c r="F53" s="2550">
        <f>'数据-取费表'!B41</f>
        <v>5.5000000000000007E-2</v>
      </c>
      <c r="G53" s="2551"/>
      <c r="H53" s="2540"/>
      <c r="I53" s="1807"/>
      <c r="J53" s="2519">
        <v>2</v>
      </c>
      <c r="K53" s="3570" t="s">
        <v>1357</v>
      </c>
      <c r="L53" s="3570"/>
      <c r="M53" s="2521" t="e">
        <f t="shared" ref="M53:O54" ca="1" si="0">D55</f>
        <v>#REF!</v>
      </c>
      <c r="N53" s="2519" t="str">
        <f t="shared" si="0"/>
        <v>销售额×税（费）率</v>
      </c>
      <c r="O53" s="2522" t="str">
        <f t="shared" si="0"/>
        <v>免征</v>
      </c>
    </row>
    <row r="54" spans="1:35" ht="12" customHeight="1">
      <c r="A54" s="2332" t="s">
        <v>1358</v>
      </c>
      <c r="B54" s="3594" t="s">
        <v>2290</v>
      </c>
      <c r="C54" s="3595"/>
      <c r="D54" s="1087" t="e">
        <f ca="1">C68</f>
        <v>#REF!</v>
      </c>
      <c r="E54" s="327" t="s">
        <v>1359</v>
      </c>
      <c r="F54" s="2550">
        <f>'数据-取费表'!B41</f>
        <v>5.5000000000000007E-2</v>
      </c>
      <c r="G54" s="2551"/>
      <c r="H54" s="2552"/>
      <c r="I54" s="1807"/>
      <c r="J54" s="2519">
        <v>3</v>
      </c>
      <c r="K54" s="3570" t="s">
        <v>1360</v>
      </c>
      <c r="L54" s="3570"/>
      <c r="M54" s="2521" t="e">
        <f t="shared" ca="1" si="0"/>
        <v>#REF!</v>
      </c>
      <c r="N54" s="2519" t="str">
        <f t="shared" si="0"/>
        <v>增值额×税（费）率</v>
      </c>
      <c r="O54" s="2523" t="str">
        <f t="shared" si="0"/>
        <v>免征</v>
      </c>
    </row>
    <row r="55" spans="1:35" ht="24" customHeight="1">
      <c r="A55" s="3630" t="s">
        <v>1361</v>
      </c>
      <c r="B55" s="3608"/>
      <c r="C55" s="3608"/>
      <c r="D55" s="2321" t="e">
        <f ca="1">IF(H55="个人住宅",0,ROUND(D45*I55,0))</f>
        <v>#REF!</v>
      </c>
      <c r="E55" s="2331" t="s">
        <v>1362</v>
      </c>
      <c r="F55" s="2550" t="str">
        <f>IF(H55="正常",I55,"免征")</f>
        <v>免征</v>
      </c>
      <c r="G55" s="2551"/>
      <c r="H55" s="2546"/>
      <c r="I55" s="165">
        <f>'数据-取费表'!B49</f>
        <v>5.0000000000000001E-4</v>
      </c>
      <c r="J55" s="2519">
        <f>IF(H59="非个人房产","",4)</f>
        <v>4</v>
      </c>
      <c r="K55" s="3570" t="str">
        <f>IF(H59="非个人房产","——","个人所得税")</f>
        <v>个人所得税</v>
      </c>
      <c r="L55" s="3570"/>
      <c r="M55" s="2524" t="e">
        <f ca="1">D59</f>
        <v>#REF!</v>
      </c>
      <c r="N55" s="2037" t="str">
        <f>E59</f>
        <v>差额计税</v>
      </c>
      <c r="O55" s="2525">
        <f>F59</f>
        <v>0.01</v>
      </c>
    </row>
    <row r="56" spans="1:35" ht="24.75">
      <c r="A56" s="3630" t="s">
        <v>1363</v>
      </c>
      <c r="B56" s="3608"/>
      <c r="C56" s="3608"/>
      <c r="D56" s="2321" t="e">
        <f ca="1">IF(H56="个人住宅",D57,D58)</f>
        <v>#REF!</v>
      </c>
      <c r="E56" s="2331" t="s">
        <v>1364</v>
      </c>
      <c r="F56" s="2550" t="str">
        <f>IF(H56="正常",F58,"免征")</f>
        <v>免征</v>
      </c>
      <c r="G56" s="2553" t="s">
        <v>1365</v>
      </c>
      <c r="H56" s="2554"/>
      <c r="I56" s="1808"/>
      <c r="J56" s="2519" t="str">
        <f>IF(项目基本情况!K6="上海银行",IF(J55="",4,J55+1),"")</f>
        <v/>
      </c>
      <c r="K56" s="3551" t="str">
        <f>IF(项目基本情况!K6="上海银行","其他处置费用","")</f>
        <v/>
      </c>
      <c r="L56" s="3552"/>
      <c r="M56" s="2521" t="str">
        <f>IF(项目基本情况!K6="上海银行",M69,"")</f>
        <v/>
      </c>
      <c r="N56" s="3551" t="str">
        <f>IF(项目基本情况!K6="上海银行","包含处置中涉及的律师、诉讼、拍卖、评估等费用","")</f>
        <v/>
      </c>
      <c r="O56" s="3554"/>
    </row>
    <row r="57" spans="1:35" ht="12.75">
      <c r="A57" s="2332" t="s">
        <v>1341</v>
      </c>
      <c r="B57" s="3594" t="s">
        <v>1366</v>
      </c>
      <c r="C57" s="3595"/>
      <c r="D57" s="1590">
        <v>0</v>
      </c>
      <c r="E57" s="324" t="s">
        <v>1343</v>
      </c>
      <c r="F57" s="302"/>
      <c r="G57" s="2551"/>
      <c r="H57" s="2555"/>
      <c r="I57" s="1808"/>
      <c r="J57" s="3570">
        <f>IF(AND(J55="",J56=""),4,IF(项目基本情况!K6="上海银行",结果表!J56+1,结果表!J55+1))</f>
        <v>5</v>
      </c>
      <c r="K57" s="3570" t="s">
        <v>1367</v>
      </c>
      <c r="L57" s="2526" t="s">
        <v>1368</v>
      </c>
      <c r="M57" s="2527"/>
      <c r="N57" s="2528">
        <f ca="1">SUMIF(M52:M56,"&lt;9e307")</f>
        <v>0</v>
      </c>
      <c r="O57" s="2529"/>
      <c r="P57" s="2686" t="e">
        <f ca="1">N57/M49</f>
        <v>#VALUE!</v>
      </c>
    </row>
    <row r="58" spans="1:35" ht="24.75">
      <c r="A58" s="2332" t="s">
        <v>1352</v>
      </c>
      <c r="B58" s="3594" t="s">
        <v>1369</v>
      </c>
      <c r="C58" s="3593"/>
      <c r="D58" s="2321" t="e">
        <f ca="1">IF(H58="转让取得",C81,C97)</f>
        <v>#REF!</v>
      </c>
      <c r="E58" s="2331" t="s">
        <v>1364</v>
      </c>
      <c r="F58" s="302" t="s">
        <v>28</v>
      </c>
      <c r="G58" s="2551"/>
      <c r="H58" s="2554"/>
      <c r="I58" s="1808"/>
      <c r="J58" s="3570"/>
      <c r="K58" s="3570"/>
      <c r="L58" s="2526" t="s">
        <v>1370</v>
      </c>
      <c r="M58" s="2530"/>
      <c r="N58" s="2531" t="str">
        <f ca="1">NUMBERSTRING(INT(N57*10000),2)&amp;"元整"</f>
        <v>零元整</v>
      </c>
      <c r="O58" s="2532"/>
    </row>
    <row r="59" spans="1:35" ht="24.75" thickBot="1">
      <c r="A59" s="3574" t="s">
        <v>1371</v>
      </c>
      <c r="B59" s="3575"/>
      <c r="C59" s="3575"/>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572">
        <f>J57+1</f>
        <v>6</v>
      </c>
      <c r="K59" s="3570" t="s">
        <v>1372</v>
      </c>
      <c r="L59" s="2519" t="s">
        <v>1368</v>
      </c>
      <c r="M59" s="2533"/>
      <c r="N59" s="2534" t="e">
        <f ca="1">M49-N57</f>
        <v>#VALUE!</v>
      </c>
      <c r="O59" s="2535"/>
    </row>
    <row r="60" spans="1:35" ht="12" customHeight="1">
      <c r="A60" s="1809"/>
      <c r="B60" s="1747"/>
      <c r="C60" s="1747"/>
      <c r="D60" s="1747"/>
      <c r="E60" s="1578"/>
      <c r="F60" s="1808"/>
      <c r="G60" s="1808"/>
      <c r="H60" s="1810"/>
      <c r="I60" s="129"/>
      <c r="J60" s="3573"/>
      <c r="K60" s="3570"/>
      <c r="L60" s="2526" t="s">
        <v>1370</v>
      </c>
      <c r="M60" s="2530"/>
      <c r="N60" s="2531" t="e">
        <f ca="1">NUMBERSTRING(INT(N59*10000),2)&amp;"元整"</f>
        <v>#VALUE!</v>
      </c>
      <c r="O60" s="2532"/>
    </row>
    <row r="61" spans="1:35" ht="13.5" thickBot="1">
      <c r="A61" s="3629" t="s">
        <v>1373</v>
      </c>
      <c r="B61" s="3629"/>
      <c r="C61" s="3629"/>
      <c r="D61" s="3629"/>
      <c r="E61" s="3629"/>
      <c r="F61" s="1808"/>
      <c r="G61" s="1808"/>
      <c r="H61" s="1810"/>
      <c r="I61" s="129"/>
      <c r="J61" s="2519">
        <f>J59+1</f>
        <v>7</v>
      </c>
      <c r="K61" s="3570" t="s">
        <v>1374</v>
      </c>
      <c r="L61" s="3570"/>
      <c r="M61" s="2536"/>
      <c r="N61" s="2537" t="e">
        <f ca="1">ROUND(N59*10000/'数据-汇总表'!E3,0)</f>
        <v>#VALUE!</v>
      </c>
      <c r="O61" s="2538"/>
    </row>
    <row r="62" spans="1:35" ht="12.75">
      <c r="A62" s="3589" t="s">
        <v>1375</v>
      </c>
      <c r="B62" s="3590"/>
      <c r="C62" s="2018"/>
      <c r="D62" s="2018" t="s">
        <v>1376</v>
      </c>
      <c r="E62" s="166" t="s">
        <v>1377</v>
      </c>
      <c r="F62" s="1808"/>
      <c r="G62" s="1808"/>
      <c r="H62" s="1810"/>
      <c r="I62" s="129"/>
    </row>
    <row r="63" spans="1:35" ht="12.75">
      <c r="A63" s="173" t="s">
        <v>330</v>
      </c>
      <c r="B63" s="167" t="s">
        <v>1378</v>
      </c>
      <c r="C63" s="2560" t="e">
        <f ca="1">ROUND((C64+C65)/(1+'数据-取费表'!C42),0)</f>
        <v>#REF!</v>
      </c>
      <c r="D63" s="167"/>
      <c r="E63" s="168"/>
      <c r="F63" s="1808"/>
      <c r="G63" s="1808"/>
      <c r="H63" s="1810"/>
      <c r="I63" s="129"/>
      <c r="J63" s="3553" t="s">
        <v>1379</v>
      </c>
      <c r="K63" s="1332" t="s">
        <v>1380</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t="e">
        <f ca="1">D45</f>
        <v>#REF!</v>
      </c>
      <c r="D64" s="170" t="s">
        <v>26</v>
      </c>
      <c r="E64" s="172"/>
      <c r="F64" s="1808"/>
      <c r="G64" s="1808"/>
      <c r="H64" s="1810"/>
      <c r="I64" s="129"/>
      <c r="J64" s="35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553"/>
      <c r="K65" s="1332" t="s">
        <v>1385</v>
      </c>
      <c r="L65" s="1332"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553"/>
      <c r="K66" s="1332" t="s">
        <v>1387</v>
      </c>
      <c r="L66" s="1332" t="e">
        <f>M49*0.5%</f>
        <v>#VALUE!</v>
      </c>
      <c r="M66" s="302" t="e">
        <f>IF(L66&gt;0.5,0.5,ROUND(L66,0))</f>
        <v>#VALUE!</v>
      </c>
      <c r="N66" s="2540" t="s">
        <v>1388</v>
      </c>
      <c r="Z66" s="1752"/>
      <c r="AI66" s="1753"/>
    </row>
    <row r="67" spans="1:35" ht="14.25" customHeight="1">
      <c r="A67" s="173" t="s">
        <v>328</v>
      </c>
      <c r="B67" s="174" t="s">
        <v>1389</v>
      </c>
      <c r="C67" s="2564" t="e">
        <f ca="1">C63-C66</f>
        <v>#REF!</v>
      </c>
      <c r="D67" s="170" t="s">
        <v>26</v>
      </c>
      <c r="E67" s="172"/>
      <c r="F67" s="1808"/>
      <c r="G67" s="1808"/>
      <c r="H67" s="1810"/>
      <c r="I67" s="129"/>
      <c r="J67" s="35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t="e">
        <f ca="1">IF(C67&lt;=0,0,ROUND(C67*D68,0))</f>
        <v>#REF!</v>
      </c>
      <c r="D68" s="2566">
        <f>'数据-取费表'!B41</f>
        <v>5.5000000000000007E-2</v>
      </c>
      <c r="E68" s="178"/>
      <c r="F68" s="1808"/>
      <c r="G68" s="1808"/>
      <c r="H68" s="1810"/>
      <c r="I68" s="129"/>
      <c r="J68" s="3553"/>
      <c r="K68" s="1332" t="s">
        <v>1392</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53"/>
      <c r="K69" s="1332" t="s">
        <v>1393</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8"/>
      <c r="D71" s="2018"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t="e">
        <f ca="1">ROUND(D45/(1+'数据-取费表'!C42),0)</f>
        <v>#REF!</v>
      </c>
      <c r="D72" s="170" t="s">
        <v>26</v>
      </c>
      <c r="E72" s="2328"/>
      <c r="F72" s="2327"/>
      <c r="G72" s="2327"/>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t="e">
        <f ca="1">ROUND(D45*D78/(1+'数据-取费表'!C42),0)</f>
        <v>#REF!</v>
      </c>
      <c r="D78" s="2573">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t="e">
        <f ca="1">IF(H88="仅含出让金",C87+C90+C91+C92+C93+C94,C87+C91+C92+C93+C94)</f>
        <v>#REF!</v>
      </c>
      <c r="D86" s="2577"/>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4"/>
      <c r="G88" s="194" t="s">
        <v>1414</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4"/>
      <c r="G90" s="3555" t="s">
        <v>2129</v>
      </c>
      <c r="H90" s="3556"/>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586" t="s">
        <v>1422</v>
      </c>
      <c r="F92" s="3587"/>
      <c r="G92" s="3587"/>
      <c r="H92" s="3588"/>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t="e">
        <f ca="1">ROUND(D45*D93/(1+'数据-取费表'!C42),0)</f>
        <v>#REF!</v>
      </c>
      <c r="D93" s="2573">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1" t="str">
        <f>C4</f>
        <v>比较法-住宅</v>
      </c>
      <c r="D101" s="2582" t="str">
        <f>D4</f>
        <v>成本法 (元)</v>
      </c>
      <c r="E101" s="3549" t="s">
        <v>1431</v>
      </c>
      <c r="F101" s="3550"/>
      <c r="G101" s="1827" t="s">
        <v>1432</v>
      </c>
      <c r="H101" s="2591" t="e">
        <f ca="1">H118</f>
        <v>#REF!</v>
      </c>
      <c r="I101" s="129"/>
    </row>
    <row r="102" spans="1:35" ht="18.75" customHeight="1">
      <c r="A102" s="3581" t="s">
        <v>1433</v>
      </c>
      <c r="B102" s="2580" t="s">
        <v>1432</v>
      </c>
      <c r="C102" s="2581">
        <f ca="1">IF(D32="楼面单价",ROUND(C19,0),C19)</f>
        <v>250.08009999999999</v>
      </c>
      <c r="D102" s="2582">
        <f ca="1">IF(D32="楼面单价",ROUND(D19,0),D19)</f>
        <v>193.75980000000001</v>
      </c>
      <c r="E102" s="3549"/>
      <c r="F102" s="3550"/>
      <c r="G102" s="1827" t="s">
        <v>1434</v>
      </c>
      <c r="H102" s="2551" t="e">
        <f ca="1">I118</f>
        <v>#REF!</v>
      </c>
      <c r="I102" s="129"/>
    </row>
    <row r="103" spans="1:35" ht="42.75" customHeight="1">
      <c r="A103" s="3581"/>
      <c r="B103" s="2580" t="s">
        <v>1434</v>
      </c>
      <c r="C103" s="2583">
        <f ca="1">C20</f>
        <v>27762</v>
      </c>
      <c r="D103" s="2584">
        <f ca="1">D20</f>
        <v>21510</v>
      </c>
      <c r="E103" s="3542" t="s">
        <v>1435</v>
      </c>
      <c r="F103" s="3543"/>
      <c r="G103" s="1828" t="s">
        <v>1436</v>
      </c>
      <c r="H103" s="2591">
        <f>IF(D36="正常操作",H104+H105+H106,H105+H106)</f>
        <v>0</v>
      </c>
      <c r="I103" s="129"/>
    </row>
    <row r="104" spans="1:35" ht="18.75" customHeight="1">
      <c r="A104" s="3581" t="s">
        <v>1437</v>
      </c>
      <c r="B104" s="2585" t="s">
        <v>1432</v>
      </c>
      <c r="C104" s="2586" t="e">
        <f ca="1">H118</f>
        <v>#REF!</v>
      </c>
      <c r="D104" s="2587"/>
      <c r="E104" s="1674" t="s">
        <v>1438</v>
      </c>
      <c r="F104" s="1666"/>
      <c r="G104" s="1828" t="s">
        <v>1436</v>
      </c>
      <c r="H104" s="2592">
        <f>IF(D36="同一抵押权人同一抵押物续贷",C36&amp;"（续贷，未扣减，详见特别提示）",C36)</f>
        <v>0</v>
      </c>
      <c r="I104" s="129"/>
    </row>
    <row r="105" spans="1:35" ht="18.75" customHeight="1" thickBot="1">
      <c r="A105" s="3591"/>
      <c r="B105" s="2588" t="s">
        <v>1434</v>
      </c>
      <c r="C105" s="2589" t="e">
        <f ca="1">I118</f>
        <v>#REF!</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582" t="str">
        <f>IF(项目基本情况!E8="已注销","——","3.房地产抵押价值")</f>
        <v>3.房地产抵押价值</v>
      </c>
      <c r="F107" s="3550"/>
      <c r="G107" s="1827" t="s">
        <v>1432</v>
      </c>
      <c r="H107" s="2591" t="e">
        <f ca="1">IF(E107="——","——",H101-H103)</f>
        <v>#REF!</v>
      </c>
      <c r="I107" s="129"/>
    </row>
    <row r="108" spans="1:35" ht="18.75" customHeight="1">
      <c r="A108" s="129"/>
      <c r="B108" s="129"/>
      <c r="C108" s="129"/>
      <c r="D108" s="129"/>
      <c r="E108" s="3582"/>
      <c r="F108" s="3550"/>
      <c r="G108" s="1827" t="s">
        <v>1434</v>
      </c>
      <c r="H108" s="2551">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4" t="str">
        <f>IF(E109="——","——",H101-H105-H106)</f>
        <v>——</v>
      </c>
      <c r="I109" s="129"/>
    </row>
    <row r="110" spans="1:35" ht="18.75" customHeight="1">
      <c r="A110" s="129"/>
      <c r="B110" s="129"/>
      <c r="C110" s="129"/>
      <c r="D110" s="129"/>
      <c r="E110" s="3582"/>
      <c r="F110" s="3550"/>
      <c r="G110" s="1827" t="s">
        <v>1434</v>
      </c>
      <c r="H110" s="2551"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1" t="str">
        <f>IF(E111="——","——",N59)</f>
        <v>——</v>
      </c>
      <c r="I111" s="129"/>
    </row>
    <row r="112" spans="1:35" ht="18.75" customHeight="1" thickBot="1">
      <c r="A112" s="129"/>
      <c r="B112" s="129"/>
      <c r="C112" s="129"/>
      <c r="D112" s="129"/>
      <c r="E112" s="3584"/>
      <c r="F112" s="3585"/>
      <c r="G112" s="1830" t="s">
        <v>1434</v>
      </c>
      <c r="H112" s="2595"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6" t="s">
        <v>1449</v>
      </c>
      <c r="E117" s="2326" t="s">
        <v>1450</v>
      </c>
      <c r="F117" s="2326" t="s">
        <v>1449</v>
      </c>
      <c r="G117" s="2326" t="s">
        <v>1451</v>
      </c>
      <c r="H117" s="2326" t="s">
        <v>1449</v>
      </c>
      <c r="I117" s="2326" t="s">
        <v>1451</v>
      </c>
    </row>
    <row r="118" spans="1:27" ht="24.75" customHeight="1">
      <c r="A118" s="2596" t="str">
        <f>项目基本情况!S2</f>
        <v>房地产</v>
      </c>
      <c r="B118" s="2326">
        <f>M18</f>
        <v>90.08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57" t="s">
        <v>1452</v>
      </c>
      <c r="B119" s="3557"/>
      <c r="C119" s="3557"/>
      <c r="D119" s="3563" t="e">
        <f ca="1">NUMBERSTRING(INT(D118*10000),2)&amp;"元整"</f>
        <v>#REF!</v>
      </c>
      <c r="E119" s="3564"/>
      <c r="F119" s="3563" t="e">
        <f ca="1">NUMBERSTRING(INT(F118*10000),2)&amp;"元整"</f>
        <v>#REF!</v>
      </c>
      <c r="G119" s="3564"/>
      <c r="H119" s="3563" t="e">
        <f ca="1">NUMBERSTRING(INT(H118*10000),2)&amp;"元整"</f>
        <v>#REF!</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t="e">
        <f ca="1">H107</f>
        <v>#REF!</v>
      </c>
      <c r="E122" s="3559"/>
      <c r="F122" s="3559"/>
      <c r="G122" s="3559"/>
      <c r="H122" s="3559"/>
      <c r="I122" s="3560"/>
      <c r="AA122" s="725"/>
    </row>
    <row r="123" spans="1:27" ht="18.75" customHeight="1">
      <c r="A123" s="3557" t="s">
        <v>1452</v>
      </c>
      <c r="B123" s="3557"/>
      <c r="C123" s="3557"/>
      <c r="D123" s="3563" t="e">
        <f ca="1">NUMBERSTRING(INT(D122*10000),2)&amp;"元整"</f>
        <v>#REF!</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2244116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14413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14413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90.08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90.08</v>
      </c>
      <c r="E19" s="211">
        <f>'数据-取费表'!B31</f>
        <v>200</v>
      </c>
      <c r="F19" s="231"/>
      <c r="G19" s="1856"/>
    </row>
    <row r="20" spans="1:7" s="214" customFormat="1" ht="13.5" customHeight="1">
      <c r="A20" s="255" t="s">
        <v>1493</v>
      </c>
      <c r="B20" s="210" t="s">
        <v>1494</v>
      </c>
      <c r="C20" s="232">
        <f ca="1">ROUND((C5+C19)*F20,0)</f>
        <v>144</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1409</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2912</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2912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20190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2</v>
      </c>
      <c r="D37" s="217">
        <f ca="1">D19</f>
        <v>90.08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5.0000000000000001E-4</v>
      </c>
      <c r="D44" s="238"/>
      <c r="E44" s="238"/>
      <c r="F44" s="239"/>
      <c r="G44" s="3638"/>
    </row>
    <row r="45" spans="1:7" s="214" customFormat="1" ht="13.5" customHeight="1">
      <c r="A45" s="255" t="s">
        <v>1547</v>
      </c>
      <c r="B45" s="244" t="s">
        <v>1513</v>
      </c>
      <c r="C45" s="245">
        <f ca="1">C46</f>
        <v>6</v>
      </c>
      <c r="D45" s="235">
        <f ca="1">C47</f>
        <v>2E-3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0.61499999999999999</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20215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16975</v>
      </c>
      <c r="C2" s="276" t="s">
        <v>1595</v>
      </c>
      <c r="D2" s="276"/>
      <c r="E2" s="2802"/>
      <c r="F2" s="2802"/>
      <c r="G2" s="2802"/>
      <c r="H2" s="2802"/>
      <c r="I2" s="2802"/>
      <c r="J2" s="2802"/>
      <c r="K2" s="2802"/>
    </row>
    <row r="3" spans="1:33" ht="18" customHeight="1" thickBot="1">
      <c r="A3" s="203" t="s">
        <v>1464</v>
      </c>
      <c r="B3" s="204">
        <f ca="1">ROUND(B2*10000/IF(C1="",'数据-汇总表'!E3,INDIRECT("'数据-取费表'!K"&amp;$K$1)),0)</f>
        <v>1884436</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90.08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-14412</v>
      </c>
      <c r="D21" s="815"/>
      <c r="E21" s="281"/>
      <c r="F21" s="281"/>
      <c r="G21" s="131" t="s">
        <v>1629</v>
      </c>
      <c r="H21" s="807"/>
      <c r="I21" s="807"/>
      <c r="J21" s="807"/>
      <c r="K21" s="808"/>
    </row>
    <row r="22" spans="1:33" s="803" customFormat="1" ht="13.5" customHeight="1">
      <c r="A22" s="790" t="s">
        <v>1601</v>
      </c>
      <c r="B22" s="813" t="s">
        <v>1630</v>
      </c>
      <c r="C22" s="814">
        <f ca="1">ROUND(C21*F22,0)</f>
        <v>-144</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-2911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16975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4" t="s">
        <v>2308</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45.346600000000002</v>
      </c>
      <c r="C2" s="1387" t="s">
        <v>879</v>
      </c>
      <c r="D2" s="1471">
        <f ca="1">C40+J29+L46</f>
        <v>453466</v>
      </c>
      <c r="E2" s="1388" t="s">
        <v>880</v>
      </c>
      <c r="F2" s="1389"/>
      <c r="G2" s="2702"/>
      <c r="H2" s="2691"/>
      <c r="I2" s="2691"/>
      <c r="J2" s="2691"/>
      <c r="K2" s="2692"/>
      <c r="L2" s="2691"/>
      <c r="M2" s="2691"/>
    </row>
    <row r="3" spans="1:37" ht="18" customHeight="1" thickBot="1">
      <c r="A3" s="1390" t="s">
        <v>881</v>
      </c>
      <c r="B3" s="1391">
        <f ca="1">IF(ISERROR(D2/F43),0,ROUND(D2/F43,0))</f>
        <v>5034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30278</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30240</v>
      </c>
      <c r="D6" s="155" t="s">
        <v>2106</v>
      </c>
      <c r="E6" s="302" t="s">
        <v>696</v>
      </c>
      <c r="F6" s="303">
        <f ca="1">INDIRECT("'数据-取费表'!u"&amp;$G$1)</f>
        <v>2800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v>
      </c>
      <c r="G7" s="1384"/>
      <c r="H7" s="304"/>
      <c r="I7" s="3642"/>
      <c r="J7" s="306"/>
      <c r="K7" s="307"/>
      <c r="L7" s="302" t="s">
        <v>697</v>
      </c>
      <c r="M7" s="303">
        <f ca="1">F7</f>
        <v>1</v>
      </c>
    </row>
    <row r="8" spans="1:37" ht="18" customHeight="1">
      <c r="A8" s="304"/>
      <c r="B8" s="3642"/>
      <c r="C8" s="306"/>
      <c r="D8" s="307"/>
      <c r="E8" s="302" t="s">
        <v>698</v>
      </c>
      <c r="F8" s="303">
        <f ca="1">INDIRECT("'数据-取费表'!ai"&amp;$G$1)</f>
        <v>12</v>
      </c>
      <c r="G8" s="1384"/>
      <c r="H8" s="304"/>
      <c r="I8" s="3642"/>
      <c r="J8" s="306"/>
      <c r="K8" s="307"/>
      <c r="L8" s="302" t="s">
        <v>698</v>
      </c>
      <c r="M8" s="303">
        <f ca="1">INDIRECT("'数据-取费表'!ai"&amp;$G$1)</f>
        <v>12</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38</v>
      </c>
      <c r="D10" s="1366" t="s">
        <v>2116</v>
      </c>
      <c r="E10" s="313" t="s">
        <v>701</v>
      </c>
      <c r="F10" s="1116" t="s">
        <v>3419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255663</v>
      </c>
      <c r="D13" s="1081" t="s">
        <v>705</v>
      </c>
      <c r="E13" s="1081" t="s">
        <v>706</v>
      </c>
      <c r="F13" s="1082">
        <f ca="1">INDIRECT("'数据-取费表'!y"&amp;$G$1)</f>
        <v>0.61499999999999999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270240</v>
      </c>
      <c r="D14" s="1345" t="s">
        <v>708</v>
      </c>
      <c r="E14" s="1342"/>
      <c r="F14" s="319"/>
      <c r="G14" s="1384"/>
      <c r="H14" s="982" t="s">
        <v>398</v>
      </c>
      <c r="I14" s="302" t="s">
        <v>709</v>
      </c>
      <c r="J14" s="21">
        <f ca="1">C29</f>
        <v>415713</v>
      </c>
      <c r="K14" s="12"/>
      <c r="L14" s="807"/>
      <c r="M14" s="808"/>
    </row>
    <row r="15" spans="1:37" s="1397" customFormat="1" ht="18" customHeight="1" thickBot="1">
      <c r="A15" s="982" t="s">
        <v>399</v>
      </c>
      <c r="B15" s="302" t="s">
        <v>710</v>
      </c>
      <c r="C15" s="21">
        <f ca="1">ROUND(C14*F15,0)</f>
        <v>8107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8107</v>
      </c>
      <c r="D16" s="302" t="s">
        <v>711</v>
      </c>
      <c r="E16" s="302" t="s">
        <v>712</v>
      </c>
      <c r="F16" s="322">
        <f ca="1">IF(INDIRECT("'数据-取费表'!c"&amp;$G$1)="住宅",'数据-取费表'!B34,0)</f>
        <v>0.03</v>
      </c>
      <c r="G16" s="1384"/>
      <c r="H16" s="1079" t="s">
        <v>393</v>
      </c>
      <c r="I16" s="1080" t="s">
        <v>714</v>
      </c>
      <c r="J16" s="310">
        <f ca="1">ROUND(J17+J22+J23+J24,0)</f>
        <v>4157</v>
      </c>
      <c r="K16" s="1087" t="s">
        <v>715</v>
      </c>
      <c r="L16" s="1088"/>
      <c r="M16" s="1072"/>
    </row>
    <row r="17" spans="1:37" s="1397" customFormat="1" ht="18" customHeight="1">
      <c r="A17" s="982" t="s">
        <v>681</v>
      </c>
      <c r="B17" s="302" t="s">
        <v>716</v>
      </c>
      <c r="C17" s="21">
        <f ca="1">ROUND(F17*(F43+INDIRECT("'数据-取费表'!S"&amp;$G$1)),0)</f>
        <v>18016</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308524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3085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4157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14802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-4157</v>
      </c>
      <c r="K25" s="1095" t="s">
        <v>753</v>
      </c>
      <c r="L25" s="1096"/>
      <c r="M25" s="1097"/>
    </row>
    <row r="26" spans="1:37" ht="18" customHeight="1">
      <c r="A26" s="982" t="s">
        <v>397</v>
      </c>
      <c r="B26" s="302" t="s">
        <v>754</v>
      </c>
      <c r="C26" s="21">
        <f ca="1">ROUND((C19+C20)*F26,0)</f>
        <v>62322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415713</v>
      </c>
      <c r="D29" s="1092"/>
      <c r="E29" s="1090"/>
      <c r="F29" s="1093"/>
      <c r="G29" s="1396"/>
      <c r="H29" s="334" t="s">
        <v>396</v>
      </c>
      <c r="I29" s="335" t="s">
        <v>768</v>
      </c>
      <c r="J29" s="336">
        <f ca="1">ROUND(J26/(1+F40)^F41,0)</f>
        <v>0</v>
      </c>
      <c r="K29" s="337" t="s">
        <v>769</v>
      </c>
      <c r="L29" s="338"/>
      <c r="M29" s="339">
        <f ca="1">INDIRECT("'数据-取费表'!k"&amp;$G$1)</f>
        <v>90.08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9756</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ROUND(IF(AND(项目基本情况!B11="自然人",项目基本情况!B10="北京市"),C6*F31/(1+'数据-取费表'!C42),C32+C33+C34),0)</f>
        <v>5040</v>
      </c>
      <c r="D31" s="1345" t="s">
        <v>720</v>
      </c>
      <c r="E31" s="1344" t="s">
        <v>770</v>
      </c>
      <c r="F31" s="2312">
        <f ca="1">IF(项目基本情况!B11="企业","——",IF(M47="住宅",IF(F6*F7*F8/12/(1+'数据-取费表'!F30)&gt;100000,4%,2.5%),IF(F6*F7*F8/12/(1+'数据-取费表'!F30)&gt;100000,12%,7%)))</f>
        <v>2.5000000000000001E-2</v>
      </c>
      <c r="G31" s="1384"/>
      <c r="H31" s="2804" t="s">
        <v>2308</v>
      </c>
      <c r="I31" s="1398"/>
      <c r="J31" s="1399"/>
      <c r="K31" s="2471"/>
      <c r="L31" s="2694"/>
      <c r="M31" s="2695"/>
    </row>
    <row r="32" spans="1:37" ht="18" customHeight="1">
      <c r="A32" s="982" t="s">
        <v>397</v>
      </c>
      <c r="B32" s="302" t="s">
        <v>723</v>
      </c>
      <c r="C32" s="21">
        <f ca="1">IF(项目基本情况!B11="自然人","——",ROUND(C6*F32/(1+'数据-取费表'!C42),0))</f>
        <v>1584</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3456</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4157</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256</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303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20522</v>
      </c>
      <c r="D39" s="1095" t="s">
        <v>773</v>
      </c>
      <c r="E39" s="1096"/>
      <c r="F39" s="1097"/>
      <c r="G39" s="1384"/>
      <c r="H39" s="2696"/>
      <c r="I39" s="1398"/>
      <c r="J39" s="1399"/>
      <c r="K39" s="2700"/>
      <c r="L39" s="2696"/>
      <c r="M39" s="2696"/>
    </row>
    <row r="40" spans="1:18" ht="18" customHeight="1">
      <c r="A40" s="299" t="s">
        <v>395</v>
      </c>
      <c r="B40" s="300" t="s">
        <v>774</v>
      </c>
      <c r="C40" s="301">
        <f ca="1">ROUND(C39*(1-((1+F42)/(1+F40))^F41)/(F40-F42),0)</f>
        <v>453466</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44</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5034</v>
      </c>
      <c r="D43" s="337" t="s">
        <v>777</v>
      </c>
      <c r="E43" s="338" t="s">
        <v>778</v>
      </c>
      <c r="F43" s="339">
        <f ca="1">INDIRECT("'数据-取费表'!k"&amp;$G$1)</f>
        <v>90.08</v>
      </c>
      <c r="G43" s="1384"/>
      <c r="H43" s="1191"/>
      <c r="I43" s="1191"/>
      <c r="J43" s="1191">
        <f>2023-1999</f>
        <v>24</v>
      </c>
      <c r="K43" s="2540"/>
      <c r="L43" s="1191"/>
      <c r="M43" s="1191"/>
    </row>
    <row r="44" spans="1:18" s="1384" customFormat="1" ht="18" customHeight="1">
      <c r="A44" s="1400"/>
      <c r="B44" s="1400"/>
      <c r="C44" s="1401"/>
      <c r="D44" s="1400"/>
      <c r="E44" s="1400"/>
      <c r="F44" s="1400"/>
      <c r="J44" s="1384">
        <f>50-J43</f>
        <v>26</v>
      </c>
      <c r="K44" s="1402">
        <f>70-J44</f>
        <v>44</v>
      </c>
    </row>
    <row r="45" spans="1:18" s="1384" customFormat="1" ht="18" customHeight="1" thickBot="1">
      <c r="A45" s="3427" t="s">
        <v>3354</v>
      </c>
      <c r="B45" s="1400"/>
      <c r="C45" s="1472">
        <f ca="1">ROUND((C68-C40)/10000,4)</f>
        <v>-52.609400000000001</v>
      </c>
      <c r="D45" s="3428" t="s">
        <v>3355</v>
      </c>
      <c r="E45" s="1400"/>
      <c r="F45" s="1400"/>
      <c r="O45" s="1403" t="s">
        <v>808</v>
      </c>
      <c r="P45" s="1461"/>
      <c r="Q45" s="1461"/>
      <c r="R45" s="1461"/>
    </row>
    <row r="46" spans="1:18" s="1384" customFormat="1" ht="13.5" thickBot="1">
      <c r="A46" s="1404" t="s">
        <v>809</v>
      </c>
      <c r="C46" s="1405">
        <f ca="1">ROUND(C45,0)</f>
        <v>-53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70</v>
      </c>
      <c r="M47" s="1380" t="str">
        <f>IF(ISNUMBER(FIND("住宅",C1)),"住宅","非住宅")</f>
        <v>住宅</v>
      </c>
      <c r="O47" s="1418" t="s">
        <v>403</v>
      </c>
      <c r="P47" s="1419" t="s">
        <v>817</v>
      </c>
      <c r="Q47" s="1420">
        <f ca="1">C40+J29</f>
        <v>453466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415713</v>
      </c>
      <c r="R49" s="1420" t="s">
        <v>818</v>
      </c>
    </row>
    <row r="50" spans="1:18" s="1384" customFormat="1" ht="13.5"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26</v>
      </c>
      <c r="K51" s="1434" t="s">
        <v>830</v>
      </c>
      <c r="L51" s="1435">
        <f ca="1">ROUND(-PV(INDIRECT("'数据-取费表'!h"&amp;$G$1),J51,(C39-C13*C76),0),0)</f>
        <v>74495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f>'数据-取费表'!J6+0.5%</f>
        <v>6.5000000000000002E-2</v>
      </c>
      <c r="K52" s="1437" t="s">
        <v>833</v>
      </c>
      <c r="L52" s="1438"/>
      <c r="O52" s="1428" t="s">
        <v>408</v>
      </c>
      <c r="P52" s="1419" t="s">
        <v>834</v>
      </c>
      <c r="Q52" s="1420">
        <f ca="1">J53</f>
        <v>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44</v>
      </c>
      <c r="K53" s="3639" t="s">
        <v>837</v>
      </c>
      <c r="L53" s="3640"/>
      <c r="O53" s="1418" t="s">
        <v>409</v>
      </c>
      <c r="P53" s="1419" t="s">
        <v>838</v>
      </c>
      <c r="Q53" s="1420">
        <f ca="1">Q47+Q48</f>
        <v>453466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255663</v>
      </c>
      <c r="D56" s="1447"/>
      <c r="E56" s="1448"/>
      <c r="F56" s="1440"/>
      <c r="I56" s="1449" t="s">
        <v>842</v>
      </c>
      <c r="J56" s="1450" t="s">
        <v>3390</v>
      </c>
      <c r="K56" s="1421" t="s">
        <v>843</v>
      </c>
      <c r="L56" s="1424">
        <f ca="1">IF(L48&lt;J51,"——",L48-J51)</f>
        <v>18</v>
      </c>
      <c r="O56" s="1418" t="s">
        <v>403</v>
      </c>
      <c r="P56" s="1419" t="s">
        <v>817</v>
      </c>
      <c r="Q56" s="1420">
        <f ca="1">C40+J29</f>
        <v>453466</v>
      </c>
      <c r="R56" s="1420" t="s">
        <v>818</v>
      </c>
    </row>
    <row r="57" spans="1:18" s="1384" customFormat="1" ht="24.75" thickBot="1">
      <c r="A57" s="1451"/>
      <c r="B57" s="950" t="s">
        <v>767</v>
      </c>
      <c r="C57" s="238">
        <f ca="1">C29</f>
        <v>415713</v>
      </c>
      <c r="D57" s="1452"/>
      <c r="E57" s="1453"/>
      <c r="F57" s="1454"/>
      <c r="I57" s="1455" t="s">
        <v>844</v>
      </c>
      <c r="J57" s="1456" t="str">
        <f ca="1">IF(OR(M47="住宅",J51&lt;L48,J56="是"),"——",J51-L48)</f>
        <v>——</v>
      </c>
      <c r="K57" s="1421" t="s">
        <v>892</v>
      </c>
      <c r="L57" s="1424">
        <f ca="1">IF(L48&lt;J51,"——",IF(L55="比较法",L49,IF(L55="基准地价",L50,L51)))</f>
        <v>74495</v>
      </c>
      <c r="O57" s="1418" t="s">
        <v>404</v>
      </c>
      <c r="P57" s="1419" t="s">
        <v>893</v>
      </c>
      <c r="Q57" s="1420">
        <f ca="1">L60</f>
        <v>0</v>
      </c>
      <c r="R57" s="1420" t="s">
        <v>894</v>
      </c>
    </row>
    <row r="58" spans="1:18" s="1384" customFormat="1" ht="24.75" thickBot="1">
      <c r="A58" s="315" t="s">
        <v>393</v>
      </c>
      <c r="B58" s="958" t="s">
        <v>714</v>
      </c>
      <c r="C58" s="316">
        <f ca="1">ROUND(C59+C64+C65+C66,0)</f>
        <v>4413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453466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4157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256</v>
      </c>
      <c r="D65" s="964" t="s">
        <v>743</v>
      </c>
      <c r="E65" s="950" t="s">
        <v>744</v>
      </c>
      <c r="F65" s="330">
        <f t="shared" ca="1" si="0"/>
        <v>1E-3</v>
      </c>
      <c r="I65" s="1462" t="s">
        <v>867</v>
      </c>
      <c r="J65" s="1463">
        <v>40</v>
      </c>
      <c r="K65" s="1463">
        <v>30</v>
      </c>
      <c r="L65" s="1463">
        <v>50</v>
      </c>
      <c r="M65" s="1465">
        <v>0.02</v>
      </c>
      <c r="O65" s="1418" t="s">
        <v>403</v>
      </c>
      <c r="P65" s="1419" t="s">
        <v>868</v>
      </c>
      <c r="Q65" s="1420">
        <f ca="1">C40+J29</f>
        <v>453466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-4413</v>
      </c>
      <c r="D67" s="963" t="s">
        <v>753</v>
      </c>
      <c r="E67" s="968"/>
      <c r="F67" s="969"/>
      <c r="O67" s="1428" t="s">
        <v>405</v>
      </c>
      <c r="P67" s="1419" t="s">
        <v>850</v>
      </c>
      <c r="Q67" s="1466">
        <f ca="1">L51</f>
        <v>74495</v>
      </c>
      <c r="R67" s="1420" t="s">
        <v>870</v>
      </c>
    </row>
    <row r="68" spans="1:18" s="1384" customFormat="1" ht="16.5" thickBot="1">
      <c r="A68" s="947" t="s">
        <v>395</v>
      </c>
      <c r="B68" s="948" t="s">
        <v>774</v>
      </c>
      <c r="C68" s="301">
        <f ca="1">ROUND(C67*(1-((1+F70)/(1+F68))^F69)/(F68-F70),0)</f>
        <v>-72628</v>
      </c>
      <c r="D68" s="965" t="s">
        <v>758</v>
      </c>
      <c r="E68" s="950" t="s">
        <v>759</v>
      </c>
      <c r="F68" s="312">
        <f ca="1">F40</f>
        <v>5.5E-2</v>
      </c>
      <c r="O68" s="1428" t="s">
        <v>406</v>
      </c>
      <c r="P68" s="1467" t="s">
        <v>871</v>
      </c>
      <c r="Q68" s="1420">
        <f ca="1">ROUND(Q69-Q70*Q71,0)</f>
        <v>5182</v>
      </c>
      <c r="R68" s="1420" t="s">
        <v>414</v>
      </c>
    </row>
    <row r="69" spans="1:18" s="1384" customFormat="1" ht="13.5" thickBot="1">
      <c r="A69" s="951"/>
      <c r="B69" s="952"/>
      <c r="C69" s="306"/>
      <c r="D69" s="970" t="s">
        <v>762</v>
      </c>
      <c r="E69" s="950" t="s">
        <v>763</v>
      </c>
      <c r="F69" s="333">
        <f ca="1">F41</f>
        <v>44</v>
      </c>
      <c r="O69" s="1428" t="s">
        <v>411</v>
      </c>
      <c r="P69" s="1467" t="s">
        <v>872</v>
      </c>
      <c r="Q69" s="1420">
        <f ca="1">C39</f>
        <v>20522</v>
      </c>
      <c r="R69" s="1420" t="s">
        <v>818</v>
      </c>
    </row>
    <row r="70" spans="1:18" s="1384" customFormat="1" ht="13.5" thickBot="1">
      <c r="A70" s="954"/>
      <c r="B70" s="955"/>
      <c r="C70" s="310"/>
      <c r="D70" s="966"/>
      <c r="E70" s="950" t="s">
        <v>766</v>
      </c>
      <c r="F70" s="1054"/>
      <c r="O70" s="1428" t="s">
        <v>412</v>
      </c>
      <c r="P70" s="1467" t="s">
        <v>873</v>
      </c>
      <c r="Q70" s="1420">
        <f ca="1">C13</f>
        <v>255663</v>
      </c>
      <c r="R70" s="1420" t="s">
        <v>818</v>
      </c>
    </row>
    <row r="71" spans="1:18" s="1384" customFormat="1" ht="13.5" thickBot="1">
      <c r="A71" s="971" t="s">
        <v>396</v>
      </c>
      <c r="B71" s="972" t="s">
        <v>776</v>
      </c>
      <c r="C71" s="336">
        <f ca="1">ROUND(C68/F71,0)</f>
        <v>-806</v>
      </c>
      <c r="D71" s="973" t="s">
        <v>777</v>
      </c>
      <c r="E71" s="974" t="s">
        <v>778</v>
      </c>
      <c r="F71" s="339">
        <f ca="1">F43</f>
        <v>90.08</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15340</v>
      </c>
      <c r="D75" s="1384"/>
      <c r="E75" s="1384"/>
      <c r="F75" s="1384"/>
      <c r="K75" s="1402"/>
      <c r="L75" s="1384"/>
      <c r="O75" s="1418" t="s">
        <v>409</v>
      </c>
      <c r="P75" s="1419" t="s">
        <v>838</v>
      </c>
      <c r="Q75" s="1420">
        <f ca="1">Q65+Q66</f>
        <v>453466</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0.253</v>
      </c>
    </row>
    <row r="80" spans="1:18">
      <c r="B80" s="340" t="s">
        <v>800</v>
      </c>
      <c r="C80" s="274">
        <f ca="1">ROUND(C75/C39,3)</f>
        <v>0.747</v>
      </c>
    </row>
    <row r="81" spans="2:3">
      <c r="B81" s="270" t="s">
        <v>801</v>
      </c>
      <c r="C81" s="238"/>
    </row>
    <row r="82" spans="2:3">
      <c r="B82" s="273" t="s">
        <v>802</v>
      </c>
      <c r="C82" s="275">
        <f ca="1">1-C83</f>
        <v>0.43600000000000005</v>
      </c>
    </row>
    <row r="83" spans="2:3">
      <c r="B83" s="273" t="s">
        <v>803</v>
      </c>
      <c r="C83" s="274">
        <f ca="1">ROUND(C13/C40,3)</f>
        <v>0.56399999999999995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5" t="s">
        <v>2316</v>
      </c>
      <c r="B2" s="2839" t="e">
        <f>IF(D2="——",C40,C40+E2)</f>
        <v>#DIV/0!</v>
      </c>
      <c r="C2" s="2840" t="s">
        <v>2317</v>
      </c>
      <c r="D2" s="3439" t="s">
        <v>3361</v>
      </c>
      <c r="E2" s="3440"/>
      <c r="F2" s="2842"/>
      <c r="G2" s="2843"/>
      <c r="H2" s="2844"/>
      <c r="I2" s="2845"/>
      <c r="J2" s="3644" t="s">
        <v>2318</v>
      </c>
      <c r="K2" s="3645"/>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46" t="s">
        <v>2328</v>
      </c>
      <c r="K3" s="3647"/>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46" t="s">
        <v>2330</v>
      </c>
      <c r="K4" s="3647"/>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48" t="s">
        <v>2334</v>
      </c>
      <c r="B6" s="3649"/>
      <c r="C6" s="3650"/>
      <c r="D6" s="2866"/>
      <c r="E6" s="2867"/>
      <c r="F6" s="2868"/>
      <c r="G6" s="2869"/>
      <c r="H6" s="2844"/>
      <c r="I6" s="2845"/>
      <c r="J6" s="3651">
        <v>1</v>
      </c>
      <c r="K6" s="3652"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51"/>
      <c r="K7" s="3653"/>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55" t="s">
        <v>2348</v>
      </c>
      <c r="C8" s="3656"/>
      <c r="D8" s="2885" t="s">
        <v>2349</v>
      </c>
      <c r="E8" s="2886" t="s">
        <v>2350</v>
      </c>
      <c r="F8" s="2887" t="s">
        <v>2351</v>
      </c>
      <c r="G8" s="2888"/>
      <c r="H8" s="2844"/>
      <c r="I8" s="2845"/>
      <c r="J8" s="3651"/>
      <c r="K8" s="3653"/>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55" t="s">
        <v>2354</v>
      </c>
      <c r="C9" s="3656"/>
      <c r="D9" s="2885">
        <f>ROUND(D6*E9,0)</f>
        <v>0</v>
      </c>
      <c r="E9" s="2889"/>
      <c r="F9" s="2890" t="s">
        <v>2355</v>
      </c>
      <c r="G9" s="2869"/>
      <c r="H9" s="2844"/>
      <c r="I9" s="2845"/>
      <c r="J9" s="3651"/>
      <c r="K9" s="3653"/>
      <c r="L9" s="2879" t="s">
        <v>2356</v>
      </c>
      <c r="M9" s="2880"/>
      <c r="N9" s="2856"/>
      <c r="O9" s="2881"/>
      <c r="P9" s="2881"/>
      <c r="Q9" s="2882">
        <v>365</v>
      </c>
      <c r="R9" s="2883">
        <f t="shared" si="0"/>
        <v>0</v>
      </c>
      <c r="S9" s="2837"/>
      <c r="T9" s="2837"/>
      <c r="U9" s="2837"/>
      <c r="V9" s="2845"/>
    </row>
    <row r="10" spans="1:22" s="2849" customFormat="1" ht="13.15" customHeight="1">
      <c r="A10" s="2884">
        <v>2</v>
      </c>
      <c r="B10" s="3655" t="s">
        <v>2357</v>
      </c>
      <c r="C10" s="3656"/>
      <c r="D10" s="2885">
        <f>ROUND(D6*E10,0)</f>
        <v>0</v>
      </c>
      <c r="E10" s="2889"/>
      <c r="F10" s="2890" t="s">
        <v>2358</v>
      </c>
      <c r="G10" s="2869"/>
      <c r="H10" s="2844"/>
      <c r="I10" s="2845"/>
      <c r="J10" s="3651"/>
      <c r="K10" s="3653"/>
      <c r="L10" s="2879" t="s">
        <v>2359</v>
      </c>
      <c r="M10" s="2880"/>
      <c r="N10" s="2856"/>
      <c r="O10" s="2881"/>
      <c r="P10" s="2881"/>
      <c r="Q10" s="2882">
        <v>365</v>
      </c>
      <c r="R10" s="2883">
        <f t="shared" si="0"/>
        <v>0</v>
      </c>
      <c r="S10" s="2837"/>
      <c r="T10" s="2837"/>
      <c r="U10" s="2837"/>
      <c r="V10" s="2845"/>
    </row>
    <row r="11" spans="1:22" s="2849" customFormat="1" ht="13.15" customHeight="1">
      <c r="A11" s="2884">
        <v>3</v>
      </c>
      <c r="B11" s="3655" t="s">
        <v>2360</v>
      </c>
      <c r="C11" s="3656"/>
      <c r="D11" s="2885">
        <f>D12+D14+D15+D16</f>
        <v>0</v>
      </c>
      <c r="E11" s="2891" t="e">
        <f>D11/D6</f>
        <v>#DIV/0!</v>
      </c>
      <c r="F11" s="2887"/>
      <c r="G11" s="2888"/>
      <c r="H11" s="2844"/>
      <c r="I11" s="2845"/>
      <c r="J11" s="3651"/>
      <c r="K11" s="3653"/>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57" t="s">
        <v>2363</v>
      </c>
      <c r="C12" s="3658"/>
      <c r="D12" s="2893">
        <f>ROUND(D13*1.2%*(1-30%),0)</f>
        <v>0</v>
      </c>
      <c r="E12" s="2894">
        <v>1.2E-2</v>
      </c>
      <c r="F12" s="2887" t="s">
        <v>2364</v>
      </c>
      <c r="G12" s="2888"/>
      <c r="H12" s="2844"/>
      <c r="I12" s="2845"/>
      <c r="J12" s="3651"/>
      <c r="K12" s="3653"/>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51"/>
      <c r="K13" s="3653"/>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57" t="s">
        <v>2369</v>
      </c>
      <c r="C14" s="3658"/>
      <c r="D14" s="2893">
        <f>ROUND(E14*B5/10000,0)</f>
        <v>0</v>
      </c>
      <c r="E14" s="2882"/>
      <c r="F14" s="2887" t="s">
        <v>2370</v>
      </c>
      <c r="G14" s="2888"/>
      <c r="H14" s="2844"/>
      <c r="I14" s="2845"/>
      <c r="J14" s="3651"/>
      <c r="K14" s="3654"/>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57" t="s">
        <v>2373</v>
      </c>
      <c r="C15" s="3658"/>
      <c r="D15" s="2893">
        <f>ROUND(D6*E15,0)</f>
        <v>0</v>
      </c>
      <c r="E15" s="2894">
        <v>5.5E-2</v>
      </c>
      <c r="F15" s="2887" t="s">
        <v>2374</v>
      </c>
      <c r="G15" s="2869"/>
      <c r="H15" s="2844"/>
      <c r="I15" s="2845"/>
      <c r="J15" s="3651">
        <v>2</v>
      </c>
      <c r="K15" s="3652"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57" t="s">
        <v>2382</v>
      </c>
      <c r="C16" s="3658"/>
      <c r="D16" s="2904">
        <f>D6*E16</f>
        <v>0</v>
      </c>
      <c r="E16" s="2905"/>
      <c r="F16" s="2890" t="s">
        <v>2383</v>
      </c>
      <c r="G16" s="2869"/>
      <c r="H16" s="2844"/>
      <c r="I16" s="2845"/>
      <c r="J16" s="3651"/>
      <c r="K16" s="3653"/>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59" t="s">
        <v>2385</v>
      </c>
      <c r="C17" s="3660"/>
      <c r="D17" s="2907">
        <f>ROUND(D6*E17,0)</f>
        <v>0</v>
      </c>
      <c r="E17" s="2908"/>
      <c r="F17" s="2909" t="s">
        <v>2386</v>
      </c>
      <c r="G17" s="2869"/>
      <c r="H17" s="2844"/>
      <c r="I17" s="2845"/>
      <c r="J17" s="3651"/>
      <c r="K17" s="3653"/>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51"/>
      <c r="K18" s="3653"/>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51"/>
      <c r="K19" s="3654"/>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1">
        <v>3</v>
      </c>
      <c r="K20" s="3652"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51"/>
      <c r="K21" s="3653"/>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51"/>
      <c r="K22" s="3653"/>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51"/>
      <c r="K23" s="3653"/>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51"/>
      <c r="K24" s="3654"/>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61">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44" t="s">
        <v>2318</v>
      </c>
      <c r="K32" s="3645"/>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46" t="s">
        <v>2328</v>
      </c>
      <c r="K33" s="3647"/>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46" t="s">
        <v>2330</v>
      </c>
      <c r="K34" s="364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51">
        <v>1</v>
      </c>
      <c r="K36" s="3652"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51"/>
      <c r="K37" s="3653"/>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1"/>
      <c r="K38" s="3653"/>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51"/>
      <c r="K39" s="3653"/>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51"/>
      <c r="K40" s="3654"/>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1">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45.346600000000002</v>
      </c>
      <c r="C2" s="1872" t="s">
        <v>1651</v>
      </c>
      <c r="D2" s="1873" t="s">
        <v>1652</v>
      </c>
      <c r="E2" s="2603">
        <f>SUM(E6:E13)</f>
        <v>90.08</v>
      </c>
      <c r="F2" s="2703"/>
      <c r="G2" s="1489"/>
      <c r="H2" s="1489"/>
      <c r="I2" s="1489"/>
      <c r="J2" s="1489"/>
      <c r="K2" s="1489"/>
      <c r="L2" s="1489"/>
      <c r="M2" s="1489"/>
      <c r="N2" s="1489"/>
      <c r="O2" s="1489"/>
      <c r="P2" s="1489"/>
      <c r="Q2" s="1489"/>
      <c r="R2" s="1489"/>
      <c r="S2" s="1489"/>
    </row>
    <row r="3" spans="1:22" ht="15.75">
      <c r="A3" s="1870" t="s">
        <v>686</v>
      </c>
      <c r="B3" s="2597">
        <f ca="1">ROUND(B2*10000/E2,0)</f>
        <v>5034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663" t="s">
        <v>1654</v>
      </c>
      <c r="C5" s="3664"/>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45.346600000000002</v>
      </c>
      <c r="C6" s="1872" t="s">
        <v>1651</v>
      </c>
      <c r="D6" s="2705"/>
      <c r="E6" s="2602">
        <f>IF(OR(A6=0,F6="否"),0,'数据-取费表'!K6+'数据-取费表'!S6)</f>
        <v>90.08</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 zoomScale="80" zoomScaleNormal="60" zoomScaleSheetLayoutView="80" workbookViewId="0">
      <selection activeCell="D59" sqref="D59:Q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2" t="s">
        <v>3405</v>
      </c>
      <c r="F1" s="1879" t="s">
        <v>3375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f>IF(E1="项目模式",IF(C2="——",ROUND(C49*D3/10000,0),ROUND(C49*D3/10000,0)-D2),IF(E1="单套模式",IF(C2="——",ROUND(C49*D3/10000,4),ROUND(C49*D3/10000,4)-D2)))</f>
        <v>250.08009999999999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27762</v>
      </c>
      <c r="C3" s="354" t="s">
        <v>1665</v>
      </c>
      <c r="D3" s="353">
        <f>IF(D1="",'数据-汇总表'!E3,SUMIF('数据-汇总表'!$C19:$C33,D1,'数据-汇总表'!$E19:$E33))</f>
        <v>90.08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1"/>
      <c r="M4" s="2712"/>
      <c r="N4" s="2712"/>
      <c r="O4" s="2712"/>
      <c r="P4" s="3688" t="s">
        <v>1672</v>
      </c>
      <c r="Q4" s="3689"/>
      <c r="R4" s="3670" t="s">
        <v>1668</v>
      </c>
      <c r="S4" s="3671"/>
      <c r="T4" s="3670" t="s">
        <v>1669</v>
      </c>
      <c r="U4" s="3671"/>
      <c r="V4" s="3696" t="s">
        <v>1670</v>
      </c>
      <c r="W4" s="3696"/>
      <c r="X4" s="1355"/>
      <c r="Y4" s="3670" t="s">
        <v>1672</v>
      </c>
      <c r="Z4" s="3671"/>
      <c r="AA4" s="3665" t="s">
        <v>1668</v>
      </c>
      <c r="AB4" s="3665" t="s">
        <v>1669</v>
      </c>
      <c r="AC4" s="3665" t="s">
        <v>1670</v>
      </c>
    </row>
    <row r="5" spans="1:29" ht="15">
      <c r="A5" s="358"/>
      <c r="B5" s="359"/>
      <c r="C5" s="3676" t="s">
        <v>3406</v>
      </c>
      <c r="D5" s="3677"/>
      <c r="E5" s="3674" t="str">
        <f>C5</f>
        <v>西潞东里</v>
      </c>
      <c r="F5" s="3675"/>
      <c r="G5" s="3680" t="str">
        <f>E5</f>
        <v>西潞东里</v>
      </c>
      <c r="H5" s="3677"/>
      <c r="I5" s="3680" t="str">
        <f>G5</f>
        <v>西潞东里</v>
      </c>
      <c r="J5" s="3677"/>
      <c r="K5" s="1890"/>
      <c r="L5" s="2711"/>
      <c r="M5" s="2712"/>
      <c r="N5" s="2712"/>
      <c r="O5" s="2712"/>
      <c r="P5" s="3690"/>
      <c r="Q5" s="3691"/>
      <c r="R5" s="3672"/>
      <c r="S5" s="3673"/>
      <c r="T5" s="3672"/>
      <c r="U5" s="3673"/>
      <c r="V5" s="3696"/>
      <c r="W5" s="3696"/>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1890" t="s">
        <v>1678</v>
      </c>
      <c r="L6" s="2711"/>
      <c r="M6" s="2712"/>
      <c r="N6" s="2712"/>
      <c r="O6" s="2712"/>
      <c r="P6" s="3692"/>
      <c r="Q6" s="3693"/>
      <c r="R6" s="3672"/>
      <c r="S6" s="3673"/>
      <c r="T6" s="3694"/>
      <c r="U6" s="3695"/>
      <c r="V6" s="3696"/>
      <c r="W6" s="3696"/>
      <c r="X6" s="1355"/>
      <c r="Y6" s="3694"/>
      <c r="Z6" s="3695"/>
      <c r="AA6" s="3667"/>
      <c r="AB6" s="3667"/>
      <c r="AC6" s="3667"/>
    </row>
    <row r="7" spans="1:29" s="108" customFormat="1" ht="15.75" thickBot="1">
      <c r="A7" s="362" t="s">
        <v>1679</v>
      </c>
      <c r="B7" s="363"/>
      <c r="C7" s="364">
        <f>'数据-取费表'!B2</f>
        <v>45189</v>
      </c>
      <c r="D7" s="365">
        <v>100</v>
      </c>
      <c r="E7" s="366">
        <v>44958</v>
      </c>
      <c r="F7" s="367">
        <f>SUMIF(58:58,YEAR(E7)&amp;"-"&amp;MONTH(E7),59:59)</f>
        <v>99.30000000000004</v>
      </c>
      <c r="G7" s="366">
        <v>44826</v>
      </c>
      <c r="H7" s="365">
        <f>SUMIF(58:58,YEAR(G7)&amp;"-"&amp;MONTH(G7),59:59)</f>
        <v>98.800000000000068</v>
      </c>
      <c r="I7" s="366">
        <v>44771</v>
      </c>
      <c r="J7" s="365">
        <f>SUMIF(58:58,YEAR(I7)&amp;"-"&amp;MONTH(I7),59:59)</f>
        <v>98.60000000000008</v>
      </c>
      <c r="K7" s="1891"/>
      <c r="L7" s="2713"/>
      <c r="M7" s="2714"/>
      <c r="N7" s="2714"/>
      <c r="O7" s="2714"/>
      <c r="P7" s="3668" t="s">
        <v>1680</v>
      </c>
      <c r="Q7" s="3697"/>
      <c r="R7" s="701" t="s">
        <v>20</v>
      </c>
      <c r="S7" s="702">
        <f t="shared" ref="S7:S15" si="0">F7</f>
        <v>99.30000000000004</v>
      </c>
      <c r="T7" s="701" t="s">
        <v>20</v>
      </c>
      <c r="U7" s="702">
        <f t="shared" ref="U7:U15" si="1">H7</f>
        <v>98.800000000000068</v>
      </c>
      <c r="V7" s="701" t="s">
        <v>20</v>
      </c>
      <c r="W7" s="702">
        <f t="shared" ref="W7:W15" si="2">J7</f>
        <v>98.60000000000008</v>
      </c>
      <c r="X7" s="703"/>
      <c r="Y7" s="3668" t="s">
        <v>1680</v>
      </c>
      <c r="Z7" s="3669"/>
      <c r="AA7" s="704">
        <f>D7/F7</f>
        <v>1.007049345417925</v>
      </c>
      <c r="AB7" s="704">
        <f>D7/H7</f>
        <v>1.0121457489878536</v>
      </c>
      <c r="AC7" s="704">
        <f>D7/J7</f>
        <v>1.0141987829614596</v>
      </c>
    </row>
    <row r="8" spans="1:29" s="108" customFormat="1" ht="15.75" thickBot="1">
      <c r="A8" s="362" t="s">
        <v>1681</v>
      </c>
      <c r="B8" s="363"/>
      <c r="C8" s="368" t="s">
        <v>3409</v>
      </c>
      <c r="D8" s="365">
        <v>100</v>
      </c>
      <c r="E8" s="368" t="s">
        <v>3409</v>
      </c>
      <c r="F8" s="367">
        <f>SUMIF(61:61,E8,62:62)-SUMIF(61:61,C8,62:62)+100</f>
        <v>100</v>
      </c>
      <c r="G8" s="368" t="s">
        <v>3409</v>
      </c>
      <c r="H8" s="365">
        <f>SUMIF(61:61,G8,62:62)-SUMIF(61:61,C8,62:62)+100</f>
        <v>100</v>
      </c>
      <c r="I8" s="368" t="s">
        <v>3409</v>
      </c>
      <c r="J8" s="365">
        <f>SUMIF(61:61,I8,62:62)-SUMIF(61:61,C8,62:62)+100</f>
        <v>100</v>
      </c>
      <c r="K8" s="1891"/>
      <c r="L8" s="2713"/>
      <c r="M8" s="2714"/>
      <c r="N8" s="2714"/>
      <c r="O8" s="2714"/>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83"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83"/>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83"/>
      <c r="Q11" s="1343" t="str">
        <f t="shared" si="6"/>
        <v>容积率</v>
      </c>
      <c r="R11" s="701" t="s">
        <v>18</v>
      </c>
      <c r="S11" s="702">
        <f t="shared" si="0"/>
        <v>100</v>
      </c>
      <c r="T11" s="701" t="s">
        <v>18</v>
      </c>
      <c r="U11" s="702">
        <f t="shared" si="1"/>
        <v>100</v>
      </c>
      <c r="V11" s="701" t="s">
        <v>18</v>
      </c>
      <c r="W11" s="702">
        <f t="shared" si="2"/>
        <v>100</v>
      </c>
      <c r="X11" s="703"/>
      <c r="Y11" s="3612"/>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83"/>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83"/>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83"/>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5" t="str">
        <f>估价对象房地状况!C3</f>
        <v>周边有西潞园小区、北潞园小区、拱辰星园等住宅项目，住宅社区成熟度一般。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8"/>
      <c r="M16" s="2712"/>
      <c r="N16" s="2712"/>
      <c r="O16" s="2712"/>
      <c r="P16" s="3711"/>
      <c r="Q16" s="1352"/>
      <c r="R16" s="705"/>
      <c r="S16" s="706"/>
      <c r="T16" s="705"/>
      <c r="U16" s="706"/>
      <c r="V16" s="705"/>
      <c r="W16" s="706"/>
      <c r="X16" s="1355"/>
      <c r="Y16" s="3704"/>
      <c r="Z16" s="1356"/>
      <c r="AA16" s="1353">
        <v>1</v>
      </c>
      <c r="AB16" s="1353">
        <v>1</v>
      </c>
      <c r="AC16" s="1353">
        <v>1</v>
      </c>
    </row>
    <row r="17" spans="1:29" ht="71.25">
      <c r="A17" s="379"/>
      <c r="B17" s="402" t="s">
        <v>1259</v>
      </c>
      <c r="C17" s="1899" t="str">
        <f>估价对象房地状况!C6</f>
        <v>周边有F2、F13、F36、F41、616、833路等多条公交线路经过并设站，距离地铁房山线良乡南关约2公里，交通较便捷。</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8"/>
      <c r="M18" s="2712"/>
      <c r="N18" s="2712"/>
      <c r="O18" s="2712"/>
      <c r="P18" s="3711"/>
      <c r="Q18" s="1352"/>
      <c r="R18" s="705"/>
      <c r="S18" s="706"/>
      <c r="T18" s="705"/>
      <c r="U18" s="706"/>
      <c r="V18" s="705"/>
      <c r="W18" s="706"/>
      <c r="X18" s="1355"/>
      <c r="Y18" s="3704"/>
      <c r="Z18" s="1356"/>
      <c r="AA18" s="1353">
        <v>1</v>
      </c>
      <c r="AB18" s="1353">
        <v>1</v>
      </c>
      <c r="AC18" s="1353">
        <v>1</v>
      </c>
    </row>
    <row r="19" spans="1:29" ht="42.75">
      <c r="A19" s="379"/>
      <c r="B19" s="402" t="s">
        <v>1258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8"/>
      <c r="M20" s="2712"/>
      <c r="N20" s="2712"/>
      <c r="O20" s="2712"/>
      <c r="P20" s="3711"/>
      <c r="Q20" s="1352"/>
      <c r="R20" s="705"/>
      <c r="S20" s="706"/>
      <c r="T20" s="705"/>
      <c r="U20" s="706"/>
      <c r="V20" s="705"/>
      <c r="W20" s="706"/>
      <c r="X20" s="1355"/>
      <c r="Y20" s="3704"/>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8"/>
      <c r="M22" s="2712"/>
      <c r="N22" s="2712"/>
      <c r="O22" s="2712"/>
      <c r="P22" s="3711"/>
      <c r="Q22" s="1352"/>
      <c r="R22" s="705"/>
      <c r="S22" s="706"/>
      <c r="T22" s="705"/>
      <c r="U22" s="706"/>
      <c r="V22" s="705"/>
      <c r="W22" s="706"/>
      <c r="X22" s="1355"/>
      <c r="Y22" s="3704"/>
      <c r="Z22" s="1356"/>
      <c r="AA22" s="1353">
        <v>1</v>
      </c>
      <c r="AB22" s="1353">
        <v>1</v>
      </c>
      <c r="AC22" s="1353">
        <v>1</v>
      </c>
    </row>
    <row r="23" spans="1:29" ht="42.75">
      <c r="A23" s="379"/>
      <c r="B23" s="402" t="s">
        <v>1261</v>
      </c>
      <c r="C23" s="1899" t="str">
        <f>估价对象房地状况!C9</f>
        <v>估价对象周边有刺猬河、北潞园健身公园、房山区良乡体育中心等自然人文景观，总体自然人文环境较好。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8"/>
      <c r="M24" s="2712"/>
      <c r="N24" s="2712"/>
      <c r="O24" s="2712"/>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3417</v>
      </c>
      <c r="D26" s="386">
        <v>100</v>
      </c>
      <c r="E26" s="411" t="s">
        <v>3417</v>
      </c>
      <c r="F26" s="386">
        <f>SUMIF(88:88,E26,89:89)-SUMIF(88:88,C26,89:89)+100</f>
        <v>100</v>
      </c>
      <c r="G26" s="411" t="s">
        <v>3417</v>
      </c>
      <c r="H26" s="386">
        <f>SUMIF(88:88,G26,89:89)-SUMIF(88:88,C26,89:89)+100</f>
        <v>100</v>
      </c>
      <c r="I26" s="411" t="s">
        <v>3417</v>
      </c>
      <c r="J26" s="386">
        <f>SUMIF(88:88,I26,89:89)-SUMIF(88:88,C26,89:89)+100</f>
        <v>100</v>
      </c>
      <c r="K26" s="377"/>
      <c r="L26" s="2718"/>
      <c r="M26" s="2712"/>
      <c r="N26" s="2712"/>
      <c r="O26" s="2712"/>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3452" t="s">
        <v>3416</v>
      </c>
      <c r="C27" s="416" t="s">
        <v>3376</v>
      </c>
      <c r="D27" s="413">
        <v>100</v>
      </c>
      <c r="E27" s="416" t="s">
        <v>3377</v>
      </c>
      <c r="F27" s="413">
        <f>SUMIF(90:90,E27,91:91)-SUMIF(90:90,C27,91:91)+100</f>
        <v>98</v>
      </c>
      <c r="G27" s="416" t="s">
        <v>3378</v>
      </c>
      <c r="H27" s="413">
        <f>SUMIF(90:90,G27,91:91)-SUMIF(90:90,C27,91:91)+100</f>
        <v>98</v>
      </c>
      <c r="I27" s="416" t="s">
        <v>3379</v>
      </c>
      <c r="J27" s="413">
        <f>SUMIF(90:90,I27,91:91)-SUMIF(90:90,C27,91:91)+100</f>
        <v>100</v>
      </c>
      <c r="K27" s="1893"/>
      <c r="L27" s="2713"/>
      <c r="M27" s="2714"/>
      <c r="N27" s="2714"/>
      <c r="O27" s="2714"/>
      <c r="P27" s="3711"/>
      <c r="Q27" s="1343" t="str">
        <f t="shared" si="11"/>
        <v>楼层</v>
      </c>
      <c r="R27" s="701" t="s">
        <v>18</v>
      </c>
      <c r="S27" s="702">
        <f t="shared" si="12"/>
        <v>98</v>
      </c>
      <c r="T27" s="701" t="s">
        <v>18</v>
      </c>
      <c r="U27" s="702">
        <f t="shared" si="13"/>
        <v>98</v>
      </c>
      <c r="V27" s="701" t="s">
        <v>18</v>
      </c>
      <c r="W27" s="702">
        <f t="shared" si="14"/>
        <v>100</v>
      </c>
      <c r="X27" s="703"/>
      <c r="Y27" s="3704"/>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09" t="s">
        <v>3410</v>
      </c>
      <c r="D32" s="418">
        <v>100</v>
      </c>
      <c r="E32" s="1909" t="s">
        <v>3410</v>
      </c>
      <c r="F32" s="412">
        <f>SUMIF(100:100,E32,101:101)-SUMIF(100:100,C32,101:101)+100</f>
        <v>100</v>
      </c>
      <c r="G32" s="1909" t="s">
        <v>3410</v>
      </c>
      <c r="H32" s="418">
        <f>SUMIF(100:100,G32,101:101)-SUMIF(100:100,C32,101:101)+100</f>
        <v>100</v>
      </c>
      <c r="I32" s="1909" t="s">
        <v>3410</v>
      </c>
      <c r="J32" s="386">
        <f>SUMIF(100:100,I32,101:101)-SUMIF(100:100,C32,101:101)+100</f>
        <v>100</v>
      </c>
      <c r="K32" s="377"/>
      <c r="L32" s="2718"/>
      <c r="M32" s="2712"/>
      <c r="N32" s="2712"/>
      <c r="O32" s="2712"/>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v>90.08</v>
      </c>
      <c r="D33" s="127">
        <v>100</v>
      </c>
      <c r="E33" s="381">
        <v>95.81</v>
      </c>
      <c r="F33" s="376">
        <f>LOOKUP(E33,103:103,104:104)-LOOKUP(C33,103:103,104:104)+100</f>
        <v>100</v>
      </c>
      <c r="G33" s="380">
        <v>89.84</v>
      </c>
      <c r="H33" s="127">
        <f>LOOKUP(G33,103:103,104:104)-LOOKUP(C33,103:103,104:104)+100</f>
        <v>100</v>
      </c>
      <c r="I33" s="381">
        <v>98.61</v>
      </c>
      <c r="J33" s="127">
        <f>LOOKUP(I33,103:103,104:104)-LOOKUP(C33,103:103,104:104)+100</f>
        <v>100</v>
      </c>
      <c r="K33" s="1893"/>
      <c r="L33" s="2717"/>
      <c r="M33" s="2719"/>
      <c r="N33" s="2719"/>
      <c r="O33" s="2719"/>
      <c r="P33" s="3706"/>
      <c r="Q33" s="707" t="str">
        <f t="shared" si="11"/>
        <v>项目建筑规模</v>
      </c>
      <c r="R33" s="708" t="s">
        <v>18</v>
      </c>
      <c r="S33" s="709">
        <f t="shared" si="12"/>
        <v>100</v>
      </c>
      <c r="T33" s="708" t="s">
        <v>18</v>
      </c>
      <c r="U33" s="709">
        <f t="shared" si="13"/>
        <v>100</v>
      </c>
      <c r="V33" s="708" t="s">
        <v>18</v>
      </c>
      <c r="W33" s="709">
        <f t="shared" si="14"/>
        <v>100</v>
      </c>
      <c r="X33" s="710"/>
      <c r="Y33" s="3708"/>
      <c r="Z33" s="711" t="str">
        <f t="shared" si="18"/>
        <v>项目建筑规模</v>
      </c>
      <c r="AA33" s="1353">
        <f t="shared" si="15"/>
        <v>1</v>
      </c>
      <c r="AB33" s="1353">
        <f t="shared" si="16"/>
        <v>1</v>
      </c>
      <c r="AC33" s="1353">
        <f t="shared" si="17"/>
        <v>1</v>
      </c>
    </row>
    <row r="34" spans="1:29" ht="15">
      <c r="A34" s="423"/>
      <c r="B34" s="375" t="s">
        <v>1698</v>
      </c>
      <c r="C34" s="1910" t="s">
        <v>3412</v>
      </c>
      <c r="D34" s="386">
        <v>100</v>
      </c>
      <c r="E34" s="1910" t="s">
        <v>3412</v>
      </c>
      <c r="F34" s="412">
        <f>SUMIF(105:105,E34,106:106)-SUMIF(105:105,C34,106:106)+100</f>
        <v>100</v>
      </c>
      <c r="G34" s="1910" t="s">
        <v>3412</v>
      </c>
      <c r="H34" s="386">
        <f>SUMIF(105:105,G34,106:106)-SUMIF(105:105,C34,106:106)+100</f>
        <v>100</v>
      </c>
      <c r="I34" s="1910" t="s">
        <v>3412</v>
      </c>
      <c r="J34" s="386">
        <f>SUMIF(105:105,I34,106:106)-SUMIF(105:105,C34,106:106)+100</f>
        <v>100</v>
      </c>
      <c r="K34" s="377"/>
      <c r="L34" s="2718"/>
      <c r="M34" s="2712"/>
      <c r="N34" s="2712"/>
      <c r="O34" s="2712"/>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8"/>
      <c r="M35" s="2712"/>
      <c r="N35" s="2712"/>
      <c r="O35" s="2712"/>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5" t="s">
        <v>3414</v>
      </c>
      <c r="D36" s="386">
        <v>100</v>
      </c>
      <c r="E36" s="1905" t="s">
        <v>3414</v>
      </c>
      <c r="F36" s="412">
        <f>SUMIF(109:109,E36,110:110)-SUMIF(109:109,C36,110:110)+100</f>
        <v>100</v>
      </c>
      <c r="G36" s="1905" t="s">
        <v>3414</v>
      </c>
      <c r="H36" s="386">
        <f>SUMIF(109:109,G36,110:110)-SUMIF(109:109,C36,110:110)+100</f>
        <v>100</v>
      </c>
      <c r="I36" s="1905" t="s">
        <v>3414</v>
      </c>
      <c r="J36" s="386">
        <f>SUMIF(109:109,I36,110:110)-SUMIF(109:109,C36,110:110)+100</f>
        <v>100</v>
      </c>
      <c r="K36" s="377"/>
      <c r="L36" s="2718"/>
      <c r="M36" s="2712"/>
      <c r="N36" s="2712"/>
      <c r="O36" s="2712"/>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f>'数据-取费表'!N6</f>
        <v>0.61499999999999999</v>
      </c>
      <c r="D37" s="127">
        <v>100</v>
      </c>
      <c r="E37" s="425">
        <f>C37</f>
        <v>0.61499999999999999</v>
      </c>
      <c r="F37" s="376">
        <f>LOOKUP(E37,112:112,113:113)-LOOKUP(C37,112:112,113:113)+100</f>
        <v>100</v>
      </c>
      <c r="G37" s="427">
        <f>E37</f>
        <v>0.61499999999999999</v>
      </c>
      <c r="H37" s="127">
        <f>LOOKUP(G37,112:112,113:113)-LOOKUP(C37,112:112,113:113)+100</f>
        <v>100</v>
      </c>
      <c r="I37" s="426">
        <f>G37</f>
        <v>0.61499999999999999</v>
      </c>
      <c r="J37" s="127">
        <f>LOOKUP(I37,112:112,113:113)-LOOKUP(C37,112:112,113:113)+100</f>
        <v>100</v>
      </c>
      <c r="K37" s="377"/>
      <c r="L37" s="2713"/>
      <c r="M37" s="2714"/>
      <c r="N37" s="2714"/>
      <c r="O37" s="2714"/>
      <c r="P37" s="3706"/>
      <c r="Q37" s="1343" t="str">
        <f t="shared" si="11"/>
        <v>成新度</v>
      </c>
      <c r="R37" s="701" t="s">
        <v>18</v>
      </c>
      <c r="S37" s="702">
        <f t="shared" si="12"/>
        <v>100</v>
      </c>
      <c r="T37" s="701" t="s">
        <v>18</v>
      </c>
      <c r="U37" s="702">
        <f t="shared" si="13"/>
        <v>100</v>
      </c>
      <c r="V37" s="701" t="s">
        <v>18</v>
      </c>
      <c r="W37" s="702">
        <f t="shared" si="14"/>
        <v>100</v>
      </c>
      <c r="X37" s="703"/>
      <c r="Y37" s="3708"/>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c r="L42" s="2718"/>
      <c r="M42" s="2712"/>
      <c r="N42" s="2712"/>
      <c r="O42" s="2712"/>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377"/>
      <c r="L43" s="2718"/>
      <c r="M43" s="2712"/>
      <c r="N43" s="2712"/>
      <c r="O43" s="2712"/>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v>27972</v>
      </c>
      <c r="F47" s="1157"/>
      <c r="G47" s="1158">
        <v>27716</v>
      </c>
      <c r="H47" s="1159"/>
      <c r="I47" s="1156">
        <v>25555</v>
      </c>
      <c r="J47" s="1159"/>
      <c r="K47" s="1911"/>
      <c r="L47" s="2720"/>
      <c r="M47" s="2721"/>
      <c r="N47" s="2712"/>
      <c r="O47" s="2721"/>
      <c r="P47" s="3701" t="str">
        <f>A47</f>
        <v>成交单价（元/平方米）</v>
      </c>
      <c r="Q47" s="3701"/>
      <c r="R47" s="3702">
        <f>E47</f>
        <v>27972</v>
      </c>
      <c r="S47" s="3702"/>
      <c r="T47" s="3702">
        <f>G47</f>
        <v>27716</v>
      </c>
      <c r="U47" s="3702"/>
      <c r="V47" s="3702">
        <f>I47</f>
        <v>25555</v>
      </c>
      <c r="W47" s="3702"/>
      <c r="X47" s="690"/>
      <c r="Y47" s="712"/>
      <c r="Z47" s="690"/>
      <c r="AA47" s="690"/>
      <c r="AB47" s="690"/>
      <c r="AC47" s="690"/>
    </row>
    <row r="48" spans="1:29" ht="15.75" thickBot="1">
      <c r="A48" s="437" t="s">
        <v>1709</v>
      </c>
      <c r="B48" s="438"/>
      <c r="C48" s="1160">
        <f>R49</f>
        <v>27762</v>
      </c>
      <c r="D48" s="2314" t="s">
        <v>2138</v>
      </c>
      <c r="E48" s="1161">
        <f>R48</f>
        <v>28744</v>
      </c>
      <c r="F48" s="2315"/>
      <c r="G48" s="1160">
        <f>T48</f>
        <v>28625</v>
      </c>
      <c r="H48" s="2315"/>
      <c r="I48" s="1161">
        <f>V48</f>
        <v>25918</v>
      </c>
      <c r="J48" s="2315"/>
      <c r="K48" s="2316">
        <f>F48+H48+J48</f>
        <v>0</v>
      </c>
      <c r="L48" s="2720"/>
      <c r="M48" s="2721"/>
      <c r="N48" s="2721"/>
      <c r="O48" s="2721"/>
      <c r="P48" s="3701" t="str">
        <f>A48</f>
        <v>比较价值（元/平方米）</v>
      </c>
      <c r="Q48" s="3701"/>
      <c r="R48" s="3702">
        <f>IF(F1="售价",ROUND(PRODUCT(R47,AA7:AA46),0),ROUND(PRODUCT(R47,AA7:AA46),1))</f>
        <v>28744</v>
      </c>
      <c r="S48" s="3702"/>
      <c r="T48" s="3702">
        <f>IF(F1="售价",ROUND(PRODUCT(T47,AB7:AB46),0),ROUND(PRODUCT(T47,AB7:AB46),1))</f>
        <v>28625</v>
      </c>
      <c r="U48" s="3702"/>
      <c r="V48" s="3702">
        <f>IF(F1="售价",ROUND(PRODUCT(V47,AC7:AC46),0),ROUND(PRODUCT(V47,AC7:AC46),1))</f>
        <v>25918</v>
      </c>
      <c r="W48" s="3702"/>
      <c r="X48" s="690"/>
      <c r="Y48" s="690"/>
      <c r="Z48" s="690"/>
      <c r="AA48" s="690"/>
      <c r="AB48" s="690"/>
      <c r="AC48" s="690"/>
    </row>
    <row r="49" spans="1:29" ht="15.75" thickBot="1">
      <c r="A49" s="441" t="s">
        <v>1710</v>
      </c>
      <c r="B49" s="442"/>
      <c r="C49" s="1162">
        <f>R49</f>
        <v>27762</v>
      </c>
      <c r="D49" s="1163"/>
      <c r="E49" s="1163"/>
      <c r="F49" s="1163"/>
      <c r="G49" s="1163"/>
      <c r="H49" s="1163"/>
      <c r="I49" s="1163"/>
      <c r="J49" s="1163"/>
      <c r="K49" s="1912"/>
      <c r="L49" s="2720"/>
      <c r="M49" s="2721"/>
      <c r="N49" s="2721"/>
      <c r="O49" s="2721"/>
      <c r="P49" s="3698" t="str">
        <f>A49</f>
        <v>估价对象XX用房的比较价值（楼面单价，元/平方米）</v>
      </c>
      <c r="Q49" s="3699"/>
      <c r="R49" s="3700">
        <f>IF(F1="售价",ROUND(IF(D48="简单平均",AVERAGE(R48:V48),R48*F48+T48*H48+V48*J48),0),ROUND(IF(D48="简单平均",AVERAGE(R48:V48),R48*F48+T48*H48+V48*J48),1))</f>
        <v>27762</v>
      </c>
      <c r="S49" s="3700"/>
      <c r="T49" s="3700"/>
      <c r="U49" s="3700"/>
      <c r="V49" s="3700"/>
      <c r="W49" s="370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2.7599027599027659E-2</v>
      </c>
      <c r="F52" s="449" t="str">
        <f>IF(OR(E52&gt;=0.3,E52&lt;=-0.3),"超过30%","")</f>
        <v/>
      </c>
      <c r="G52" s="448">
        <f>IF(G47&lt;G48,G48/G47-1,G47/G48-1)</f>
        <v>3.2796940395439567E-2</v>
      </c>
      <c r="H52" s="449" t="str">
        <f>IF(OR(G52&gt;=0.3,G52&lt;=-0.3),"超过30%","")</f>
        <v/>
      </c>
      <c r="I52" s="448">
        <f>IF(I47&lt;I48,I48/I47-1,I47/I48-1)</f>
        <v>1.4204656622970102E-2</v>
      </c>
      <c r="J52" s="449" t="str">
        <f>IF(OR(I52&gt;=0.3,I52&lt;=-0.3),"超过30%","")</f>
        <v/>
      </c>
      <c r="K52" s="2726"/>
      <c r="L52" s="2722"/>
      <c r="M52" s="2721"/>
      <c r="N52" s="2721"/>
      <c r="O52" s="2721"/>
    </row>
    <row r="53" spans="1:29" ht="13.5" customHeight="1">
      <c r="A53" s="2721"/>
      <c r="B53" s="2721"/>
      <c r="C53" s="446" t="s">
        <v>1712</v>
      </c>
      <c r="D53" s="450"/>
      <c r="E53" s="448">
        <f>IF(E48&lt;G48,G48/E48-1,E48/G48-1)</f>
        <v>4.1572052401745996E-3</v>
      </c>
      <c r="F53" s="449" t="str">
        <f>IF(OR(E53&gt;=0.2,E53&lt;=-0.2),"超过20%","")</f>
        <v/>
      </c>
      <c r="G53" s="448">
        <f>IF(G48&lt;I48,I48/G48-1,G48/I48-1)</f>
        <v>0.10444478740643559</v>
      </c>
      <c r="H53" s="449" t="str">
        <f>IF(OR(G53&gt;=0.2,G53&lt;=-0.2),"超过20%","")</f>
        <v/>
      </c>
      <c r="I53" s="448">
        <f>IF(I48&lt;E48,E48/I48-1,I48/E48-1)</f>
        <v>0.10903619106412532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9.2365420695628142E-3</v>
      </c>
      <c r="F54" s="449" t="str">
        <f>IF(OR(E54&gt;=0.3,E54&lt;=-0.3),"超过30%","")</f>
        <v/>
      </c>
      <c r="G54" s="448">
        <f>IF(G47&lt;I47,I47/G47-1,G47/I47-1)</f>
        <v>8.4562707884954014E-2</v>
      </c>
      <c r="H54" s="449" t="str">
        <f>IF(OR(G54&gt;=0.3,G54&lt;=-0.3),"超过30%","")</f>
        <v/>
      </c>
      <c r="I54" s="448">
        <f>IF(I47&lt;E47,E47/I47-1,I47/E47-1)</f>
        <v>9.4580316963412292E-2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t="s">
        <v>3407</v>
      </c>
      <c r="Q58" s="457" t="s">
        <v>3408</v>
      </c>
    </row>
    <row r="59" spans="1:29" s="108" customFormat="1" ht="15">
      <c r="A59" s="458"/>
      <c r="B59" s="1916"/>
      <c r="C59" s="1183">
        <v>100</v>
      </c>
      <c r="D59" s="460">
        <f>C59-0.1</f>
        <v>99.9</v>
      </c>
      <c r="E59" s="460">
        <f t="shared" ref="E59:Q59" si="20">D59-0.1</f>
        <v>99.800000000000011</v>
      </c>
      <c r="F59" s="460">
        <f t="shared" si="20"/>
        <v>99.700000000000017</v>
      </c>
      <c r="G59" s="460">
        <f t="shared" si="20"/>
        <v>99.600000000000023</v>
      </c>
      <c r="H59" s="460">
        <f t="shared" si="20"/>
        <v>99.500000000000028</v>
      </c>
      <c r="I59" s="460">
        <f t="shared" si="20"/>
        <v>99.400000000000034</v>
      </c>
      <c r="J59" s="460">
        <f t="shared" si="20"/>
        <v>99.30000000000004</v>
      </c>
      <c r="K59" s="460">
        <f t="shared" si="20"/>
        <v>99.200000000000045</v>
      </c>
      <c r="L59" s="460">
        <f t="shared" si="20"/>
        <v>99.100000000000051</v>
      </c>
      <c r="M59" s="460">
        <f t="shared" si="20"/>
        <v>99.000000000000057</v>
      </c>
      <c r="N59" s="460">
        <f t="shared" si="20"/>
        <v>98.900000000000063</v>
      </c>
      <c r="O59" s="460">
        <f t="shared" si="20"/>
        <v>98.800000000000068</v>
      </c>
      <c r="P59" s="460">
        <f t="shared" si="20"/>
        <v>98.700000000000074</v>
      </c>
      <c r="Q59" s="460">
        <f t="shared" si="20"/>
        <v>98.60000000000008</v>
      </c>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c r="H68" s="498"/>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51" t="s">
        <v>3418</v>
      </c>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934"/>
      <c r="O89" s="934"/>
      <c r="P89" s="1919"/>
      <c r="Q89" s="453"/>
    </row>
    <row r="90" spans="1:17" s="422" customFormat="1" ht="15.75" thickTop="1">
      <c r="A90" s="502"/>
      <c r="B90" s="487" t="str">
        <f>B27</f>
        <v>楼层</v>
      </c>
      <c r="C90" s="3446" t="s">
        <v>3376</v>
      </c>
      <c r="D90" s="3446" t="s">
        <v>3377</v>
      </c>
      <c r="E90" s="3446" t="s">
        <v>3378</v>
      </c>
      <c r="F90" s="3446" t="s">
        <v>3379</v>
      </c>
      <c r="G90" s="3446"/>
      <c r="H90" s="504"/>
      <c r="I90" s="504"/>
      <c r="J90" s="504"/>
      <c r="K90" s="504"/>
      <c r="L90" s="505"/>
      <c r="M90" s="506"/>
      <c r="N90" s="935"/>
      <c r="O90" s="935"/>
      <c r="P90" s="1920"/>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0" t="s">
        <v>3411</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0(含)-50</v>
      </c>
      <c r="D102" s="527" t="str">
        <f t="shared" ref="D102:L102" si="27">D103&amp;"(含)"&amp;"-"&amp;E103</f>
        <v>50(含)-100</v>
      </c>
      <c r="E102" s="527" t="str">
        <f t="shared" si="27"/>
        <v>100(含)-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0"/>
      <c r="Q104" s="508"/>
    </row>
    <row r="105" spans="1:17" ht="15" thickTop="1">
      <c r="A105" s="548"/>
      <c r="B105" s="487" t="s">
        <v>1738</v>
      </c>
      <c r="C105" s="3451" t="s">
        <v>3413</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1" t="s">
        <v>3415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51" t="s">
        <v>3415</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90.08</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684" t="s">
        <v>1770</v>
      </c>
      <c r="D4" s="3685"/>
      <c r="E4" s="3686" t="s">
        <v>1771</v>
      </c>
      <c r="F4" s="3687"/>
      <c r="G4" s="3684" t="s">
        <v>1772</v>
      </c>
      <c r="H4" s="3685"/>
      <c r="I4" s="3684" t="s">
        <v>1773</v>
      </c>
      <c r="J4" s="3685"/>
      <c r="K4" s="559" t="s">
        <v>1774</v>
      </c>
      <c r="L4" s="2711"/>
      <c r="M4" s="2712"/>
      <c r="N4" s="2712"/>
      <c r="O4" s="2712"/>
      <c r="P4" s="3688" t="s">
        <v>1775</v>
      </c>
      <c r="Q4" s="3689"/>
      <c r="R4" s="3670" t="s">
        <v>1771</v>
      </c>
      <c r="S4" s="3671"/>
      <c r="T4" s="3670" t="s">
        <v>1772</v>
      </c>
      <c r="U4" s="3671"/>
      <c r="V4" s="3696" t="s">
        <v>1773</v>
      </c>
      <c r="W4" s="3696"/>
      <c r="X4" s="1355"/>
      <c r="Y4" s="3670" t="s">
        <v>1775</v>
      </c>
      <c r="Z4" s="3671"/>
      <c r="AA4" s="3665" t="s">
        <v>1771</v>
      </c>
      <c r="AB4" s="3696" t="s">
        <v>1772</v>
      </c>
      <c r="AC4" s="3665" t="s">
        <v>1773</v>
      </c>
    </row>
    <row r="5" spans="1:29" ht="15">
      <c r="A5" s="358"/>
      <c r="B5" s="359"/>
      <c r="C5" s="3680" t="s">
        <v>1673</v>
      </c>
      <c r="D5" s="3677"/>
      <c r="E5" s="3674" t="s">
        <v>1674</v>
      </c>
      <c r="F5" s="3675"/>
      <c r="G5" s="3680" t="s">
        <v>1675</v>
      </c>
      <c r="H5" s="3677"/>
      <c r="I5" s="3680" t="s">
        <v>1676</v>
      </c>
      <c r="J5" s="3677"/>
      <c r="K5" s="559"/>
      <c r="L5" s="2711"/>
      <c r="M5" s="2712"/>
      <c r="N5" s="2712"/>
      <c r="O5" s="2712"/>
      <c r="P5" s="3690"/>
      <c r="Q5" s="3691"/>
      <c r="R5" s="3672"/>
      <c r="S5" s="3673"/>
      <c r="T5" s="3672"/>
      <c r="U5" s="3673"/>
      <c r="V5" s="3696"/>
      <c r="W5" s="3696"/>
      <c r="X5" s="1355"/>
      <c r="Y5" s="3672"/>
      <c r="Z5" s="3673"/>
      <c r="AA5" s="3666"/>
      <c r="AB5" s="3696"/>
      <c r="AC5" s="3666"/>
    </row>
    <row r="6" spans="1:29" ht="15.75" thickBot="1">
      <c r="A6" s="360"/>
      <c r="B6" s="361"/>
      <c r="C6" s="3678" t="s">
        <v>1677</v>
      </c>
      <c r="D6" s="3679"/>
      <c r="E6" s="3681" t="s">
        <v>1677</v>
      </c>
      <c r="F6" s="3682"/>
      <c r="G6" s="3678" t="s">
        <v>1677</v>
      </c>
      <c r="H6" s="3679"/>
      <c r="I6" s="3678" t="s">
        <v>1677</v>
      </c>
      <c r="J6" s="3679"/>
      <c r="K6" s="559" t="s">
        <v>1678</v>
      </c>
      <c r="L6" s="2711"/>
      <c r="M6" s="2712"/>
      <c r="N6" s="2712"/>
      <c r="O6" s="2712"/>
      <c r="P6" s="3692"/>
      <c r="Q6" s="3693"/>
      <c r="R6" s="3672"/>
      <c r="S6" s="3673"/>
      <c r="T6" s="3694"/>
      <c r="U6" s="3695"/>
      <c r="V6" s="3696"/>
      <c r="W6" s="3696"/>
      <c r="X6" s="1355"/>
      <c r="Y6" s="3694"/>
      <c r="Z6" s="3695"/>
      <c r="AA6" s="3667"/>
      <c r="AB6" s="3696"/>
      <c r="AC6" s="3667"/>
    </row>
    <row r="7" spans="1:29" s="108" customFormat="1" ht="15.75" thickBot="1">
      <c r="A7" s="362" t="s">
        <v>1679</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8" t="s">
        <v>1680</v>
      </c>
      <c r="Q7" s="3697"/>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3"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3"/>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3"/>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3"/>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3"/>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3"/>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1"/>
      <c r="Q16" s="1352"/>
      <c r="R16" s="705"/>
      <c r="S16" s="706"/>
      <c r="T16" s="705"/>
      <c r="U16" s="706"/>
      <c r="V16" s="705"/>
      <c r="W16" s="706"/>
      <c r="X16" s="1355"/>
      <c r="Y16" s="3704"/>
      <c r="Z16" s="1356"/>
      <c r="AA16" s="1353">
        <v>1</v>
      </c>
      <c r="AB16" s="1353">
        <v>1</v>
      </c>
      <c r="AC16" s="1353">
        <v>1</v>
      </c>
    </row>
    <row r="17" spans="1:29" ht="85.5">
      <c r="A17" s="379"/>
      <c r="B17" s="402" t="s">
        <v>1259</v>
      </c>
      <c r="C17" s="1899" t="str">
        <f>估价对象房地状况!C6</f>
        <v>周边有F2、F13、F36、F41、616、833路等多条公交线路经过并设站，距离地铁房山线良乡南关约2公里，交通较便捷。</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8"/>
      <c r="M18" s="2712"/>
      <c r="N18" s="2712"/>
      <c r="O18" s="2712"/>
      <c r="P18" s="3711"/>
      <c r="Q18" s="1352"/>
      <c r="R18" s="705"/>
      <c r="S18" s="706"/>
      <c r="T18" s="705"/>
      <c r="U18" s="706"/>
      <c r="V18" s="705"/>
      <c r="W18" s="706"/>
      <c r="X18" s="1355"/>
      <c r="Y18" s="3704"/>
      <c r="Z18" s="1356"/>
      <c r="AA18" s="1353">
        <v>1</v>
      </c>
      <c r="AB18" s="1353">
        <v>1</v>
      </c>
      <c r="AC18" s="1353">
        <v>1</v>
      </c>
    </row>
    <row r="19" spans="1:29" ht="42.75">
      <c r="A19" s="379"/>
      <c r="B19" s="402" t="s">
        <v>1778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8"/>
      <c r="M20" s="2712"/>
      <c r="N20" s="2712"/>
      <c r="O20" s="2712"/>
      <c r="P20" s="3711"/>
      <c r="Q20" s="1352"/>
      <c r="R20" s="705"/>
      <c r="S20" s="706"/>
      <c r="T20" s="705"/>
      <c r="U20" s="706"/>
      <c r="V20" s="705"/>
      <c r="W20" s="706"/>
      <c r="X20" s="1355"/>
      <c r="Y20" s="3704"/>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8"/>
      <c r="M22" s="2712"/>
      <c r="N22" s="2712"/>
      <c r="O22" s="2712"/>
      <c r="P22" s="3711"/>
      <c r="Q22" s="1352"/>
      <c r="R22" s="705"/>
      <c r="S22" s="706"/>
      <c r="T22" s="705"/>
      <c r="U22" s="706"/>
      <c r="V22" s="705"/>
      <c r="W22" s="706"/>
      <c r="X22" s="1355"/>
      <c r="Y22" s="3704"/>
      <c r="Z22" s="1356"/>
      <c r="AA22" s="1353">
        <v>1</v>
      </c>
      <c r="AB22" s="1353">
        <v>1</v>
      </c>
      <c r="AC22" s="1353">
        <v>1</v>
      </c>
    </row>
    <row r="23" spans="1:29" ht="57">
      <c r="A23" s="379"/>
      <c r="B23" s="402" t="s">
        <v>1261</v>
      </c>
      <c r="C23" s="1952" t="str">
        <f>估价对象房地状况!C9</f>
        <v>估价对象周边有刺猬河、北潞园健身公园、房山区良乡体育中心等自然人文景观，总体自然人文环境较好。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8"/>
      <c r="M24" s="2712"/>
      <c r="N24" s="2712"/>
      <c r="O24" s="2712"/>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0"/>
      <c r="M48" s="2721"/>
      <c r="N48" s="2712"/>
      <c r="O48" s="2721"/>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90.08</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1"/>
      <c r="M4" s="2712"/>
      <c r="N4" s="2712"/>
      <c r="O4" s="2712"/>
      <c r="P4" s="3718" t="s">
        <v>1775</v>
      </c>
      <c r="Q4" s="3719"/>
      <c r="R4" s="3713" t="s">
        <v>1771</v>
      </c>
      <c r="S4" s="3714"/>
      <c r="T4" s="3713" t="s">
        <v>1772</v>
      </c>
      <c r="U4" s="3714"/>
      <c r="V4" s="3722" t="s">
        <v>1773</v>
      </c>
      <c r="W4" s="3722"/>
      <c r="X4" s="1955"/>
      <c r="Y4" s="3713" t="s">
        <v>1775</v>
      </c>
      <c r="Z4" s="3714"/>
      <c r="AA4" s="3712" t="s">
        <v>1771</v>
      </c>
      <c r="AB4" s="3712" t="s">
        <v>1772</v>
      </c>
      <c r="AC4" s="3715" t="s">
        <v>1773</v>
      </c>
    </row>
    <row r="5" spans="1:29" ht="15">
      <c r="A5" s="358"/>
      <c r="B5" s="359"/>
      <c r="C5" s="3680" t="s">
        <v>1673</v>
      </c>
      <c r="D5" s="3677"/>
      <c r="E5" s="3674" t="s">
        <v>1674</v>
      </c>
      <c r="F5" s="3675"/>
      <c r="G5" s="3680" t="s">
        <v>1675</v>
      </c>
      <c r="H5" s="3677"/>
      <c r="I5" s="3680" t="s">
        <v>1676</v>
      </c>
      <c r="J5" s="3677"/>
      <c r="K5" s="559"/>
      <c r="L5" s="2711"/>
      <c r="M5" s="2712"/>
      <c r="N5" s="2712"/>
      <c r="O5" s="2712"/>
      <c r="P5" s="3720"/>
      <c r="Q5" s="3691"/>
      <c r="R5" s="3672"/>
      <c r="S5" s="3673"/>
      <c r="T5" s="3672"/>
      <c r="U5" s="3673"/>
      <c r="V5" s="3696"/>
      <c r="W5" s="3696"/>
      <c r="X5" s="1355"/>
      <c r="Y5" s="3672"/>
      <c r="Z5" s="3673"/>
      <c r="AA5" s="3666"/>
      <c r="AB5" s="3666"/>
      <c r="AC5" s="3716"/>
    </row>
    <row r="6" spans="1:29" ht="15.75" thickBot="1">
      <c r="A6" s="360"/>
      <c r="B6" s="361"/>
      <c r="C6" s="3678" t="s">
        <v>1677</v>
      </c>
      <c r="D6" s="3679"/>
      <c r="E6" s="3681" t="s">
        <v>1677</v>
      </c>
      <c r="F6" s="3682"/>
      <c r="G6" s="3678" t="s">
        <v>1677</v>
      </c>
      <c r="H6" s="3679"/>
      <c r="I6" s="3678" t="s">
        <v>1677</v>
      </c>
      <c r="J6" s="3679"/>
      <c r="K6" s="559" t="s">
        <v>1678</v>
      </c>
      <c r="L6" s="2711"/>
      <c r="M6" s="2712"/>
      <c r="N6" s="2712"/>
      <c r="O6" s="2712"/>
      <c r="P6" s="3721"/>
      <c r="Q6" s="3693"/>
      <c r="R6" s="3672"/>
      <c r="S6" s="3673"/>
      <c r="T6" s="3694"/>
      <c r="U6" s="3695"/>
      <c r="V6" s="3696"/>
      <c r="W6" s="3696"/>
      <c r="X6" s="1355"/>
      <c r="Y6" s="3694"/>
      <c r="Z6" s="3695"/>
      <c r="AA6" s="3667"/>
      <c r="AB6" s="3667"/>
      <c r="AC6" s="3717"/>
    </row>
    <row r="7" spans="1:29" s="108" customFormat="1" ht="15.75" thickBot="1">
      <c r="A7" s="362" t="s">
        <v>1679</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23" t="s">
        <v>1680</v>
      </c>
      <c r="Q7" s="3697"/>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23"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3"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3"/>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3"/>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3"/>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3"/>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83"/>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8"/>
      <c r="M16" s="2712"/>
      <c r="N16" s="2712"/>
      <c r="O16" s="2712"/>
      <c r="P16" s="3711"/>
      <c r="Q16" s="1352"/>
      <c r="R16" s="705"/>
      <c r="S16" s="706"/>
      <c r="T16" s="705"/>
      <c r="U16" s="706"/>
      <c r="V16" s="705"/>
      <c r="W16" s="706"/>
      <c r="X16" s="1355"/>
      <c r="Y16" s="3704"/>
      <c r="Z16" s="1356"/>
      <c r="AA16" s="1353">
        <v>1</v>
      </c>
      <c r="AB16" s="1353">
        <v>1</v>
      </c>
      <c r="AC16" s="1959">
        <v>1</v>
      </c>
    </row>
    <row r="17" spans="1:29" ht="71.25">
      <c r="A17" s="379"/>
      <c r="B17" s="579" t="s">
        <v>1259</v>
      </c>
      <c r="C17" s="1960" t="str">
        <f>估价对象房地状况!C6</f>
        <v>周边有F2、F13、F36、F41、616、833路等多条公交线路经过并设站，距离地铁房山线良乡南关约2公里，交通较便捷。</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8"/>
      <c r="M18" s="2712"/>
      <c r="N18" s="2712"/>
      <c r="O18" s="2712"/>
      <c r="P18" s="3711"/>
      <c r="Q18" s="1352"/>
      <c r="R18" s="705"/>
      <c r="S18" s="706"/>
      <c r="T18" s="705"/>
      <c r="U18" s="706"/>
      <c r="V18" s="705"/>
      <c r="W18" s="706"/>
      <c r="X18" s="1355"/>
      <c r="Y18" s="3704"/>
      <c r="Z18" s="1356"/>
      <c r="AA18" s="1353">
        <v>1</v>
      </c>
      <c r="AB18" s="1353">
        <v>1</v>
      </c>
      <c r="AC18" s="1959">
        <v>1</v>
      </c>
    </row>
    <row r="19" spans="1:29" ht="42.75">
      <c r="A19" s="379"/>
      <c r="B19" s="579" t="s">
        <v>1812</v>
      </c>
      <c r="C19" s="1960"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8"/>
      <c r="M20" s="2712"/>
      <c r="N20" s="2712"/>
      <c r="O20" s="2712"/>
      <c r="P20" s="3711"/>
      <c r="Q20" s="1352"/>
      <c r="R20" s="705"/>
      <c r="S20" s="706"/>
      <c r="T20" s="705"/>
      <c r="U20" s="706"/>
      <c r="V20" s="705"/>
      <c r="W20" s="706"/>
      <c r="X20" s="1355"/>
      <c r="Y20" s="3704"/>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8"/>
      <c r="M22" s="2712"/>
      <c r="N22" s="2712"/>
      <c r="O22" s="2712"/>
      <c r="P22" s="3711"/>
      <c r="Q22" s="1352"/>
      <c r="R22" s="705"/>
      <c r="S22" s="706"/>
      <c r="T22" s="705"/>
      <c r="U22" s="706"/>
      <c r="V22" s="705"/>
      <c r="W22" s="706"/>
      <c r="X22" s="1355"/>
      <c r="Y22" s="3704"/>
      <c r="Z22" s="1356"/>
      <c r="AA22" s="1353">
        <v>1</v>
      </c>
      <c r="AB22" s="1353">
        <v>1</v>
      </c>
      <c r="AC22" s="1959">
        <v>1</v>
      </c>
    </row>
    <row r="23" spans="1:29" ht="42.75">
      <c r="A23" s="379"/>
      <c r="B23" s="579" t="s">
        <v>1814</v>
      </c>
      <c r="C23" s="1960" t="str">
        <f>估价对象房地状况!C9</f>
        <v>估价对象周边有刺猬河、北潞园健身公园、房山区良乡体育中心等自然人文景观，总体自然人文环境较好。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8"/>
      <c r="M24" s="2712"/>
      <c r="N24" s="2712"/>
      <c r="O24" s="2712"/>
      <c r="P24" s="3711"/>
      <c r="Q24" s="1352"/>
      <c r="R24" s="705"/>
      <c r="S24" s="706"/>
      <c r="T24" s="705"/>
      <c r="U24" s="706"/>
      <c r="V24" s="705"/>
      <c r="W24" s="706"/>
      <c r="X24" s="1355"/>
      <c r="Y24" s="3704"/>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8"/>
      <c r="M26" s="2712"/>
      <c r="N26" s="2712"/>
      <c r="O26" s="2712"/>
      <c r="P26" s="3711"/>
      <c r="Q26" s="1352"/>
      <c r="R26" s="705"/>
      <c r="S26" s="706"/>
      <c r="T26" s="705"/>
      <c r="U26" s="706"/>
      <c r="V26" s="705"/>
      <c r="W26" s="706"/>
      <c r="X26" s="1355"/>
      <c r="Y26" s="3704"/>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20"/>
      <c r="M48" s="2712"/>
      <c r="N48" s="2712"/>
      <c r="O48" s="2712"/>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0"/>
      <c r="M49" s="2712"/>
      <c r="N49" s="2712"/>
      <c r="O49" s="2712"/>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0" t="s">
        <v>1771</v>
      </c>
      <c r="S4" s="3671"/>
      <c r="T4" s="3670" t="s">
        <v>1772</v>
      </c>
      <c r="U4" s="3671"/>
      <c r="V4" s="3696" t="s">
        <v>1773</v>
      </c>
      <c r="W4" s="3696"/>
      <c r="X4" s="1355"/>
      <c r="Y4" s="3670" t="s">
        <v>1775</v>
      </c>
      <c r="Z4" s="3671"/>
      <c r="AA4" s="3665" t="s">
        <v>1771</v>
      </c>
      <c r="AB4" s="3666" t="s">
        <v>1772</v>
      </c>
      <c r="AC4" s="3665" t="s">
        <v>1773</v>
      </c>
    </row>
    <row r="5" spans="1:29" ht="15">
      <c r="A5" s="358"/>
      <c r="B5" s="359"/>
      <c r="C5" s="3680" t="s">
        <v>1673</v>
      </c>
      <c r="D5" s="3677"/>
      <c r="E5" s="3674" t="s">
        <v>1674</v>
      </c>
      <c r="F5" s="3675"/>
      <c r="G5" s="3680" t="s">
        <v>1675</v>
      </c>
      <c r="H5" s="3677"/>
      <c r="I5" s="3680" t="s">
        <v>1676</v>
      </c>
      <c r="J5" s="3677"/>
      <c r="K5" s="559"/>
      <c r="L5" s="913"/>
      <c r="M5" s="914"/>
      <c r="N5" s="914"/>
      <c r="O5" s="914"/>
      <c r="P5" s="3690"/>
      <c r="Q5" s="3691"/>
      <c r="R5" s="3672"/>
      <c r="S5" s="3673"/>
      <c r="T5" s="3672"/>
      <c r="U5" s="3673"/>
      <c r="V5" s="3696"/>
      <c r="W5" s="3696"/>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913"/>
      <c r="M6" s="914"/>
      <c r="N6" s="914"/>
      <c r="O6" s="914"/>
      <c r="P6" s="3692"/>
      <c r="Q6" s="3693"/>
      <c r="R6" s="3672"/>
      <c r="S6" s="3673"/>
      <c r="T6" s="3694"/>
      <c r="U6" s="3695"/>
      <c r="V6" s="3696"/>
      <c r="W6" s="3696"/>
      <c r="X6" s="1355"/>
      <c r="Y6" s="3694"/>
      <c r="Z6" s="3695"/>
      <c r="AA6" s="3667"/>
      <c r="AB6" s="3667"/>
      <c r="AC6" s="3667"/>
    </row>
    <row r="7" spans="1:29" s="108" customFormat="1" ht="15.75" thickBot="1">
      <c r="A7" s="362" t="s">
        <v>1679</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7"/>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1"/>
      <c r="M4" s="2712"/>
      <c r="N4" s="2712"/>
      <c r="O4" s="2712"/>
      <c r="P4" s="3688" t="s">
        <v>1775</v>
      </c>
      <c r="Q4" s="3689"/>
      <c r="R4" s="3670" t="s">
        <v>1771</v>
      </c>
      <c r="S4" s="3671"/>
      <c r="T4" s="3670" t="s">
        <v>1772</v>
      </c>
      <c r="U4" s="3671"/>
      <c r="V4" s="3696" t="s">
        <v>1773</v>
      </c>
      <c r="W4" s="3696"/>
      <c r="X4" s="1355"/>
      <c r="Y4" s="3670" t="s">
        <v>1775</v>
      </c>
      <c r="Z4" s="3671"/>
      <c r="AA4" s="3665" t="s">
        <v>1771</v>
      </c>
      <c r="AB4" s="3666" t="s">
        <v>1772</v>
      </c>
      <c r="AC4" s="3665" t="s">
        <v>1773</v>
      </c>
    </row>
    <row r="5" spans="1:29" ht="15">
      <c r="A5" s="358"/>
      <c r="B5" s="359"/>
      <c r="C5" s="3680" t="s">
        <v>1673</v>
      </c>
      <c r="D5" s="3677"/>
      <c r="E5" s="3674" t="s">
        <v>1674</v>
      </c>
      <c r="F5" s="3675"/>
      <c r="G5" s="3680" t="s">
        <v>1675</v>
      </c>
      <c r="H5" s="3677"/>
      <c r="I5" s="3680" t="s">
        <v>1676</v>
      </c>
      <c r="J5" s="3677"/>
      <c r="K5" s="559"/>
      <c r="L5" s="2711"/>
      <c r="M5" s="2712"/>
      <c r="N5" s="2712"/>
      <c r="O5" s="2712"/>
      <c r="P5" s="3690"/>
      <c r="Q5" s="3691"/>
      <c r="R5" s="3672"/>
      <c r="S5" s="3673"/>
      <c r="T5" s="3672"/>
      <c r="U5" s="3673"/>
      <c r="V5" s="3696"/>
      <c r="W5" s="3696"/>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2711"/>
      <c r="M6" s="2712"/>
      <c r="N6" s="2712"/>
      <c r="O6" s="2712"/>
      <c r="P6" s="3692"/>
      <c r="Q6" s="3693"/>
      <c r="R6" s="3672"/>
      <c r="S6" s="3673"/>
      <c r="T6" s="3694"/>
      <c r="U6" s="3695"/>
      <c r="V6" s="3696"/>
      <c r="W6" s="3696"/>
      <c r="X6" s="1355"/>
      <c r="Y6" s="3694"/>
      <c r="Z6" s="3695"/>
      <c r="AA6" s="3667"/>
      <c r="AB6" s="3667"/>
      <c r="AC6" s="3667"/>
    </row>
    <row r="7" spans="1:29" s="108" customFormat="1" ht="15.75" thickBot="1">
      <c r="A7" s="362" t="s">
        <v>1679</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8" t="s">
        <v>1680</v>
      </c>
      <c r="Q7" s="3697"/>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1"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周边有F2、F13、F36、F41、616、833路等多条公交线路经过并设站，距离地铁房山线良乡南关约2公里，交通较便捷。</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4"/>
      <c r="Q15" s="1352"/>
      <c r="R15" s="705"/>
      <c r="S15" s="706"/>
      <c r="T15" s="705"/>
      <c r="U15" s="706"/>
      <c r="V15" s="705"/>
      <c r="W15" s="706"/>
      <c r="X15" s="1355"/>
      <c r="Y15" s="3704"/>
      <c r="Z15" s="1356"/>
      <c r="AA15" s="1353">
        <v>1</v>
      </c>
      <c r="AB15" s="1353">
        <v>1</v>
      </c>
      <c r="AC15" s="1353">
        <v>1</v>
      </c>
    </row>
    <row r="16" spans="1:29" ht="42.75">
      <c r="A16" s="358"/>
      <c r="B16" s="579"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8"/>
      <c r="M17" s="2712"/>
      <c r="N17" s="2712"/>
      <c r="O17" s="2712"/>
      <c r="P17" s="3704"/>
      <c r="Q17" s="1352"/>
      <c r="R17" s="705"/>
      <c r="S17" s="706"/>
      <c r="T17" s="705"/>
      <c r="U17" s="706"/>
      <c r="V17" s="705"/>
      <c r="W17" s="706"/>
      <c r="X17" s="1355"/>
      <c r="Y17" s="3704"/>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8"/>
      <c r="M19" s="2712"/>
      <c r="N19" s="2712"/>
      <c r="O19" s="2712"/>
      <c r="P19" s="3704"/>
      <c r="Q19" s="1352"/>
      <c r="R19" s="705"/>
      <c r="S19" s="706"/>
      <c r="T19" s="705"/>
      <c r="U19" s="706"/>
      <c r="V19" s="705"/>
      <c r="W19" s="706"/>
      <c r="X19" s="1355"/>
      <c r="Y19" s="3704"/>
      <c r="Z19" s="1356"/>
      <c r="AA19" s="1353">
        <v>1</v>
      </c>
      <c r="AB19" s="1353">
        <v>1</v>
      </c>
      <c r="AC19" s="1353">
        <v>1</v>
      </c>
    </row>
    <row r="20" spans="1:29" ht="57">
      <c r="A20" s="358"/>
      <c r="B20" s="579"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0" t="s">
        <v>3356</v>
      </c>
      <c r="C37" s="1154" t="s">
        <v>0</v>
      </c>
      <c r="D37" s="1155"/>
      <c r="E37" s="1156"/>
      <c r="F37" s="1157"/>
      <c r="G37" s="1158"/>
      <c r="H37" s="1159"/>
      <c r="I37" s="1156"/>
      <c r="J37" s="1159"/>
      <c r="K37" s="568"/>
      <c r="L37" s="2720"/>
      <c r="M37" s="2721"/>
      <c r="N37" s="2712"/>
      <c r="O37" s="2721"/>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0"/>
      <c r="M38" s="2721"/>
      <c r="N38" s="2721"/>
      <c r="O38" s="2721"/>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估价对象为房地产，为所有。根据《国有土地使用证》[]，估价对象（分摊）出让国有建设用地使用权面积为0平方米，建筑面积为90.08平方米。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估价对象为房地产,属开发建设的，该项目尚在开发建设中。根据《国有土地使用证》[]，估价对象（分摊）出让国有建设用地使用权面积为0平方米，规划建筑面积为90.08平方米。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2023年9月20日（评估专业人员实地查勘之日）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1"/>
      <c r="M4" s="2712"/>
      <c r="N4" s="2712"/>
      <c r="O4" s="2712"/>
      <c r="P4" s="3688" t="s">
        <v>1775</v>
      </c>
      <c r="Q4" s="3689"/>
      <c r="R4" s="3670" t="s">
        <v>1771</v>
      </c>
      <c r="S4" s="3671"/>
      <c r="T4" s="3670" t="s">
        <v>1772</v>
      </c>
      <c r="U4" s="3671"/>
      <c r="V4" s="3696" t="s">
        <v>1773</v>
      </c>
      <c r="W4" s="3696"/>
      <c r="X4" s="1355"/>
      <c r="Y4" s="3670" t="s">
        <v>1775</v>
      </c>
      <c r="Z4" s="3671"/>
      <c r="AA4" s="3665" t="s">
        <v>1771</v>
      </c>
      <c r="AB4" s="3666" t="s">
        <v>1772</v>
      </c>
      <c r="AC4" s="3665" t="s">
        <v>1773</v>
      </c>
    </row>
    <row r="5" spans="1:29" ht="15">
      <c r="A5" s="358"/>
      <c r="B5" s="359"/>
      <c r="C5" s="3680" t="s">
        <v>1673</v>
      </c>
      <c r="D5" s="3677"/>
      <c r="E5" s="3674" t="s">
        <v>1674</v>
      </c>
      <c r="F5" s="3675"/>
      <c r="G5" s="3680" t="s">
        <v>1675</v>
      </c>
      <c r="H5" s="3677"/>
      <c r="I5" s="3680" t="s">
        <v>1676</v>
      </c>
      <c r="J5" s="3677"/>
      <c r="K5" s="559"/>
      <c r="L5" s="2711"/>
      <c r="M5" s="2712"/>
      <c r="N5" s="2712"/>
      <c r="O5" s="2712"/>
      <c r="P5" s="3690"/>
      <c r="Q5" s="3691"/>
      <c r="R5" s="3672"/>
      <c r="S5" s="3673"/>
      <c r="T5" s="3672"/>
      <c r="U5" s="3673"/>
      <c r="V5" s="3696"/>
      <c r="W5" s="3696"/>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2711"/>
      <c r="M6" s="2712"/>
      <c r="N6" s="2712"/>
      <c r="O6" s="2712"/>
      <c r="P6" s="3692"/>
      <c r="Q6" s="3693"/>
      <c r="R6" s="3672"/>
      <c r="S6" s="3673"/>
      <c r="T6" s="3694"/>
      <c r="U6" s="3695"/>
      <c r="V6" s="3696"/>
      <c r="W6" s="3696"/>
      <c r="X6" s="1355"/>
      <c r="Y6" s="3694"/>
      <c r="Z6" s="3695"/>
      <c r="AA6" s="3667"/>
      <c r="AB6" s="3667"/>
      <c r="AC6" s="3667"/>
    </row>
    <row r="7" spans="1:29" s="108" customFormat="1" ht="15.75" thickBot="1">
      <c r="A7" s="362" t="s">
        <v>1679</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68" t="s">
        <v>1680</v>
      </c>
      <c r="Q7" s="3697"/>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1"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周边有F2、F13、F36、F41、616、833路等多条公交线路经过并设站，距离地铁房山线良乡南关约2公里，交通较便捷。</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4"/>
      <c r="Q15" s="1352"/>
      <c r="R15" s="705"/>
      <c r="S15" s="706"/>
      <c r="T15" s="705"/>
      <c r="U15" s="706"/>
      <c r="V15" s="705"/>
      <c r="W15" s="706"/>
      <c r="X15" s="1355"/>
      <c r="Y15" s="3704"/>
      <c r="Z15" s="1356"/>
      <c r="AA15" s="1353">
        <v>1</v>
      </c>
      <c r="AB15" s="1353">
        <v>1</v>
      </c>
      <c r="AC15" s="1353">
        <v>1</v>
      </c>
    </row>
    <row r="16" spans="1:29" ht="42.75">
      <c r="A16" s="379"/>
      <c r="B16" s="402"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8"/>
      <c r="M17" s="2712"/>
      <c r="N17" s="2712"/>
      <c r="O17" s="2770"/>
      <c r="P17" s="3704"/>
      <c r="Q17" s="1352"/>
      <c r="R17" s="705"/>
      <c r="S17" s="706"/>
      <c r="T17" s="705"/>
      <c r="U17" s="706"/>
      <c r="V17" s="705"/>
      <c r="W17" s="706"/>
      <c r="X17" s="1355"/>
      <c r="Y17" s="3704"/>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8"/>
      <c r="M19" s="2712"/>
      <c r="N19" s="2712"/>
      <c r="O19" s="2770"/>
      <c r="P19" s="3704"/>
      <c r="Q19" s="1352"/>
      <c r="R19" s="705"/>
      <c r="S19" s="706"/>
      <c r="T19" s="705"/>
      <c r="U19" s="706"/>
      <c r="V19" s="705"/>
      <c r="W19" s="706"/>
      <c r="X19" s="1355"/>
      <c r="Y19" s="3704"/>
      <c r="Z19" s="1356"/>
      <c r="AA19" s="1353">
        <v>1</v>
      </c>
      <c r="AB19" s="1353">
        <v>1</v>
      </c>
      <c r="AC19" s="1353">
        <v>1</v>
      </c>
    </row>
    <row r="20" spans="1:29" ht="57">
      <c r="A20" s="379"/>
      <c r="B20" s="402"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0"/>
      <c r="M36" s="2721"/>
      <c r="N36" s="2712"/>
      <c r="O36" s="2721"/>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1"/>
      <c r="M4" s="2712"/>
      <c r="N4" s="2712"/>
      <c r="O4" s="2712"/>
      <c r="P4" s="3688" t="s">
        <v>1775</v>
      </c>
      <c r="Q4" s="3689"/>
      <c r="R4" s="3670" t="s">
        <v>1771</v>
      </c>
      <c r="S4" s="3671"/>
      <c r="T4" s="3670" t="s">
        <v>1772</v>
      </c>
      <c r="U4" s="3671"/>
      <c r="V4" s="3696" t="s">
        <v>1773</v>
      </c>
      <c r="W4" s="3696"/>
      <c r="X4" s="1355"/>
      <c r="Y4" s="3670" t="s">
        <v>1775</v>
      </c>
      <c r="Z4" s="3671"/>
      <c r="AA4" s="3665" t="s">
        <v>1771</v>
      </c>
      <c r="AB4" s="3666" t="s">
        <v>1772</v>
      </c>
      <c r="AC4" s="3665" t="s">
        <v>1773</v>
      </c>
    </row>
    <row r="5" spans="1:30" ht="15">
      <c r="A5" s="358"/>
      <c r="B5" s="359"/>
      <c r="C5" s="3680" t="s">
        <v>1673</v>
      </c>
      <c r="D5" s="3677"/>
      <c r="E5" s="3674" t="s">
        <v>1674</v>
      </c>
      <c r="F5" s="3675"/>
      <c r="G5" s="3680" t="s">
        <v>1675</v>
      </c>
      <c r="H5" s="3677"/>
      <c r="I5" s="3680" t="s">
        <v>1676</v>
      </c>
      <c r="J5" s="3677"/>
      <c r="K5" s="559"/>
      <c r="L5" s="2711"/>
      <c r="M5" s="2712"/>
      <c r="N5" s="2712"/>
      <c r="O5" s="2712"/>
      <c r="P5" s="3690"/>
      <c r="Q5" s="3691"/>
      <c r="R5" s="3672"/>
      <c r="S5" s="3673"/>
      <c r="T5" s="3672"/>
      <c r="U5" s="3673"/>
      <c r="V5" s="3696"/>
      <c r="W5" s="3696"/>
      <c r="X5" s="1355"/>
      <c r="Y5" s="3672"/>
      <c r="Z5" s="3673"/>
      <c r="AA5" s="3666"/>
      <c r="AB5" s="3666"/>
      <c r="AC5" s="3666"/>
    </row>
    <row r="6" spans="1:30" ht="15.75" thickBot="1">
      <c r="A6" s="360"/>
      <c r="B6" s="361"/>
      <c r="C6" s="3678" t="s">
        <v>1677</v>
      </c>
      <c r="D6" s="3679"/>
      <c r="E6" s="3681" t="s">
        <v>1677</v>
      </c>
      <c r="F6" s="3682"/>
      <c r="G6" s="3678" t="s">
        <v>1677</v>
      </c>
      <c r="H6" s="3679"/>
      <c r="I6" s="3678" t="s">
        <v>1677</v>
      </c>
      <c r="J6" s="3679"/>
      <c r="K6" s="559" t="s">
        <v>1678</v>
      </c>
      <c r="L6" s="2711"/>
      <c r="M6" s="2712"/>
      <c r="N6" s="2712"/>
      <c r="O6" s="2712"/>
      <c r="P6" s="3692"/>
      <c r="Q6" s="3693"/>
      <c r="R6" s="3672"/>
      <c r="S6" s="3673"/>
      <c r="T6" s="3694"/>
      <c r="U6" s="3695"/>
      <c r="V6" s="3696"/>
      <c r="W6" s="3696"/>
      <c r="X6" s="1355"/>
      <c r="Y6" s="3694"/>
      <c r="Z6" s="3695"/>
      <c r="AA6" s="3667"/>
      <c r="AB6" s="3667"/>
      <c r="AC6" s="3667"/>
    </row>
    <row r="7" spans="1:30" s="108" customFormat="1" ht="15.75" thickBot="1">
      <c r="A7" s="362" t="s">
        <v>1679</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68" t="s">
        <v>1680</v>
      </c>
      <c r="Q7" s="3697"/>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701"/>
      <c r="Q10" s="1343" t="str">
        <f t="shared" si="6"/>
        <v>土地使用年限（年）</v>
      </c>
      <c r="R10" s="701" t="s">
        <v>14</v>
      </c>
      <c r="S10" s="702">
        <f t="shared" si="0"/>
        <v>110</v>
      </c>
      <c r="T10" s="701" t="s">
        <v>14</v>
      </c>
      <c r="U10" s="702">
        <f t="shared" si="1"/>
        <v>110</v>
      </c>
      <c r="V10" s="701" t="s">
        <v>14</v>
      </c>
      <c r="W10" s="702">
        <f t="shared" si="2"/>
        <v>110</v>
      </c>
      <c r="X10" s="703"/>
      <c r="Y10" s="3612"/>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1"/>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5" t="str">
        <f>估价对象房地状况!C15</f>
        <v>周边有西潞园小区、北潞园小区、拱辰星园等住宅项目，住宅社区成熟度一般。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8"/>
      <c r="M16" s="2712"/>
      <c r="N16" s="2712"/>
      <c r="O16" s="2770"/>
      <c r="P16" s="3704"/>
      <c r="Q16" s="1352"/>
      <c r="R16" s="705"/>
      <c r="S16" s="706"/>
      <c r="T16" s="705"/>
      <c r="U16" s="706"/>
      <c r="V16" s="705"/>
      <c r="W16" s="706"/>
      <c r="X16" s="1355"/>
      <c r="Y16" s="3704"/>
      <c r="Z16" s="1356"/>
      <c r="AA16" s="1353">
        <v>1</v>
      </c>
      <c r="AB16" s="1353">
        <v>1</v>
      </c>
      <c r="AC16" s="1353">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8"/>
      <c r="M18" s="2712"/>
      <c r="N18" s="2712"/>
      <c r="O18" s="2770"/>
      <c r="P18" s="3704"/>
      <c r="Q18" s="1352"/>
      <c r="R18" s="705"/>
      <c r="S18" s="706"/>
      <c r="T18" s="705"/>
      <c r="U18" s="706"/>
      <c r="V18" s="705"/>
      <c r="W18" s="706"/>
      <c r="X18" s="1355"/>
      <c r="Y18" s="3704"/>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8"/>
      <c r="M20" s="2712"/>
      <c r="N20" s="2712"/>
      <c r="O20" s="2770"/>
      <c r="P20" s="3704"/>
      <c r="Q20" s="1352"/>
      <c r="R20" s="705"/>
      <c r="S20" s="706"/>
      <c r="T20" s="705"/>
      <c r="U20" s="706"/>
      <c r="V20" s="705"/>
      <c r="W20" s="706"/>
      <c r="X20" s="1355"/>
      <c r="Y20" s="3704"/>
      <c r="Z20" s="1356"/>
      <c r="AA20" s="1353">
        <v>1</v>
      </c>
      <c r="AB20" s="1353">
        <v>1</v>
      </c>
      <c r="AC20" s="1353">
        <v>1</v>
      </c>
    </row>
    <row r="21" spans="1:29" ht="85.5">
      <c r="A21" s="379"/>
      <c r="B21" s="402" t="s">
        <v>1833</v>
      </c>
      <c r="C21" s="1899" t="str">
        <f>估价对象房地状况!C18</f>
        <v>周边有F2、F13、F36、F41、616、833路等多条公交线路经过并设站，距离地铁房山线良乡南关约2公里，交通较便捷。</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8"/>
      <c r="M22" s="2712"/>
      <c r="N22" s="2712"/>
      <c r="O22" s="2770"/>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8"/>
      <c r="M24" s="2712"/>
      <c r="N24" s="2712"/>
      <c r="O24" s="2770"/>
      <c r="P24" s="3704"/>
      <c r="Q24" s="1352"/>
      <c r="R24" s="705"/>
      <c r="S24" s="706"/>
      <c r="T24" s="705"/>
      <c r="U24" s="706"/>
      <c r="V24" s="705"/>
      <c r="W24" s="706"/>
      <c r="X24" s="1355"/>
      <c r="Y24" s="3704"/>
      <c r="Z24" s="1356"/>
      <c r="AA24" s="1353"/>
      <c r="AB24" s="1353"/>
      <c r="AC24" s="1353"/>
    </row>
    <row r="25" spans="1:29" ht="57">
      <c r="A25" s="358"/>
      <c r="B25" s="1131" t="s">
        <v>1872</v>
      </c>
      <c r="C25" s="1952" t="str">
        <f>估价对象房地状况!C20</f>
        <v>估价对象周边有刺猬河、北潞园健身公园、房山区良乡体育中心等自然人文景观，总体自然人文环境较好。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8"/>
      <c r="M26" s="2712"/>
      <c r="N26" s="2712"/>
      <c r="O26" s="2770"/>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899"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3"/>
      <c r="M28" s="2714"/>
      <c r="N28" s="2714"/>
      <c r="O28" s="2768"/>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3"/>
      <c r="M30" s="2714"/>
      <c r="N30" s="2714"/>
      <c r="O30" s="2768"/>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8"/>
      <c r="M33" s="2712"/>
      <c r="N33" s="2712"/>
      <c r="O33" s="2770"/>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20"/>
      <c r="M46" s="2721"/>
      <c r="N46" s="2712"/>
      <c r="O46" s="2721"/>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0"/>
      <c r="M47" s="2721"/>
      <c r="N47" s="2721"/>
      <c r="O47" s="2721"/>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684" t="s">
        <v>1887</v>
      </c>
      <c r="H55" s="3731"/>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90.08</v>
      </c>
      <c r="F56" s="886" t="e">
        <f t="shared" ref="F56:F64" si="15">ROUND(B56*E56/10000,0)</f>
        <v>#DIV/0!</v>
      </c>
      <c r="G56" s="3683"/>
      <c r="H56" s="370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90.08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1"/>
      <c r="M4" s="2712"/>
      <c r="N4" s="2712"/>
      <c r="O4" s="2712"/>
      <c r="P4" s="3688" t="s">
        <v>1775</v>
      </c>
      <c r="Q4" s="3689"/>
      <c r="R4" s="3670" t="s">
        <v>1771</v>
      </c>
      <c r="S4" s="3671"/>
      <c r="T4" s="3670" t="s">
        <v>1772</v>
      </c>
      <c r="U4" s="3671"/>
      <c r="V4" s="3696" t="s">
        <v>1773</v>
      </c>
      <c r="W4" s="3696"/>
      <c r="X4" s="1355"/>
      <c r="Y4" s="3670" t="s">
        <v>1775</v>
      </c>
      <c r="Z4" s="3671"/>
      <c r="AA4" s="3665" t="s">
        <v>1771</v>
      </c>
      <c r="AB4" s="3666" t="s">
        <v>1772</v>
      </c>
      <c r="AC4" s="3665" t="s">
        <v>1773</v>
      </c>
    </row>
    <row r="5" spans="1:29" ht="15">
      <c r="A5" s="358"/>
      <c r="B5" s="359"/>
      <c r="C5" s="3680" t="s">
        <v>1673</v>
      </c>
      <c r="D5" s="3677"/>
      <c r="E5" s="3674" t="s">
        <v>1674</v>
      </c>
      <c r="F5" s="3675"/>
      <c r="G5" s="3680" t="s">
        <v>1675</v>
      </c>
      <c r="H5" s="3677"/>
      <c r="I5" s="3680" t="s">
        <v>1676</v>
      </c>
      <c r="J5" s="3677"/>
      <c r="K5" s="559"/>
      <c r="L5" s="2711"/>
      <c r="M5" s="2712"/>
      <c r="N5" s="2712"/>
      <c r="O5" s="2712"/>
      <c r="P5" s="3690"/>
      <c r="Q5" s="3691"/>
      <c r="R5" s="3672"/>
      <c r="S5" s="3673"/>
      <c r="T5" s="3672"/>
      <c r="U5" s="3673"/>
      <c r="V5" s="3696"/>
      <c r="W5" s="3696"/>
      <c r="X5" s="1355"/>
      <c r="Y5" s="3672"/>
      <c r="Z5" s="3673"/>
      <c r="AA5" s="3666"/>
      <c r="AB5" s="3666"/>
      <c r="AC5" s="3666"/>
    </row>
    <row r="6" spans="1:29" ht="15.75" thickBot="1">
      <c r="A6" s="360"/>
      <c r="B6" s="361"/>
      <c r="C6" s="3732" t="s">
        <v>1919</v>
      </c>
      <c r="D6" s="3733"/>
      <c r="E6" s="3734" t="s">
        <v>1919</v>
      </c>
      <c r="F6" s="3735"/>
      <c r="G6" s="3732" t="s">
        <v>1919</v>
      </c>
      <c r="H6" s="3733"/>
      <c r="I6" s="3732" t="s">
        <v>1919</v>
      </c>
      <c r="J6" s="3733"/>
      <c r="K6" s="559" t="s">
        <v>1678</v>
      </c>
      <c r="L6" s="2711"/>
      <c r="M6" s="2712"/>
      <c r="N6" s="2712"/>
      <c r="O6" s="2712"/>
      <c r="P6" s="3692"/>
      <c r="Q6" s="3693"/>
      <c r="R6" s="3672"/>
      <c r="S6" s="3673"/>
      <c r="T6" s="3694"/>
      <c r="U6" s="3695"/>
      <c r="V6" s="3696"/>
      <c r="W6" s="3696"/>
      <c r="X6" s="1355"/>
      <c r="Y6" s="3694"/>
      <c r="Z6" s="3695"/>
      <c r="AA6" s="3667"/>
      <c r="AB6" s="3667"/>
      <c r="AC6" s="3667"/>
    </row>
    <row r="7" spans="1:29" s="108" customFormat="1" ht="15.75" thickBot="1">
      <c r="A7" s="362" t="s">
        <v>1679</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68" t="s">
        <v>1680</v>
      </c>
      <c r="Q7" s="3697"/>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701"/>
      <c r="Q10" s="1343" t="str">
        <f t="shared" si="6"/>
        <v>土地使用年限（年）</v>
      </c>
      <c r="R10" s="701" t="s">
        <v>14</v>
      </c>
      <c r="S10" s="702">
        <f t="shared" si="0"/>
        <v>110</v>
      </c>
      <c r="T10" s="701" t="s">
        <v>14</v>
      </c>
      <c r="U10" s="702">
        <f t="shared" si="1"/>
        <v>110</v>
      </c>
      <c r="V10" s="701" t="s">
        <v>14</v>
      </c>
      <c r="W10" s="702">
        <f t="shared" si="2"/>
        <v>110</v>
      </c>
      <c r="X10" s="703"/>
      <c r="Y10" s="3612"/>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8"/>
      <c r="M16" s="2712"/>
      <c r="N16" s="2712"/>
      <c r="O16" s="2770"/>
      <c r="P16" s="3704"/>
      <c r="Q16" s="1352"/>
      <c r="R16" s="705"/>
      <c r="S16" s="706"/>
      <c r="T16" s="705"/>
      <c r="U16" s="706"/>
      <c r="V16" s="705"/>
      <c r="W16" s="706"/>
      <c r="X16" s="1355"/>
      <c r="Y16" s="3704"/>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8"/>
      <c r="M18" s="2712"/>
      <c r="N18" s="2712"/>
      <c r="O18" s="2770"/>
      <c r="P18" s="3704"/>
      <c r="Q18" s="1352"/>
      <c r="R18" s="705"/>
      <c r="S18" s="706"/>
      <c r="T18" s="705"/>
      <c r="U18" s="706"/>
      <c r="V18" s="705"/>
      <c r="W18" s="706"/>
      <c r="X18" s="1355"/>
      <c r="Y18" s="3704"/>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8"/>
      <c r="M20" s="2712"/>
      <c r="N20" s="2712"/>
      <c r="O20" s="2770"/>
      <c r="P20" s="3704"/>
      <c r="Q20" s="1352"/>
      <c r="R20" s="705"/>
      <c r="S20" s="706"/>
      <c r="T20" s="705"/>
      <c r="U20" s="706"/>
      <c r="V20" s="705"/>
      <c r="W20" s="706"/>
      <c r="X20" s="1355"/>
      <c r="Y20" s="3704"/>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8"/>
      <c r="M22" s="2712"/>
      <c r="N22" s="2712"/>
      <c r="O22" s="2770"/>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3"/>
      <c r="M24" s="2714"/>
      <c r="N24" s="2714"/>
      <c r="O24" s="2768"/>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3"/>
      <c r="M26" s="2714"/>
      <c r="N26" s="2714"/>
      <c r="O26" s="2768"/>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8"/>
      <c r="M29" s="2712"/>
      <c r="N29" s="2712"/>
      <c r="O29" s="2770"/>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20"/>
      <c r="M41" s="2712"/>
      <c r="N41" s="2712"/>
      <c r="O41" s="2721"/>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0"/>
      <c r="M42" s="2712"/>
      <c r="N42" s="2712"/>
      <c r="O42" s="2721"/>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684" t="s">
        <v>1887</v>
      </c>
      <c r="H50" s="3731"/>
      <c r="I50" s="1356" t="s">
        <v>1923</v>
      </c>
      <c r="J50" s="1356">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90.08</v>
      </c>
      <c r="F51" s="639" t="e">
        <f t="shared" ref="F51:F60" si="15">ROUND(B51*E51/10000,0)</f>
        <v>#DIV/0!</v>
      </c>
      <c r="G51" s="3683"/>
      <c r="H51" s="370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115</v>
      </c>
      <c r="C2" s="2142" t="s">
        <v>2074</v>
      </c>
      <c r="D2" s="2142" t="s">
        <v>2075</v>
      </c>
      <c r="E2" s="2608">
        <f ca="1">SUMIF(E6:E13,"&lt;&gt;#ref!",E6:E13)</f>
        <v>90.08</v>
      </c>
      <c r="F2" s="2789"/>
      <c r="G2" s="2789"/>
      <c r="H2" s="2789"/>
      <c r="I2" s="2789"/>
      <c r="J2" s="2789"/>
      <c r="K2" s="2789"/>
      <c r="L2" s="2789"/>
      <c r="M2" s="2789"/>
      <c r="N2" s="2789"/>
      <c r="O2" s="2789"/>
      <c r="P2" s="2789"/>
    </row>
    <row r="3" spans="1:16" ht="15.75">
      <c r="A3" s="2142" t="s">
        <v>2076</v>
      </c>
      <c r="B3" s="2598">
        <f ca="1">ROUND(B2*10000/E2,0)</f>
        <v>12766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115</v>
      </c>
      <c r="C6" s="2142" t="s">
        <v>2074</v>
      </c>
      <c r="D6" s="2789"/>
      <c r="E6" s="2608">
        <f ca="1">SUMIF(INDIRECT("'"&amp;A6&amp;"'"&amp;"!C:C"),"建筑面积",INDIRECT("'"&amp;A6&amp;"'"&amp;"!D:D"))</f>
        <v>90.08</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193.75980000000001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21510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1200840</v>
      </c>
      <c r="D5" s="211" t="s">
        <v>1469</v>
      </c>
      <c r="E5" s="212" t="s">
        <v>1470</v>
      </c>
      <c r="F5" s="212" t="s">
        <v>1471</v>
      </c>
      <c r="G5" s="213"/>
    </row>
    <row r="6" spans="1:8" s="214" customFormat="1" ht="13.5" customHeight="1">
      <c r="A6" s="778" t="s">
        <v>1472</v>
      </c>
      <c r="B6" s="215" t="s">
        <v>1473</v>
      </c>
      <c r="C6" s="216">
        <f>ROUND(基准地价修正!C33*基准地价修正!D33,0)</f>
        <v>1151312</v>
      </c>
      <c r="D6" s="217"/>
      <c r="E6" s="218"/>
      <c r="F6" s="218"/>
      <c r="G6" s="219"/>
    </row>
    <row r="7" spans="1:8" s="214" customFormat="1" ht="13.5" customHeight="1">
      <c r="A7" s="778" t="s">
        <v>1474</v>
      </c>
      <c r="B7" s="215" t="s">
        <v>1475</v>
      </c>
      <c r="C7" s="220">
        <f>ROUND(C6*F7,0)</f>
        <v>35115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v>
      </c>
      <c r="D8" s="222"/>
      <c r="E8" s="220"/>
      <c r="F8" s="221"/>
      <c r="G8" s="1856" t="s">
        <v>3426</v>
      </c>
    </row>
    <row r="9" spans="1:8" s="214" customFormat="1" ht="13.5" customHeight="1">
      <c r="A9" s="779" t="s">
        <v>355</v>
      </c>
      <c r="B9" s="224" t="s">
        <v>1478</v>
      </c>
      <c r="C9" s="225">
        <f ca="1">ROUND(D9*E9,0)</f>
        <v>14413</v>
      </c>
      <c r="D9" s="845">
        <f ca="1">IF(B1="",'数据-汇总表'!E5,IF(INDIRECT("'数据-取费表'!c"&amp;$G$1)="住宅",INDIRECT("'数据-取费表'!k"&amp;$G$1),0))</f>
        <v>90.08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90.08</v>
      </c>
      <c r="E19" s="211">
        <f>'数据-取费表'!B31</f>
        <v>200</v>
      </c>
      <c r="F19" s="231"/>
      <c r="G19" s="1856" t="s">
        <v>3427</v>
      </c>
    </row>
    <row r="20" spans="1:7" s="214" customFormat="1" ht="13.5" customHeight="1">
      <c r="A20" s="255" t="s">
        <v>1574</v>
      </c>
      <c r="B20" s="210" t="s">
        <v>1575</v>
      </c>
      <c r="C20" s="232">
        <f ca="1">ROUND((C5+C19)*F20,0)</f>
        <v>12008</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117359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242570</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ROUND((C5+C19+C20)*F27,0)</f>
        <v>242570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1681935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308524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270240</v>
      </c>
      <c r="D34" s="217"/>
      <c r="E34" s="220"/>
      <c r="F34" s="257"/>
      <c r="G34" s="219"/>
    </row>
    <row r="35" spans="1:7" ht="13.5" customHeight="1">
      <c r="A35" s="780" t="s">
        <v>351</v>
      </c>
      <c r="B35" s="215" t="s">
        <v>1527</v>
      </c>
      <c r="C35" s="220">
        <f ca="1">ROUND(C34*F35,0)</f>
        <v>8107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8107</v>
      </c>
      <c r="D36" s="220"/>
      <c r="E36" s="220"/>
      <c r="F36" s="259">
        <f>'数据-取费表'!B34</f>
        <v>0.03</v>
      </c>
      <c r="G36" s="260" t="s">
        <v>1530</v>
      </c>
    </row>
    <row r="37" spans="1:7" s="258" customFormat="1" ht="13.5" customHeight="1">
      <c r="A37" s="780" t="s">
        <v>353</v>
      </c>
      <c r="B37" s="215" t="s">
        <v>1531</v>
      </c>
      <c r="C37" s="249">
        <f ca="1">ROUND(E37*D37,0)</f>
        <v>18016</v>
      </c>
      <c r="D37" s="217">
        <f ca="1">D19</f>
        <v>90.08</v>
      </c>
      <c r="E37" s="249">
        <f>'数据-取费表'!B35</f>
        <v>200</v>
      </c>
      <c r="F37" s="259"/>
      <c r="G37" s="261"/>
    </row>
    <row r="38" spans="1:7" ht="13.5" customHeight="1">
      <c r="A38" s="780" t="s">
        <v>354</v>
      </c>
      <c r="B38" s="215" t="s">
        <v>1533</v>
      </c>
      <c r="C38" s="220">
        <f ca="1">ROUND(C34*F38,0)</f>
        <v>4054</v>
      </c>
      <c r="D38" s="220"/>
      <c r="E38" s="220"/>
      <c r="F38" s="259">
        <f>'数据-取费表'!B36</f>
        <v>1.4999999999999999E-2</v>
      </c>
      <c r="G38" s="219" t="s">
        <v>1528</v>
      </c>
    </row>
    <row r="39" spans="1:7" s="214" customFormat="1" ht="13.5" customHeight="1">
      <c r="A39" s="255" t="s">
        <v>1534</v>
      </c>
      <c r="B39" s="210" t="s">
        <v>1535</v>
      </c>
      <c r="C39" s="232">
        <f ca="1">ROUND(C33*F20,0)</f>
        <v>3085</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14802</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14655</v>
      </c>
      <c r="D42" s="238"/>
      <c r="E42" s="238"/>
      <c r="F42" s="239"/>
      <c r="G42" s="3636" t="s">
        <v>1591</v>
      </c>
    </row>
    <row r="43" spans="1:7" ht="13.5" customHeight="1">
      <c r="A43" s="780" t="s">
        <v>347</v>
      </c>
      <c r="B43" s="215" t="s">
        <v>1545</v>
      </c>
      <c r="C43" s="238">
        <f ca="1">ROUND(IF('数据-取费表'!B22&lt;=1,C39*F22*'数据-取费表'!B20/2,C39*(POWER((1+F22),'数据-取费表'!B20/2)-1)),0)</f>
        <v>147</v>
      </c>
      <c r="D43" s="238"/>
      <c r="E43" s="238"/>
      <c r="F43" s="239"/>
      <c r="G43" s="3637"/>
    </row>
    <row r="44" spans="1:7" ht="13.5" customHeight="1">
      <c r="A44" s="780" t="s">
        <v>348</v>
      </c>
      <c r="B44" s="215" t="s">
        <v>1546</v>
      </c>
      <c r="C44" s="238">
        <f ca="1">ROUND(IF('数据-取费表'!B22&lt;=1,C40*F22*'数据-取费表'!B20/2,C40*(POWER((1+F22),'数据-取费表'!B20/2)-1)),4)</f>
        <v>5.0000000000000001E-4</v>
      </c>
      <c r="D44" s="238"/>
      <c r="E44" s="238"/>
      <c r="F44" s="239"/>
      <c r="G44" s="3638"/>
    </row>
    <row r="45" spans="1:7" s="214" customFormat="1" ht="13.5" customHeight="1">
      <c r="A45" s="255" t="s">
        <v>1547</v>
      </c>
      <c r="B45" s="244" t="s">
        <v>1513</v>
      </c>
      <c r="C45" s="245">
        <f ca="1">C46</f>
        <v>62322</v>
      </c>
      <c r="D45" s="235">
        <f ca="1">C47</f>
        <v>2E-3</v>
      </c>
      <c r="E45" s="236" t="s">
        <v>1539</v>
      </c>
      <c r="F45" s="246">
        <f ca="1">F27</f>
        <v>0.2</v>
      </c>
      <c r="G45" s="247" t="s">
        <v>1548</v>
      </c>
    </row>
    <row r="46" spans="1:7" s="214" customFormat="1" ht="13.5" customHeight="1">
      <c r="A46" s="780" t="s">
        <v>346</v>
      </c>
      <c r="B46" s="248" t="s">
        <v>1549</v>
      </c>
      <c r="C46" s="249">
        <f ca="1">ROUND((C33+C39)*F27,0)</f>
        <v>62322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415713</v>
      </c>
      <c r="D49" s="232"/>
      <c r="E49" s="232"/>
      <c r="F49" s="264"/>
      <c r="G49" s="234" t="s">
        <v>1554</v>
      </c>
    </row>
    <row r="50" spans="1:7" s="258" customFormat="1">
      <c r="A50" s="255" t="s">
        <v>1555</v>
      </c>
      <c r="B50" s="210" t="s">
        <v>1556</v>
      </c>
      <c r="C50" s="232"/>
      <c r="D50" s="232"/>
      <c r="E50" s="232"/>
      <c r="F50" s="264">
        <f>IF('数据-取费表'!B24=0,'数据-取费表'!N16,1)</f>
        <v>0.61499999999999999</v>
      </c>
      <c r="G50" s="247"/>
    </row>
    <row r="51" spans="1:7" ht="16.5" customHeight="1">
      <c r="A51" s="255" t="s">
        <v>1558</v>
      </c>
      <c r="B51" s="210" t="s">
        <v>1593</v>
      </c>
      <c r="C51" s="232">
        <f ca="1">ROUND(C49*F50,0)</f>
        <v>255663</v>
      </c>
      <c r="D51" s="232"/>
      <c r="E51" s="232"/>
      <c r="F51" s="264"/>
      <c r="G51" s="234" t="s">
        <v>1560</v>
      </c>
    </row>
    <row r="52" spans="1:7" s="208" customFormat="1" ht="16.5" thickBot="1">
      <c r="A52" s="265" t="s">
        <v>1561</v>
      </c>
      <c r="B52" s="266"/>
      <c r="C52" s="267">
        <f ca="1">C31+C51</f>
        <v>1937598</v>
      </c>
      <c r="D52" s="266"/>
      <c r="E52" s="266"/>
      <c r="F52" s="266"/>
      <c r="G52" s="268"/>
    </row>
    <row r="55" spans="1:7" ht="15">
      <c r="B55" s="270" t="s">
        <v>1562</v>
      </c>
      <c r="C55" s="271"/>
    </row>
    <row r="56" spans="1:7">
      <c r="B56" s="273" t="s">
        <v>802</v>
      </c>
      <c r="C56" s="275">
        <f ca="1">1-C57</f>
        <v>0.86799999999999999</v>
      </c>
    </row>
    <row r="57" spans="1:7">
      <c r="B57" s="273" t="s">
        <v>803</v>
      </c>
      <c r="C57" s="274">
        <f ca="1">ROUND(C51/C52,3)</f>
        <v>0.13200000000000001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90" zoomScaleNormal="80" zoomScaleSheetLayoutView="90" workbookViewId="0">
      <selection activeCell="C72" sqref="C72:D8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90.08</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115</v>
      </c>
      <c r="C2" s="1996" t="s">
        <v>1935</v>
      </c>
      <c r="D2" s="1997" t="s">
        <v>1936</v>
      </c>
      <c r="E2" s="3418" t="s">
        <v>3382</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Ⅶ-房1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16541</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12766</v>
      </c>
      <c r="C3" s="1996" t="s">
        <v>1941</v>
      </c>
      <c r="D3" s="1997" t="s">
        <v>1942</v>
      </c>
      <c r="E3" s="3416" t="s">
        <v>3392</v>
      </c>
      <c r="F3" s="2001" t="s">
        <v>3393</v>
      </c>
      <c r="G3" s="752">
        <f>IF(F3="宗地容积率",'数据-汇总表'!I4,IF(F3="估价对象容积率",'数据-汇总表'!I6,'数据-汇总表'!I7))</f>
        <v>1.3</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13037</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11019</v>
      </c>
      <c r="U4" s="1213"/>
      <c r="V4" s="3357">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10930</v>
      </c>
      <c r="D5" s="1339">
        <f>ROUND(C6*C17+C20,0)</f>
        <v>10930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9718</v>
      </c>
      <c r="U5" s="1213"/>
      <c r="V5" s="3357">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10930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9339</v>
      </c>
      <c r="U6" s="1213"/>
      <c r="V6" s="3357">
        <f t="shared" si="1"/>
        <v>0</v>
      </c>
      <c r="W6" s="1216"/>
      <c r="X6" s="1216"/>
      <c r="Y6" s="1216"/>
      <c r="Z6" s="1216"/>
      <c r="AA6" s="1216"/>
      <c r="AB6" s="1216"/>
      <c r="AC6" s="2008"/>
      <c r="AD6" s="2009"/>
      <c r="AE6" s="2009"/>
      <c r="AF6" s="2009"/>
      <c r="AG6" s="2009"/>
      <c r="AH6" s="2009"/>
      <c r="AI6" s="2009"/>
      <c r="AJ6" s="2010"/>
    </row>
    <row r="7" spans="1:36" ht="24.75" thickBot="1">
      <c r="A7" s="3300" t="s">
        <v>3240</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10930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1.3</v>
      </c>
      <c r="AA7" s="1216"/>
      <c r="AB7" s="1216"/>
      <c r="AC7" s="1217"/>
      <c r="AD7" s="1218"/>
      <c r="AE7" s="1218"/>
      <c r="AF7" s="1218"/>
      <c r="AG7" s="1218"/>
      <c r="AH7" s="1218"/>
      <c r="AI7" s="1218"/>
      <c r="AJ7" s="1219"/>
    </row>
    <row r="8" spans="1:36" ht="25.5">
      <c r="A8" s="3295"/>
      <c r="B8" s="170" t="s">
        <v>1957</v>
      </c>
      <c r="C8" s="2023" t="s">
        <v>3394</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48"/>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4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3245</v>
      </c>
      <c r="B13" s="2031" t="s">
        <v>1982</v>
      </c>
      <c r="C13" s="755">
        <f>ROUND(C16*D16*E16*F16*G16*H16*I16*J16,4)</f>
        <v>1</v>
      </c>
      <c r="D13" s="2032" t="s">
        <v>1983</v>
      </c>
      <c r="E13" s="2033"/>
      <c r="F13" s="2033"/>
      <c r="G13" s="2034"/>
      <c r="H13" s="2034"/>
      <c r="I13" s="2034"/>
      <c r="J13" s="2035"/>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37" t="s">
        <v>1985</v>
      </c>
      <c r="C14" s="2038"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39"/>
      <c r="C15" s="2040" t="s">
        <v>3396</v>
      </c>
      <c r="D15" s="2041" t="s">
        <v>3396</v>
      </c>
      <c r="E15" s="2042" t="s">
        <v>3395</v>
      </c>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v>1</v>
      </c>
      <c r="D16" s="3314">
        <v>1</v>
      </c>
      <c r="E16" s="3314">
        <v>1</v>
      </c>
      <c r="F16" s="3314">
        <v>1</v>
      </c>
      <c r="G16" s="3314">
        <v>1</v>
      </c>
      <c r="H16" s="3314">
        <v>1</v>
      </c>
      <c r="I16" s="3314">
        <v>1</v>
      </c>
      <c r="J16" s="3315">
        <v>1</v>
      </c>
      <c r="K16" s="1119"/>
      <c r="L16" s="1994"/>
      <c r="M16" s="1994"/>
      <c r="N16" s="1994"/>
      <c r="O16" s="1994"/>
      <c r="P16" s="1994"/>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0.96709999999999996</v>
      </c>
      <c r="J18" s="333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4"/>
    </row>
    <row r="19" spans="1:37" s="2011" customFormat="1" ht="15" thickBot="1">
      <c r="A19" s="3331"/>
      <c r="B19" s="3332"/>
      <c r="C19" s="3333"/>
      <c r="D19" s="3333" t="s">
        <v>3252</v>
      </c>
      <c r="E19" s="3334"/>
      <c r="F19" s="3335" t="s">
        <v>3255</v>
      </c>
      <c r="G19" s="3334"/>
      <c r="H19" s="3333"/>
      <c r="I19" s="3333"/>
      <c r="J19" s="333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7"/>
      <c r="AH19" s="2138"/>
      <c r="AI19" s="2788"/>
      <c r="AJ19" s="2788"/>
      <c r="AK19" s="2054"/>
    </row>
    <row r="20" spans="1:37" s="2011" customFormat="1" ht="14.25">
      <c r="A20" s="3753" t="s">
        <v>3257</v>
      </c>
      <c r="B20" s="167" t="s">
        <v>1994</v>
      </c>
      <c r="C20" s="3321">
        <f>ROUND(IF(F21="与级别开发程度一致",0,(G21-E21)/C21),0)</f>
        <v>0</v>
      </c>
      <c r="D20" s="3337" t="s">
        <v>1998</v>
      </c>
      <c r="E20" s="3338"/>
      <c r="F20" s="3759" t="s">
        <v>1995</v>
      </c>
      <c r="G20" s="3760"/>
      <c r="H20" s="3322"/>
      <c r="I20" s="3322"/>
      <c r="J20" s="3323"/>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1" customFormat="1" ht="26.25" thickBot="1">
      <c r="A21" s="3754"/>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3397</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1" t="s">
        <v>2002</v>
      </c>
      <c r="E23" s="761">
        <v>44197</v>
      </c>
      <c r="F23" s="2051" t="s">
        <v>2003</v>
      </c>
      <c r="G23" s="762">
        <f>'数据-取费表'!B2</f>
        <v>45189</v>
      </c>
      <c r="H23" s="3339" t="s">
        <v>3258</v>
      </c>
      <c r="I23" s="3340" t="str">
        <f>IF(H23="季度增幅（自定义）",SUMIF(N25:N28,E2,O25:O28),"")</f>
        <v/>
      </c>
      <c r="J23" s="3442" t="s">
        <v>3420</v>
      </c>
      <c r="K23" s="1125"/>
      <c r="L23" s="2052" t="s">
        <v>2004</v>
      </c>
      <c r="M23" s="1328">
        <f>ROUND(SUMIF(地价!B2:G2,E2,地价!B16:G16),0)</f>
        <v>687</v>
      </c>
      <c r="N23" s="2053"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0.91320000000000001</v>
      </c>
      <c r="D24" s="2057" t="s">
        <v>2007</v>
      </c>
      <c r="E24" s="1335">
        <f>存贷款利率!E22/100</f>
        <v>4.3499999999999997E-2</v>
      </c>
      <c r="F24" s="2057" t="s">
        <v>1999</v>
      </c>
      <c r="G24" s="768">
        <f>SUMIF(M30:Q30,E2,M33:Q33)</f>
        <v>0.05</v>
      </c>
      <c r="H24" s="2057" t="s">
        <v>2008</v>
      </c>
      <c r="I24" s="769">
        <f>SUMIF('数据-取费表'!C6:C15,E2,'数据-取费表'!F6:F15)/COUNTIF('数据-取费表'!C6:C15,E2)</f>
        <v>44</v>
      </c>
      <c r="J24" s="770">
        <f>IF(E2="住宅",70,IF(E2="商业",40,50))</f>
        <v>70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2" t="s">
        <v>366</v>
      </c>
      <c r="B25" s="2063" t="s">
        <v>3337</v>
      </c>
      <c r="C25" s="771">
        <f>IF(B25="容积率修正",IF(G3&lt;10,D26,J26),C27)</f>
        <v>1.1605000000000001</v>
      </c>
      <c r="D25" s="2064"/>
      <c r="E25" s="2064"/>
      <c r="F25" s="2064"/>
      <c r="G25" s="2064"/>
      <c r="H25" s="2064"/>
      <c r="I25" s="2064"/>
      <c r="J25" s="2065"/>
      <c r="K25" s="1125"/>
      <c r="L25" s="2784"/>
      <c r="M25" s="2784"/>
      <c r="N25" s="2066"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1" t="s">
        <v>3259</v>
      </c>
      <c r="D26" s="1352">
        <f>IF(E26=G26,F26,IF(G3&lt;10,ROUND(F26+(H26-F26)*(G3-E26)/(G26-E26),4),"——"))</f>
        <v>1.1605000000000001</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1.1605000000000001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41" t="s">
        <v>3260</v>
      </c>
      <c r="J26" s="772" t="str">
        <f>IF(G3&gt;=10,D115,"——")</f>
        <v>——</v>
      </c>
      <c r="K26" s="1125"/>
      <c r="L26" s="2784"/>
      <c r="M26" s="2784"/>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1.0343</v>
      </c>
      <c r="D28" s="2049"/>
      <c r="E28" s="2074"/>
      <c r="F28" s="2074"/>
      <c r="G28" s="2074"/>
      <c r="H28" s="2074"/>
      <c r="I28" s="2074"/>
      <c r="J28" s="2075"/>
      <c r="K28" s="1125"/>
      <c r="L28" s="2784"/>
      <c r="M28" s="2784"/>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115</v>
      </c>
      <c r="D30" s="2080"/>
      <c r="E30" s="2043"/>
      <c r="F30" s="2081"/>
      <c r="G30" s="2043"/>
      <c r="H30" s="2043"/>
      <c r="I30" s="2043"/>
      <c r="J30" s="2082"/>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9" t="s">
        <v>1996</v>
      </c>
      <c r="M31" s="1997">
        <v>0.25</v>
      </c>
      <c r="N31" s="1997">
        <v>0.2</v>
      </c>
      <c r="O31" s="1997">
        <v>0.15</v>
      </c>
      <c r="P31" s="1997">
        <v>0.1</v>
      </c>
      <c r="Q31" s="334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12781</v>
      </c>
      <c r="D33" s="2095">
        <f>'数据-汇总表'!F19</f>
        <v>90.08</v>
      </c>
      <c r="E33" s="773">
        <f>ROUND(C33*D33/10000,0)</f>
        <v>115</v>
      </c>
      <c r="F33" s="3342" t="s">
        <v>3262</v>
      </c>
      <c r="G33" s="2096"/>
      <c r="H33" s="2096"/>
      <c r="I33" s="2096"/>
      <c r="J33" s="2097"/>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3195</v>
      </c>
      <c r="D34" s="2100"/>
      <c r="E34" s="773">
        <f>ROUND(IF(B25="楼层修正",SUM(V2:V16)*M40,C34*D34/10000),0)</f>
        <v>0</v>
      </c>
      <c r="F34" s="2101" t="s">
        <v>2032</v>
      </c>
      <c r="G34" s="2102"/>
      <c r="H34" s="2102"/>
      <c r="I34" s="2102"/>
      <c r="J34" s="2103"/>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3" t="s">
        <v>3263</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3267</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57"/>
      <c r="B37" s="2110" t="s">
        <v>2036</v>
      </c>
      <c r="C37" s="175">
        <f>ROUND(D5*C22*C23*C24*C28*F37,0)</f>
        <v>6608</v>
      </c>
      <c r="D37" s="2095"/>
      <c r="E37" s="171">
        <f>ROUND(C37*D37/10000,0)</f>
        <v>0</v>
      </c>
      <c r="F37" s="171">
        <f>SUMIF(修正!A57:A68,G2,修正!B57:B68)</f>
        <v>0.6</v>
      </c>
      <c r="G37" s="171">
        <f>ROUND(IF(E2="工业",C37*$M$42,C37*$M$41),0)</f>
        <v>1652</v>
      </c>
      <c r="H37" s="171">
        <f>D37</f>
        <v>0</v>
      </c>
      <c r="I37" s="171">
        <f>ROUND(G37*H37/10000,0)</f>
        <v>0</v>
      </c>
      <c r="J37" s="3008"/>
      <c r="K37" s="3355" t="s">
        <v>3268</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58"/>
      <c r="B38" s="2038" t="s">
        <v>2037</v>
      </c>
      <c r="C38" s="175">
        <f>ROUND(D5*C22*C23*C24*C28*F38,0)</f>
        <v>3304</v>
      </c>
      <c r="D38" s="2095"/>
      <c r="E38" s="171">
        <f t="shared" ref="E38:E42" si="4">ROUND(C38*D38/10000,0)</f>
        <v>0</v>
      </c>
      <c r="F38" s="171">
        <f>SUMIF(修正!A57:A68,G2,修正!C57:C68)</f>
        <v>0.3</v>
      </c>
      <c r="G38" s="171">
        <f>ROUND(IF(E2="工业",C38*$M$42,C38*$M$41),0)</f>
        <v>826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8"/>
      <c r="B39" s="2038" t="s">
        <v>3261</v>
      </c>
      <c r="C39" s="175">
        <f>ROUND(D5*C22*C23*C24*C28*F39,0)</f>
        <v>2753</v>
      </c>
      <c r="D39" s="2095"/>
      <c r="E39" s="171">
        <f t="shared" si="4"/>
        <v>0</v>
      </c>
      <c r="F39" s="171">
        <f>SUMIF(修正!A57:A68,G2,修正!D57:D68)</f>
        <v>0.25</v>
      </c>
      <c r="G39" s="171">
        <f>ROUND(IF(E2="工业",C39*$M$42,C39*$M$41),0)</f>
        <v>688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2753</v>
      </c>
      <c r="D40" s="2095"/>
      <c r="E40" s="171">
        <f t="shared" si="4"/>
        <v>0</v>
      </c>
      <c r="F40" s="175">
        <f>SUMIF(修正!A57:A68,G2,修正!E57:E68)</f>
        <v>0.25</v>
      </c>
      <c r="G40" s="171">
        <f>ROUND(IF(E2="工业",C40*$M$42,C40*$M$41),0)</f>
        <v>688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3269</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7" t="s">
        <v>2053</v>
      </c>
      <c r="B51" s="2131" t="str">
        <f>估价对象房地状况!C18</f>
        <v>周边有F2、F13、F36、F41、616、833路等多条公交线路经过并设站，距离地铁房山线良乡南关约2公里，交通较便捷。</v>
      </c>
      <c r="C51" s="2041"/>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3271</v>
      </c>
      <c r="B52" s="2131">
        <f>估价对象房地状况!C19</f>
        <v>0</v>
      </c>
      <c r="C52" s="2041"/>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4" t="s">
        <v>2059</v>
      </c>
      <c r="B5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56" s="2041"/>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4" t="s">
        <v>2060</v>
      </c>
      <c r="B57" s="2131" t="str">
        <f>估价对象房地状况!C22</f>
        <v>估价对象所在区域基础设施水平</v>
      </c>
      <c r="C57" s="2041"/>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5" t="s">
        <v>2061</v>
      </c>
      <c r="B58" s="2136" t="str">
        <f>估价对象房地状况!C20</f>
        <v>估价对象周边有刺猬河、北潞园健身公园、房山区良乡体育中心等自然人文景观，总体自然人文环境较好。</v>
      </c>
      <c r="C58" s="2041"/>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7" t="s">
        <v>2053</v>
      </c>
      <c r="B62" s="2131" t="str">
        <f>估价对象房地状况!C18</f>
        <v>周边有F2、F13、F36、F41、616、833路等多条公交线路经过并设站，距离地铁房山线良乡南关约2公里，交通较便捷。</v>
      </c>
      <c r="C62" s="2041"/>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3271</v>
      </c>
      <c r="B63" s="2131">
        <f>估价对象房地状况!C19</f>
        <v>0</v>
      </c>
      <c r="C63" s="2041"/>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2054</v>
      </c>
      <c r="B64" s="2132" t="s">
        <v>2055</v>
      </c>
      <c r="C64" s="2041"/>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2056</v>
      </c>
      <c r="B65" s="2131">
        <f>估价对象房地状况!C24</f>
        <v>0</v>
      </c>
      <c r="C65" s="2041"/>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2057</v>
      </c>
      <c r="B66" s="2133" t="s">
        <v>2058</v>
      </c>
      <c r="C66" s="2041"/>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7" t="s">
        <v>2059</v>
      </c>
      <c r="B67"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67" s="2041"/>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7" t="s">
        <v>2060</v>
      </c>
      <c r="B68" s="1326" t="str">
        <f>估价对象房地状况!C22</f>
        <v>估价对象所在区域基础设施水平</v>
      </c>
      <c r="C68" s="2041"/>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5" t="s">
        <v>2061</v>
      </c>
      <c r="B69" s="2137" t="str">
        <f>估价对象房地状况!C20</f>
        <v>估价对象周边有刺猬河、北潞园健身公园、房山区良乡体育中心等自然人文景观，总体自然人文环境较好。</v>
      </c>
      <c r="C69" s="2041"/>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1.0343</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周边有西潞园小区、北潞园小区、拱辰星园等住宅项目，住宅社区成熟度一般。</v>
      </c>
      <c r="C72" s="2041" t="s">
        <v>3401</v>
      </c>
      <c r="D72" s="1065">
        <f t="shared" ref="D72:D80" si="17">SUMIF($J$71:$N$71,C72,J72:N72)</f>
        <v>0</v>
      </c>
      <c r="E72" s="744">
        <f>ROUND(SUM(D72:D80),4)</f>
        <v>3.4299999999999997E-2</v>
      </c>
      <c r="F72" s="1814">
        <f>IF(E2="住宅",SUMIF(L1:L12,G2,N1:N12),"——")</f>
        <v>0.13</v>
      </c>
      <c r="G72" s="1063">
        <v>1.2999999999999999E-2</v>
      </c>
      <c r="H72" s="1066">
        <f t="shared" ref="H72:H80" si="18">IFERROR(ROUNDDOWN($F$72*I72/2,4),"——")</f>
        <v>1.2999999999999999E-2</v>
      </c>
      <c r="I72" s="3363">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63.75">
      <c r="A73" s="2127" t="s">
        <v>2053</v>
      </c>
      <c r="B73" s="2131" t="str">
        <f>估价对象房地状况!C18</f>
        <v>周边有F2、F13、F36、F41、616、833路等多条公交线路经过并设站，距离地铁房山线良乡南关约2公里，交通较便捷。</v>
      </c>
      <c r="C73" s="3808" t="s">
        <v>3401</v>
      </c>
      <c r="D73" s="1065">
        <f t="shared" si="17"/>
        <v>0</v>
      </c>
      <c r="E73" s="747"/>
      <c r="F73" s="1814"/>
      <c r="G73" s="1063">
        <v>1.6899999999999998E-2</v>
      </c>
      <c r="H73" s="1066">
        <f t="shared" si="18"/>
        <v>1.6899999999999998E-2</v>
      </c>
      <c r="I73" s="3363">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4" customFormat="1" ht="36">
      <c r="A74" s="3365" t="s">
        <v>3271</v>
      </c>
      <c r="B74" s="2131">
        <f>估价对象房地状况!C19</f>
        <v>0</v>
      </c>
      <c r="C74" s="2041" t="s">
        <v>3400</v>
      </c>
      <c r="D74" s="1065">
        <f t="shared" si="17"/>
        <v>6.4999999999999997E-3</v>
      </c>
      <c r="E74" s="747"/>
      <c r="F74" s="1814"/>
      <c r="G74" s="1063">
        <v>6.4999999999999997E-3</v>
      </c>
      <c r="H74" s="1066">
        <f t="shared" si="18"/>
        <v>6.4999999999999997E-3</v>
      </c>
      <c r="I74" s="3363">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t="s">
        <v>3401</v>
      </c>
      <c r="D75" s="1065">
        <f t="shared" si="17"/>
        <v>0</v>
      </c>
      <c r="E75" s="747"/>
      <c r="F75" s="1814"/>
      <c r="G75" s="1063">
        <v>3.2000000000000002E-3</v>
      </c>
      <c r="H75" s="1066">
        <f t="shared" si="18"/>
        <v>3.2000000000000002E-3</v>
      </c>
      <c r="I75" s="3363">
        <v>0.05</v>
      </c>
      <c r="J75" s="1064">
        <f t="shared" si="19"/>
        <v>6.4000000000000003E-3</v>
      </c>
      <c r="K75" s="1064">
        <f t="shared" si="20"/>
        <v>3.2000000000000002E-3</v>
      </c>
      <c r="L75" s="1064">
        <v>0</v>
      </c>
      <c r="M75" s="1064">
        <f t="shared" si="21"/>
        <v>-3.2000000000000002E-3</v>
      </c>
      <c r="N75" s="1064">
        <f t="shared" si="21"/>
        <v>-6.4000000000000003E-3</v>
      </c>
      <c r="O75" s="1119"/>
      <c r="P75" s="1119"/>
      <c r="Q75" s="1994"/>
      <c r="Z75" s="1995"/>
      <c r="AA75" s="2050"/>
      <c r="AG75" s="1121"/>
      <c r="AK75" s="2050"/>
    </row>
    <row r="76" spans="1:37" ht="25.5">
      <c r="A76" s="2127" t="s">
        <v>2059</v>
      </c>
      <c r="B7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76" s="2041" t="s">
        <v>3400</v>
      </c>
      <c r="D76" s="1065">
        <f t="shared" si="17"/>
        <v>5.1999999999999998E-3</v>
      </c>
      <c r="E76" s="747"/>
      <c r="F76" s="1814"/>
      <c r="G76" s="1063">
        <v>5.1999999999999998E-3</v>
      </c>
      <c r="H76" s="1066">
        <f t="shared" si="18"/>
        <v>5.1999999999999998E-3</v>
      </c>
      <c r="I76" s="3363">
        <v>0.08</v>
      </c>
      <c r="J76" s="1064">
        <f t="shared" si="19"/>
        <v>1.04E-2</v>
      </c>
      <c r="K76" s="1064">
        <f t="shared" si="20"/>
        <v>5.1999999999999998E-3</v>
      </c>
      <c r="L76" s="1064">
        <v>0</v>
      </c>
      <c r="M76" s="1064">
        <f t="shared" si="21"/>
        <v>-5.1999999999999998E-3</v>
      </c>
      <c r="N76" s="1064">
        <f t="shared" si="21"/>
        <v>-1.04E-2</v>
      </c>
      <c r="O76" s="1119"/>
      <c r="P76" s="1119"/>
      <c r="Z76" s="1995"/>
      <c r="AA76" s="2050"/>
      <c r="AG76" s="1121"/>
      <c r="AK76" s="2050"/>
    </row>
    <row r="77" spans="1:37" ht="25.5">
      <c r="A77" s="2127" t="s">
        <v>2060</v>
      </c>
      <c r="B77" s="1326" t="str">
        <f>估价对象房地状况!C22</f>
        <v>估价对象所在区域基础设施水平</v>
      </c>
      <c r="C77" s="2041" t="s">
        <v>3402</v>
      </c>
      <c r="D77" s="1065">
        <f t="shared" si="17"/>
        <v>1.1599999999999999E-2</v>
      </c>
      <c r="E77" s="747"/>
      <c r="F77" s="1814"/>
      <c r="G77" s="1063">
        <v>5.7999999999999996E-3</v>
      </c>
      <c r="H77" s="1066">
        <f t="shared" si="18"/>
        <v>5.7999999999999996E-3</v>
      </c>
      <c r="I77" s="3363">
        <v>0.09</v>
      </c>
      <c r="J77" s="1064">
        <f t="shared" si="19"/>
        <v>1.1599999999999999E-2</v>
      </c>
      <c r="K77" s="1064">
        <f t="shared" si="20"/>
        <v>5.7999999999999996E-3</v>
      </c>
      <c r="L77" s="1064">
        <v>0</v>
      </c>
      <c r="M77" s="1064">
        <f t="shared" si="21"/>
        <v>-5.7999999999999996E-3</v>
      </c>
      <c r="N77" s="1064">
        <f t="shared" si="21"/>
        <v>-1.1599999999999999E-2</v>
      </c>
      <c r="O77" s="1119"/>
      <c r="P77" s="1119"/>
      <c r="Z77" s="1995"/>
      <c r="AA77" s="2050"/>
      <c r="AG77" s="1121"/>
      <c r="AK77" s="2050"/>
    </row>
    <row r="78" spans="1:37" ht="24">
      <c r="A78" s="2127" t="s">
        <v>2057</v>
      </c>
      <c r="B78" s="2133" t="s">
        <v>2058</v>
      </c>
      <c r="C78" s="2041" t="s">
        <v>3400</v>
      </c>
      <c r="D78" s="1065">
        <f t="shared" si="17"/>
        <v>3.2000000000000002E-3</v>
      </c>
      <c r="E78" s="747"/>
      <c r="F78" s="1814"/>
      <c r="G78" s="1063">
        <v>3.2000000000000002E-3</v>
      </c>
      <c r="H78" s="1066">
        <f t="shared" si="18"/>
        <v>3.2000000000000002E-3</v>
      </c>
      <c r="I78" s="3363">
        <v>0.05</v>
      </c>
      <c r="J78" s="1064">
        <f t="shared" si="19"/>
        <v>6.4000000000000003E-3</v>
      </c>
      <c r="K78" s="1064">
        <f t="shared" si="20"/>
        <v>3.2000000000000002E-3</v>
      </c>
      <c r="L78" s="1064">
        <v>0</v>
      </c>
      <c r="M78" s="1064">
        <f t="shared" si="21"/>
        <v>-3.2000000000000002E-3</v>
      </c>
      <c r="N78" s="1064">
        <f t="shared" si="21"/>
        <v>-6.4000000000000003E-3</v>
      </c>
      <c r="O78" s="1994"/>
      <c r="P78" s="1994"/>
      <c r="Z78" s="1995"/>
      <c r="AA78" s="2050"/>
      <c r="AG78" s="1121"/>
      <c r="AK78" s="2050"/>
    </row>
    <row r="79" spans="1:37" ht="25.5">
      <c r="A79" s="2127" t="s">
        <v>2061</v>
      </c>
      <c r="B79" s="2130" t="str">
        <f>估价对象房地状况!C20</f>
        <v>估价对象周边有刺猬河、北潞园健身公园、房山区良乡体育中心等自然人文景观，总体自然人文环境较好。</v>
      </c>
      <c r="C79" s="2041" t="s">
        <v>3400</v>
      </c>
      <c r="D79" s="1065">
        <f t="shared" si="17"/>
        <v>7.7999999999999996E-3</v>
      </c>
      <c r="E79" s="747"/>
      <c r="F79" s="1814"/>
      <c r="G79" s="1063">
        <v>7.7999999999999996E-3</v>
      </c>
      <c r="H79" s="1066">
        <f t="shared" si="18"/>
        <v>7.7999999999999996E-3</v>
      </c>
      <c r="I79" s="3363">
        <v>0.12</v>
      </c>
      <c r="J79" s="1064">
        <f t="shared" si="19"/>
        <v>1.5599999999999999E-2</v>
      </c>
      <c r="K79" s="1064">
        <f t="shared" si="20"/>
        <v>7.7999999999999996E-3</v>
      </c>
      <c r="L79" s="1064">
        <v>0</v>
      </c>
      <c r="M79" s="1064">
        <f t="shared" si="21"/>
        <v>-7.7999999999999996E-3</v>
      </c>
      <c r="N79" s="1064">
        <f t="shared" si="21"/>
        <v>-1.5599999999999999E-2</v>
      </c>
      <c r="Z79" s="1995"/>
      <c r="AA79" s="2050"/>
      <c r="AG79" s="1121"/>
      <c r="AK79" s="2050"/>
    </row>
    <row r="80" spans="1:37" ht="24.75" thickBot="1">
      <c r="A80" s="2135" t="s">
        <v>2068</v>
      </c>
      <c r="B80" s="2139"/>
      <c r="C80" s="2041" t="s">
        <v>3401</v>
      </c>
      <c r="D80" s="1065">
        <f t="shared" si="17"/>
        <v>0</v>
      </c>
      <c r="E80" s="748"/>
      <c r="F80" s="1814"/>
      <c r="G80" s="1063">
        <v>3.2000000000000002E-3</v>
      </c>
      <c r="H80" s="1066">
        <f t="shared" si="18"/>
        <v>3.2000000000000002E-3</v>
      </c>
      <c r="I80" s="3364">
        <v>0.05</v>
      </c>
      <c r="J80" s="1064">
        <f t="shared" si="19"/>
        <v>6.4000000000000003E-3</v>
      </c>
      <c r="K80" s="1064">
        <f t="shared" si="20"/>
        <v>3.2000000000000002E-3</v>
      </c>
      <c r="L80" s="1064">
        <v>0</v>
      </c>
      <c r="M80" s="1064">
        <f t="shared" si="21"/>
        <v>-3.2000000000000002E-3</v>
      </c>
      <c r="N80" s="1064">
        <f t="shared" si="21"/>
        <v>-6.4000000000000003E-3</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5"/>
      <c r="AA84" s="2050"/>
      <c r="AG84" s="1121"/>
      <c r="AK84" s="2050"/>
    </row>
    <row r="85" spans="1:37" ht="36">
      <c r="A85" s="3365" t="s">
        <v>3272</v>
      </c>
      <c r="B85" s="2131">
        <f>估价对象房地状况!G17</f>
        <v>0</v>
      </c>
      <c r="C85" s="2041"/>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1"/>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周边有F2、F13、F36、F41、616、833路等多条公交线路经过并设站，距离地铁房山线良乡南关约2公里，交通较便捷。</v>
      </c>
      <c r="C94" s="2041"/>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1"/>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1"/>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1"/>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1"/>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99" s="2041"/>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1"/>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估价对象周边有刺猬河、北潞园健身公园、房山区良乡体育中心等自然人文景观，总体自然人文环境较好。</v>
      </c>
      <c r="C101" s="2041"/>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5" t="s">
        <v>3296</v>
      </c>
      <c r="B103" s="3755"/>
      <c r="C103" s="3755"/>
      <c r="D103" s="3755"/>
      <c r="E103" s="3755"/>
      <c r="F103" s="3755"/>
      <c r="G103" s="3755"/>
      <c r="H103" s="3755"/>
      <c r="I103" s="3755"/>
      <c r="J103" s="3755"/>
      <c r="K103" s="3386"/>
      <c r="L103" s="3386"/>
      <c r="M103" s="3386"/>
      <c r="N103" s="3386"/>
    </row>
    <row r="104" spans="1:14">
      <c r="A104" s="3756" t="s">
        <v>3297</v>
      </c>
      <c r="B104" s="3756" t="s">
        <v>3298</v>
      </c>
      <c r="C104" s="3387" t="s">
        <v>3299</v>
      </c>
      <c r="D104" s="3388"/>
      <c r="E104" s="3388"/>
      <c r="F104" s="3388"/>
      <c r="G104" s="3388"/>
      <c r="H104" s="3388"/>
      <c r="I104" s="3388"/>
      <c r="J104" s="3389"/>
      <c r="K104" s="3390"/>
      <c r="L104" s="3390"/>
      <c r="M104" s="3390"/>
      <c r="N104" s="3390"/>
    </row>
    <row r="105" spans="1:14">
      <c r="A105" s="3756"/>
      <c r="B105" s="3756"/>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42"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3"/>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5" t="s">
        <v>3313</v>
      </c>
      <c r="B113" s="3745"/>
      <c r="C113" s="3745"/>
      <c r="D113" s="3745"/>
      <c r="E113" s="3745"/>
      <c r="F113" s="3745"/>
      <c r="G113" s="3745"/>
      <c r="H113" s="3745"/>
      <c r="I113" s="3745"/>
      <c r="J113" s="374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v>
      </c>
      <c r="C116" s="3396" t="s">
        <v>3315</v>
      </c>
      <c r="D116" s="3397">
        <f>SUMPRODUCT((A118:A122=F116)*(B117:M117=H116)*B118:M122)</f>
        <v>0.91820000000000002</v>
      </c>
      <c r="E116" s="1997" t="s">
        <v>3316</v>
      </c>
      <c r="F116" s="3398" t="str">
        <f>E2</f>
        <v>住宅</v>
      </c>
      <c r="G116" s="1997" t="s">
        <v>3317</v>
      </c>
      <c r="H116" s="3398" t="str">
        <f>G2</f>
        <v>七级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0.98250000000000004</v>
      </c>
      <c r="C118" s="3384">
        <f>B118</f>
        <v>0.98250000000000004</v>
      </c>
      <c r="D118" s="3384">
        <f>ROUND(0.949-0.014*B116,4)</f>
        <v>0.93079999999999996</v>
      </c>
      <c r="E118" s="3384">
        <f>D118</f>
        <v>0.93079999999999996</v>
      </c>
      <c r="F118" s="3384">
        <f>E118</f>
        <v>0.93079999999999996</v>
      </c>
      <c r="G118" s="3384">
        <f>F118</f>
        <v>0.93079999999999996</v>
      </c>
      <c r="H118" s="3384">
        <f>G118</f>
        <v>0.93079999999999996</v>
      </c>
      <c r="I118" s="3384">
        <f>ROUND(0.8486-0.018*B116,4)</f>
        <v>0.82520000000000004</v>
      </c>
      <c r="J118" s="3384">
        <f t="shared" ref="J118:M122" si="35">I118</f>
        <v>0.82520000000000004</v>
      </c>
      <c r="K118" s="3384">
        <f t="shared" si="35"/>
        <v>0.82520000000000004</v>
      </c>
      <c r="L118" s="3384">
        <f t="shared" si="35"/>
        <v>0.82520000000000004</v>
      </c>
      <c r="M118" s="3407">
        <f t="shared" si="35"/>
        <v>0.82520000000000004</v>
      </c>
      <c r="N118" s="3394"/>
    </row>
    <row r="119" spans="1:14">
      <c r="A119" s="3406" t="s">
        <v>3331</v>
      </c>
      <c r="B119" s="3384">
        <f>ROUND(0.993-0.0112*B116,4)</f>
        <v>0.97840000000000005</v>
      </c>
      <c r="C119" s="3384">
        <f>B119</f>
        <v>0.97840000000000005</v>
      </c>
      <c r="D119" s="3384">
        <f>ROUND(0.9415-0.0142*B116,4)</f>
        <v>0.92300000000000004</v>
      </c>
      <c r="E119" s="3384">
        <f t="shared" ref="E119:H120" si="36">D119</f>
        <v>0.92300000000000004</v>
      </c>
      <c r="F119" s="3384">
        <f t="shared" si="36"/>
        <v>0.92300000000000004</v>
      </c>
      <c r="G119" s="3384">
        <f t="shared" si="36"/>
        <v>0.92300000000000004</v>
      </c>
      <c r="H119" s="3384">
        <f t="shared" si="36"/>
        <v>0.92300000000000004</v>
      </c>
      <c r="I119" s="3384">
        <f>ROUND(0.838-0.0182*B116,4)</f>
        <v>0.81430000000000002</v>
      </c>
      <c r="J119" s="3384">
        <f t="shared" si="35"/>
        <v>0.81430000000000002</v>
      </c>
      <c r="K119" s="3384">
        <f t="shared" si="35"/>
        <v>0.81430000000000002</v>
      </c>
      <c r="L119" s="3384">
        <f t="shared" si="35"/>
        <v>0.81430000000000002</v>
      </c>
      <c r="M119" s="3407">
        <f t="shared" si="35"/>
        <v>0.81430000000000002</v>
      </c>
      <c r="N119" s="3394"/>
    </row>
    <row r="120" spans="1:14">
      <c r="A120" s="3406" t="s">
        <v>3332</v>
      </c>
      <c r="B120" s="3384">
        <f>ROUND(0.9448-0.0115*B116,4)</f>
        <v>0.92989999999999995</v>
      </c>
      <c r="C120" s="3384">
        <f>B120</f>
        <v>0.92989999999999995</v>
      </c>
      <c r="D120" s="3384">
        <f>ROUND(0.937-0.0145*B116,4)</f>
        <v>0.91820000000000002</v>
      </c>
      <c r="E120" s="3384">
        <f t="shared" si="36"/>
        <v>0.91820000000000002</v>
      </c>
      <c r="F120" s="3384">
        <f t="shared" si="36"/>
        <v>0.91820000000000002</v>
      </c>
      <c r="G120" s="3384">
        <f t="shared" si="36"/>
        <v>0.91820000000000002</v>
      </c>
      <c r="H120" s="3384">
        <f t="shared" si="36"/>
        <v>0.91820000000000002</v>
      </c>
      <c r="I120" s="3384">
        <f>ROUND(0.7965-0.0185*B116,4)</f>
        <v>0.77249999999999996</v>
      </c>
      <c r="J120" s="3384">
        <f t="shared" si="35"/>
        <v>0.77249999999999996</v>
      </c>
      <c r="K120" s="3384">
        <f t="shared" si="35"/>
        <v>0.77249999999999996</v>
      </c>
      <c r="L120" s="3384">
        <f t="shared" si="35"/>
        <v>0.77249999999999996</v>
      </c>
      <c r="M120" s="3407">
        <f t="shared" si="35"/>
        <v>0.77249999999999996</v>
      </c>
      <c r="N120" s="3394"/>
    </row>
    <row r="121" spans="1:14" ht="13.5" thickBot="1">
      <c r="A121" s="3408" t="s">
        <v>3333</v>
      </c>
      <c r="B121" s="3409">
        <f>ROUND(0.7836-0.012*B116,4)</f>
        <v>0.76800000000000002</v>
      </c>
      <c r="C121" s="3409">
        <f>B121</f>
        <v>0.76800000000000002</v>
      </c>
      <c r="D121" s="3409">
        <f>ROUND(0.753-0.015*B116,4)</f>
        <v>0.73350000000000004</v>
      </c>
      <c r="E121" s="3409">
        <f>D121</f>
        <v>0.73350000000000004</v>
      </c>
      <c r="F121" s="3409">
        <f>E121</f>
        <v>0.73350000000000004</v>
      </c>
      <c r="G121" s="3409">
        <f>ROUND(0.6612-0.018*B116,4)</f>
        <v>0.63780000000000003</v>
      </c>
      <c r="H121" s="3409">
        <f>G121</f>
        <v>0.63780000000000003</v>
      </c>
      <c r="I121" s="3409">
        <f>ROUND(0.5905-0.019*B116,4)</f>
        <v>0.56579999999999997</v>
      </c>
      <c r="J121" s="3409">
        <f t="shared" si="35"/>
        <v>0.56579999999999997</v>
      </c>
      <c r="K121" s="3409">
        <f t="shared" si="35"/>
        <v>0.56579999999999997</v>
      </c>
      <c r="L121" s="3409">
        <f t="shared" si="35"/>
        <v>0.56579999999999997</v>
      </c>
      <c r="M121" s="3410">
        <f t="shared" si="35"/>
        <v>0.56579999999999997</v>
      </c>
      <c r="N121" s="3394"/>
    </row>
    <row r="122" spans="1:14">
      <c r="A122" s="3411" t="s">
        <v>2613</v>
      </c>
      <c r="B122" s="3384">
        <f>ROUND(0.9404-0.0106*B116,4)</f>
        <v>0.92659999999999998</v>
      </c>
      <c r="C122" s="3384">
        <f>B122</f>
        <v>0.92659999999999998</v>
      </c>
      <c r="D122" s="3384">
        <f>ROUND(0.8955-0.0135*B116,4)</f>
        <v>0.878</v>
      </c>
      <c r="E122" s="3384">
        <f t="shared" ref="E122:H122" si="37">D122</f>
        <v>0.878</v>
      </c>
      <c r="F122" s="3384">
        <f t="shared" si="37"/>
        <v>0.878</v>
      </c>
      <c r="G122" s="3384">
        <f t="shared" si="37"/>
        <v>0.878</v>
      </c>
      <c r="H122" s="3384">
        <f t="shared" si="37"/>
        <v>0.878</v>
      </c>
      <c r="I122" s="3384">
        <f>ROUND(0.7632-0.0166*B116,4)</f>
        <v>0.74160000000000004</v>
      </c>
      <c r="J122" s="3384">
        <f t="shared" si="35"/>
        <v>0.74160000000000004</v>
      </c>
      <c r="K122" s="3384">
        <f t="shared" si="35"/>
        <v>0.74160000000000004</v>
      </c>
      <c r="L122" s="3384">
        <f t="shared" si="35"/>
        <v>0.74160000000000004</v>
      </c>
      <c r="M122" s="3407">
        <f t="shared" si="35"/>
        <v>0.74160000000000004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C2993-6B3D-421C-9E98-39EA2DF1E7B1}">
  <dimension ref="A1"/>
  <sheetViews>
    <sheetView topLeftCell="E1" workbookViewId="0">
      <selection activeCell="P26" sqref="M20:P2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68" t="s">
        <v>2608</v>
      </c>
      <c r="B20" s="3761" t="s">
        <v>2629</v>
      </c>
      <c r="C20" s="3099" t="s">
        <v>2440</v>
      </c>
      <c r="D20" s="3100"/>
      <c r="E20" s="3101">
        <v>1</v>
      </c>
      <c r="F20" s="3102" t="s">
        <v>2441</v>
      </c>
      <c r="G20" s="3102"/>
    </row>
    <row r="21" spans="1:13" ht="19.5" customHeight="1">
      <c r="A21" s="3769"/>
      <c r="B21" s="3762"/>
      <c r="C21" s="3103" t="s">
        <v>2442</v>
      </c>
      <c r="D21" s="3104"/>
      <c r="E21" s="3105">
        <v>1</v>
      </c>
      <c r="F21" s="3102" t="s">
        <v>2443</v>
      </c>
      <c r="G21" s="3102"/>
    </row>
    <row r="22" spans="1:13" ht="19.5" customHeight="1">
      <c r="A22" s="3769"/>
      <c r="B22" s="3762"/>
      <c r="C22" s="3103" t="s">
        <v>2444</v>
      </c>
      <c r="D22" s="3104"/>
      <c r="E22" s="3105">
        <v>0.9</v>
      </c>
      <c r="F22" s="3102" t="s">
        <v>2445</v>
      </c>
      <c r="G22" s="3102"/>
    </row>
    <row r="23" spans="1:13" ht="19.5" customHeight="1">
      <c r="A23" s="3769"/>
      <c r="B23" s="3762"/>
      <c r="C23" s="3103" t="s">
        <v>2446</v>
      </c>
      <c r="D23" s="3104"/>
      <c r="E23" s="3105">
        <v>0.9</v>
      </c>
      <c r="F23" s="3102" t="s">
        <v>2447</v>
      </c>
      <c r="G23" s="3102"/>
    </row>
    <row r="24" spans="1:13" ht="19.5" customHeight="1">
      <c r="A24" s="3769"/>
      <c r="B24" s="3762"/>
      <c r="C24" s="3103" t="s">
        <v>2448</v>
      </c>
      <c r="D24" s="3104"/>
      <c r="E24" s="3105">
        <v>0.8</v>
      </c>
      <c r="F24" s="3102" t="s">
        <v>2449</v>
      </c>
      <c r="G24" s="3102"/>
    </row>
    <row r="25" spans="1:13" ht="19.5" customHeight="1" thickBot="1">
      <c r="A25" s="3770"/>
      <c r="B25" s="3763"/>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64" t="s">
        <v>2632</v>
      </c>
      <c r="B27" s="3761" t="s">
        <v>2613</v>
      </c>
      <c r="C27" s="3099" t="s">
        <v>2453</v>
      </c>
      <c r="D27" s="3100"/>
      <c r="E27" s="3101">
        <v>1</v>
      </c>
      <c r="F27" s="3102" t="s">
        <v>2454</v>
      </c>
      <c r="G27" s="3102"/>
    </row>
    <row r="28" spans="1:13" ht="19.5" customHeight="1">
      <c r="A28" s="3765"/>
      <c r="B28" s="3762"/>
      <c r="C28" s="3103" t="s">
        <v>2455</v>
      </c>
      <c r="D28" s="3104"/>
      <c r="E28" s="3105">
        <v>1</v>
      </c>
      <c r="F28" s="3102" t="s">
        <v>2456</v>
      </c>
      <c r="G28" s="3102"/>
    </row>
    <row r="29" spans="1:13" ht="19.5" customHeight="1">
      <c r="A29" s="3765"/>
      <c r="B29" s="3762"/>
      <c r="C29" s="3103" t="s">
        <v>2457</v>
      </c>
      <c r="D29" s="3104"/>
      <c r="E29" s="3105">
        <v>0.8</v>
      </c>
      <c r="F29" s="3102" t="s">
        <v>2458</v>
      </c>
      <c r="G29" s="3102"/>
    </row>
    <row r="30" spans="1:13" ht="19.5" customHeight="1">
      <c r="A30" s="3765"/>
      <c r="B30" s="3762"/>
      <c r="C30" s="3103" t="s">
        <v>2459</v>
      </c>
      <c r="D30" s="3104"/>
      <c r="E30" s="3105">
        <v>0.8</v>
      </c>
      <c r="F30" s="3102" t="s">
        <v>2460</v>
      </c>
      <c r="G30" s="3102"/>
    </row>
    <row r="31" spans="1:13" ht="19.5" customHeight="1">
      <c r="A31" s="3765"/>
      <c r="B31" s="3762"/>
      <c r="C31" s="3103" t="s">
        <v>2461</v>
      </c>
      <c r="D31" s="3104"/>
      <c r="E31" s="3105">
        <v>0.8</v>
      </c>
      <c r="F31" s="3102" t="s">
        <v>2462</v>
      </c>
      <c r="G31" s="3102"/>
    </row>
    <row r="32" spans="1:13" ht="19.5" customHeight="1">
      <c r="A32" s="3765"/>
      <c r="B32" s="3762"/>
      <c r="C32" s="3103" t="s">
        <v>2463</v>
      </c>
      <c r="D32" s="3104"/>
      <c r="E32" s="3105">
        <v>0.7</v>
      </c>
      <c r="F32" s="3102" t="s">
        <v>2464</v>
      </c>
      <c r="G32" s="3102"/>
    </row>
    <row r="33" spans="1:7" ht="19.5" customHeight="1">
      <c r="A33" s="3765"/>
      <c r="B33" s="3762"/>
      <c r="C33" s="3103" t="s">
        <v>2465</v>
      </c>
      <c r="D33" s="3104"/>
      <c r="E33" s="3105">
        <v>0.8</v>
      </c>
      <c r="F33" s="3102" t="s">
        <v>2466</v>
      </c>
      <c r="G33" s="3102"/>
    </row>
    <row r="34" spans="1:7" ht="19.5" customHeight="1">
      <c r="A34" s="3765"/>
      <c r="B34" s="3762"/>
      <c r="C34" s="3103" t="s">
        <v>2467</v>
      </c>
      <c r="D34" s="3104"/>
      <c r="E34" s="3105">
        <v>0.6</v>
      </c>
      <c r="F34" s="3102" t="s">
        <v>2468</v>
      </c>
      <c r="G34" s="3102"/>
    </row>
    <row r="35" spans="1:7" ht="19.5" customHeight="1">
      <c r="A35" s="3765"/>
      <c r="B35" s="3762"/>
      <c r="C35" s="3103" t="s">
        <v>2469</v>
      </c>
      <c r="D35" s="3104"/>
      <c r="E35" s="3105">
        <v>0.2</v>
      </c>
      <c r="F35" s="3102" t="s">
        <v>2470</v>
      </c>
      <c r="G35" s="3102"/>
    </row>
    <row r="36" spans="1:7" ht="19.5" customHeight="1">
      <c r="A36" s="3765"/>
      <c r="B36" s="3762"/>
      <c r="C36" s="3103" t="s">
        <v>2471</v>
      </c>
      <c r="D36" s="3104"/>
      <c r="E36" s="3105">
        <v>0.2</v>
      </c>
      <c r="F36" s="3102" t="s">
        <v>2472</v>
      </c>
      <c r="G36" s="3102"/>
    </row>
    <row r="37" spans="1:7" ht="19.5" customHeight="1">
      <c r="A37" s="3765"/>
      <c r="B37" s="3767" t="s">
        <v>2633</v>
      </c>
      <c r="C37" s="3103" t="s">
        <v>2473</v>
      </c>
      <c r="D37" s="3104"/>
      <c r="E37" s="3105">
        <v>0.6</v>
      </c>
      <c r="F37" s="3102" t="s">
        <v>2474</v>
      </c>
      <c r="G37" s="3102"/>
    </row>
    <row r="38" spans="1:7" ht="19.5" customHeight="1">
      <c r="A38" s="3765"/>
      <c r="B38" s="3762"/>
      <c r="C38" s="3103" t="s">
        <v>2475</v>
      </c>
      <c r="D38" s="3104"/>
      <c r="E38" s="3105">
        <v>0.6</v>
      </c>
      <c r="F38" s="3102" t="s">
        <v>2476</v>
      </c>
      <c r="G38" s="3102"/>
    </row>
    <row r="39" spans="1:7" ht="19.5" customHeight="1" thickBot="1">
      <c r="A39" s="3766"/>
      <c r="B39" s="3763"/>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68" t="s">
        <v>2611</v>
      </c>
      <c r="B41" s="3761" t="s">
        <v>2635</v>
      </c>
      <c r="C41" s="3099" t="s">
        <v>2480</v>
      </c>
      <c r="D41" s="3100"/>
      <c r="E41" s="3101">
        <v>1</v>
      </c>
      <c r="F41" s="3102" t="s">
        <v>2481</v>
      </c>
      <c r="G41" s="3102"/>
    </row>
    <row r="42" spans="1:7" ht="19.5" customHeight="1">
      <c r="A42" s="3769"/>
      <c r="B42" s="3762"/>
      <c r="C42" s="3103" t="s">
        <v>2482</v>
      </c>
      <c r="D42" s="3104"/>
      <c r="E42" s="3105">
        <v>1</v>
      </c>
      <c r="F42" s="3102" t="s">
        <v>2483</v>
      </c>
      <c r="G42" s="3102"/>
    </row>
    <row r="43" spans="1:7" ht="19.5" customHeight="1">
      <c r="A43" s="3769"/>
      <c r="B43" s="3771"/>
      <c r="C43" s="3103" t="s">
        <v>2484</v>
      </c>
      <c r="D43" s="3104"/>
      <c r="E43" s="3105">
        <v>1.5</v>
      </c>
      <c r="F43" s="3102" t="s">
        <v>2485</v>
      </c>
      <c r="G43" s="3102"/>
    </row>
    <row r="44" spans="1:7" ht="19.5" customHeight="1">
      <c r="A44" s="3769"/>
      <c r="B44" s="3114" t="s">
        <v>2636</v>
      </c>
      <c r="C44" s="3103" t="s">
        <v>2637</v>
      </c>
      <c r="D44" s="3104"/>
      <c r="E44" s="3105">
        <v>2</v>
      </c>
      <c r="F44" s="3102" t="s">
        <v>2486</v>
      </c>
      <c r="G44" s="3102"/>
    </row>
    <row r="45" spans="1:7" ht="19.5" customHeight="1">
      <c r="A45" s="3769"/>
      <c r="B45" s="3767" t="s">
        <v>2638</v>
      </c>
      <c r="C45" s="3103" t="s">
        <v>2487</v>
      </c>
      <c r="D45" s="3104"/>
      <c r="E45" s="3105">
        <v>1</v>
      </c>
      <c r="F45" s="3102" t="s">
        <v>2488</v>
      </c>
      <c r="G45" s="3102"/>
    </row>
    <row r="46" spans="1:7" ht="19.5" customHeight="1">
      <c r="A46" s="3769"/>
      <c r="B46" s="3762"/>
      <c r="C46" s="3103" t="s">
        <v>2489</v>
      </c>
      <c r="D46" s="3104"/>
      <c r="E46" s="3105">
        <v>1</v>
      </c>
      <c r="F46" s="3102" t="s">
        <v>2490</v>
      </c>
      <c r="G46" s="3102"/>
    </row>
    <row r="47" spans="1:7" ht="19.5" customHeight="1">
      <c r="A47" s="3769"/>
      <c r="B47" s="3762"/>
      <c r="C47" s="3103" t="s">
        <v>2491</v>
      </c>
      <c r="D47" s="3104"/>
      <c r="E47" s="3105">
        <v>1</v>
      </c>
      <c r="F47" s="3102" t="s">
        <v>2492</v>
      </c>
      <c r="G47" s="3102"/>
    </row>
    <row r="48" spans="1:7" ht="19.5" customHeight="1">
      <c r="A48" s="3769"/>
      <c r="B48" s="3762"/>
      <c r="C48" s="3103" t="s">
        <v>2493</v>
      </c>
      <c r="D48" s="3104"/>
      <c r="E48" s="3105">
        <v>1</v>
      </c>
      <c r="F48" s="3102" t="s">
        <v>2494</v>
      </c>
      <c r="G48" s="3102"/>
    </row>
    <row r="49" spans="1:7" ht="19.5" customHeight="1">
      <c r="A49" s="3769"/>
      <c r="B49" s="3762"/>
      <c r="C49" s="3103" t="s">
        <v>2495</v>
      </c>
      <c r="D49" s="3104"/>
      <c r="E49" s="3105">
        <v>1</v>
      </c>
      <c r="F49" s="3102" t="s">
        <v>2496</v>
      </c>
      <c r="G49" s="3102"/>
    </row>
    <row r="50" spans="1:7" ht="19.5" customHeight="1">
      <c r="A50" s="3769"/>
      <c r="B50" s="3762"/>
      <c r="C50" s="3103" t="s">
        <v>2497</v>
      </c>
      <c r="D50" s="3104"/>
      <c r="E50" s="3105">
        <v>1</v>
      </c>
      <c r="F50" s="3102" t="s">
        <v>2498</v>
      </c>
      <c r="G50" s="3102"/>
    </row>
    <row r="51" spans="1:7" ht="19.5" customHeight="1" thickBot="1">
      <c r="A51" s="3770"/>
      <c r="B51" s="3763"/>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67" t="s">
        <v>2652</v>
      </c>
      <c r="C73" s="3088" t="s">
        <v>2653</v>
      </c>
      <c r="D73" s="3088" t="s">
        <v>2654</v>
      </c>
      <c r="E73" s="3114">
        <v>0.2</v>
      </c>
      <c r="F73" s="3114">
        <v>25</v>
      </c>
    </row>
    <row r="74" spans="1:7" ht="24">
      <c r="A74" s="3114">
        <v>2</v>
      </c>
      <c r="B74" s="3762"/>
      <c r="C74" s="3088" t="s">
        <v>2655</v>
      </c>
      <c r="D74" s="3088" t="s">
        <v>2656</v>
      </c>
      <c r="E74" s="3114">
        <v>0.2</v>
      </c>
      <c r="F74" s="3114">
        <v>25</v>
      </c>
    </row>
    <row r="75" spans="1:7" ht="24">
      <c r="A75" s="3114">
        <v>3</v>
      </c>
      <c r="B75" s="3762"/>
      <c r="C75" s="3088" t="s">
        <v>2657</v>
      </c>
      <c r="D75" s="3088" t="s">
        <v>2658</v>
      </c>
      <c r="E75" s="3114">
        <v>0.2</v>
      </c>
      <c r="F75" s="3114">
        <v>25</v>
      </c>
    </row>
    <row r="76" spans="1:7" ht="13.5">
      <c r="A76" s="3114">
        <v>4</v>
      </c>
      <c r="B76" s="3762"/>
      <c r="C76" s="3088" t="s">
        <v>2659</v>
      </c>
      <c r="D76" s="3088" t="s">
        <v>2660</v>
      </c>
      <c r="E76" s="3114">
        <v>0.15</v>
      </c>
      <c r="F76" s="3114">
        <v>20</v>
      </c>
    </row>
    <row r="77" spans="1:7" ht="24">
      <c r="A77" s="3114">
        <v>5</v>
      </c>
      <c r="B77" s="3762"/>
      <c r="C77" s="3088" t="s">
        <v>2661</v>
      </c>
      <c r="D77" s="3088" t="s">
        <v>2662</v>
      </c>
      <c r="E77" s="3114">
        <v>0.15</v>
      </c>
      <c r="F77" s="3114">
        <v>20</v>
      </c>
    </row>
    <row r="78" spans="1:7" ht="24">
      <c r="A78" s="3114">
        <v>6</v>
      </c>
      <c r="B78" s="3762"/>
      <c r="C78" s="3088" t="s">
        <v>2663</v>
      </c>
      <c r="D78" s="3088" t="s">
        <v>2664</v>
      </c>
      <c r="E78" s="3114">
        <v>0.15</v>
      </c>
      <c r="F78" s="3114">
        <v>20</v>
      </c>
    </row>
    <row r="79" spans="1:7" ht="24">
      <c r="A79" s="3114">
        <v>7</v>
      </c>
      <c r="B79" s="3762"/>
      <c r="C79" s="3088" t="s">
        <v>2665</v>
      </c>
      <c r="D79" s="3088" t="s">
        <v>2666</v>
      </c>
      <c r="E79" s="3114">
        <v>0.15</v>
      </c>
      <c r="F79" s="3114">
        <v>20</v>
      </c>
    </row>
    <row r="80" spans="1:7" ht="24">
      <c r="A80" s="3114">
        <v>8</v>
      </c>
      <c r="B80" s="3762"/>
      <c r="C80" s="3088" t="s">
        <v>2667</v>
      </c>
      <c r="D80" s="3088" t="s">
        <v>2668</v>
      </c>
      <c r="E80" s="3114">
        <v>0.1</v>
      </c>
      <c r="F80" s="3114">
        <v>15</v>
      </c>
    </row>
    <row r="81" spans="1:6" ht="24">
      <c r="A81" s="3114">
        <v>9</v>
      </c>
      <c r="B81" s="3762"/>
      <c r="C81" s="3088" t="s">
        <v>2669</v>
      </c>
      <c r="D81" s="3088" t="s">
        <v>2670</v>
      </c>
      <c r="E81" s="3114">
        <v>0.1</v>
      </c>
      <c r="F81" s="3114">
        <v>15</v>
      </c>
    </row>
    <row r="82" spans="1:6" ht="24">
      <c r="A82" s="3114">
        <v>10</v>
      </c>
      <c r="B82" s="3762"/>
      <c r="C82" s="3088" t="s">
        <v>2671</v>
      </c>
      <c r="D82" s="3088" t="s">
        <v>2672</v>
      </c>
      <c r="E82" s="3114">
        <v>0.1</v>
      </c>
      <c r="F82" s="3114">
        <v>15</v>
      </c>
    </row>
    <row r="83" spans="1:6" ht="24">
      <c r="A83" s="3114">
        <v>11</v>
      </c>
      <c r="B83" s="3762"/>
      <c r="C83" s="3088" t="s">
        <v>2673</v>
      </c>
      <c r="D83" s="3088" t="s">
        <v>2674</v>
      </c>
      <c r="E83" s="3114">
        <v>0.1</v>
      </c>
      <c r="F83" s="3114">
        <v>15</v>
      </c>
    </row>
    <row r="84" spans="1:6" ht="24">
      <c r="A84" s="3114">
        <v>12</v>
      </c>
      <c r="B84" s="3762"/>
      <c r="C84" s="3088" t="s">
        <v>2675</v>
      </c>
      <c r="D84" s="3088" t="s">
        <v>2676</v>
      </c>
      <c r="E84" s="3114">
        <v>0.1</v>
      </c>
      <c r="F84" s="3114">
        <v>15</v>
      </c>
    </row>
    <row r="85" spans="1:6" ht="13.5">
      <c r="A85" s="3114">
        <v>13</v>
      </c>
      <c r="B85" s="3762"/>
      <c r="C85" s="3088" t="s">
        <v>2677</v>
      </c>
      <c r="D85" s="3088" t="s">
        <v>2678</v>
      </c>
      <c r="E85" s="3114">
        <v>0.1</v>
      </c>
      <c r="F85" s="3114">
        <v>15</v>
      </c>
    </row>
    <row r="86" spans="1:6" ht="13.5">
      <c r="A86" s="3114">
        <v>14</v>
      </c>
      <c r="B86" s="3762"/>
      <c r="C86" s="3088" t="s">
        <v>2679</v>
      </c>
      <c r="D86" s="3088" t="s">
        <v>2680</v>
      </c>
      <c r="E86" s="3114">
        <v>0.1</v>
      </c>
      <c r="F86" s="3114">
        <v>15</v>
      </c>
    </row>
    <row r="87" spans="1:6" ht="13.5">
      <c r="A87" s="3114">
        <v>15</v>
      </c>
      <c r="B87" s="3762"/>
      <c r="C87" s="3088" t="s">
        <v>2681</v>
      </c>
      <c r="D87" s="3088" t="s">
        <v>2682</v>
      </c>
      <c r="E87" s="3114">
        <v>0.1</v>
      </c>
      <c r="F87" s="3114">
        <v>15</v>
      </c>
    </row>
    <row r="88" spans="1:6" ht="24">
      <c r="A88" s="3114">
        <v>16</v>
      </c>
      <c r="B88" s="3762"/>
      <c r="C88" s="3088" t="s">
        <v>2683</v>
      </c>
      <c r="D88" s="3088" t="s">
        <v>2684</v>
      </c>
      <c r="E88" s="3114">
        <v>0.1</v>
      </c>
      <c r="F88" s="3114">
        <v>15</v>
      </c>
    </row>
    <row r="89" spans="1:6" ht="24">
      <c r="A89" s="3114">
        <v>17</v>
      </c>
      <c r="B89" s="3771"/>
      <c r="C89" s="3088" t="s">
        <v>2685</v>
      </c>
      <c r="D89" s="3088" t="s">
        <v>2686</v>
      </c>
      <c r="E89" s="3114">
        <v>0.1</v>
      </c>
      <c r="F89" s="3114">
        <v>15</v>
      </c>
    </row>
    <row r="90" spans="1:6" ht="13.5">
      <c r="A90" s="3114">
        <v>18</v>
      </c>
      <c r="B90" s="3767" t="s">
        <v>2687</v>
      </c>
      <c r="C90" s="3088" t="s">
        <v>2688</v>
      </c>
      <c r="D90" s="3088" t="s">
        <v>2689</v>
      </c>
      <c r="E90" s="3114">
        <v>0.2</v>
      </c>
      <c r="F90" s="3114">
        <v>25</v>
      </c>
    </row>
    <row r="91" spans="1:6" ht="24">
      <c r="A91" s="3114">
        <v>19</v>
      </c>
      <c r="B91" s="3762"/>
      <c r="C91" s="3088" t="s">
        <v>2690</v>
      </c>
      <c r="D91" s="3088" t="s">
        <v>2691</v>
      </c>
      <c r="E91" s="3114">
        <v>0.2</v>
      </c>
      <c r="F91" s="3114">
        <v>25</v>
      </c>
    </row>
    <row r="92" spans="1:6" ht="13.5">
      <c r="A92" s="3114">
        <v>20</v>
      </c>
      <c r="B92" s="3762"/>
      <c r="C92" s="3088" t="s">
        <v>2692</v>
      </c>
      <c r="D92" s="3088" t="s">
        <v>2693</v>
      </c>
      <c r="E92" s="3114">
        <v>0.15</v>
      </c>
      <c r="F92" s="3114">
        <v>20</v>
      </c>
    </row>
    <row r="93" spans="1:6" ht="13.5">
      <c r="A93" s="3114">
        <v>21</v>
      </c>
      <c r="B93" s="3762"/>
      <c r="C93" s="3088" t="s">
        <v>2694</v>
      </c>
      <c r="D93" s="3088" t="s">
        <v>2695</v>
      </c>
      <c r="E93" s="3114">
        <v>0.15</v>
      </c>
      <c r="F93" s="3114">
        <v>20</v>
      </c>
    </row>
    <row r="94" spans="1:6" ht="13.5">
      <c r="A94" s="3114">
        <v>22</v>
      </c>
      <c r="B94" s="3762"/>
      <c r="C94" s="3088" t="s">
        <v>2696</v>
      </c>
      <c r="D94" s="3088" t="s">
        <v>2697</v>
      </c>
      <c r="E94" s="3114">
        <v>0.15</v>
      </c>
      <c r="F94" s="3114">
        <v>20</v>
      </c>
    </row>
    <row r="95" spans="1:6" ht="36">
      <c r="A95" s="3114">
        <v>23</v>
      </c>
      <c r="B95" s="3762"/>
      <c r="C95" s="3088" t="s">
        <v>2698</v>
      </c>
      <c r="D95" s="3088" t="s">
        <v>2699</v>
      </c>
      <c r="E95" s="3114">
        <v>0.15</v>
      </c>
      <c r="F95" s="3114">
        <v>20</v>
      </c>
    </row>
    <row r="96" spans="1:6" ht="13.5">
      <c r="A96" s="3114">
        <v>24</v>
      </c>
      <c r="B96" s="3762"/>
      <c r="C96" s="3088" t="s">
        <v>2700</v>
      </c>
      <c r="D96" s="3088" t="s">
        <v>2701</v>
      </c>
      <c r="E96" s="3114">
        <v>0.1</v>
      </c>
      <c r="F96" s="3114">
        <v>15</v>
      </c>
    </row>
    <row r="97" spans="1:6" ht="13.5">
      <c r="A97" s="3114">
        <v>25</v>
      </c>
      <c r="B97" s="3762"/>
      <c r="C97" s="3088" t="s">
        <v>2702</v>
      </c>
      <c r="D97" s="3088" t="s">
        <v>2703</v>
      </c>
      <c r="E97" s="3114">
        <v>0.1</v>
      </c>
      <c r="F97" s="3114">
        <v>15</v>
      </c>
    </row>
    <row r="98" spans="1:6" ht="24">
      <c r="A98" s="3114">
        <v>26</v>
      </c>
      <c r="B98" s="3762"/>
      <c r="C98" s="3088" t="s">
        <v>2704</v>
      </c>
      <c r="D98" s="3088" t="s">
        <v>2705</v>
      </c>
      <c r="E98" s="3114">
        <v>0.1</v>
      </c>
      <c r="F98" s="3114">
        <v>15</v>
      </c>
    </row>
    <row r="99" spans="1:6" ht="24">
      <c r="A99" s="3114">
        <v>27</v>
      </c>
      <c r="B99" s="3762"/>
      <c r="C99" s="3088" t="s">
        <v>2706</v>
      </c>
      <c r="D99" s="3088" t="s">
        <v>2707</v>
      </c>
      <c r="E99" s="3114">
        <v>0.1</v>
      </c>
      <c r="F99" s="3114">
        <v>15</v>
      </c>
    </row>
    <row r="100" spans="1:6" ht="13.5">
      <c r="A100" s="3114">
        <v>28</v>
      </c>
      <c r="B100" s="3762"/>
      <c r="C100" s="3088" t="s">
        <v>2708</v>
      </c>
      <c r="D100" s="3088" t="s">
        <v>2709</v>
      </c>
      <c r="E100" s="3114">
        <v>0.1</v>
      </c>
      <c r="F100" s="3114">
        <v>15</v>
      </c>
    </row>
    <row r="101" spans="1:6" ht="13.5">
      <c r="A101" s="3114">
        <v>29</v>
      </c>
      <c r="B101" s="3762"/>
      <c r="C101" s="3088" t="s">
        <v>2710</v>
      </c>
      <c r="D101" s="3088" t="s">
        <v>2711</v>
      </c>
      <c r="E101" s="3114">
        <v>0.1</v>
      </c>
      <c r="F101" s="3114">
        <v>15</v>
      </c>
    </row>
    <row r="102" spans="1:6" ht="13.5">
      <c r="A102" s="3114">
        <v>30</v>
      </c>
      <c r="B102" s="3762"/>
      <c r="C102" s="3088" t="s">
        <v>2712</v>
      </c>
      <c r="D102" s="3088" t="s">
        <v>2713</v>
      </c>
      <c r="E102" s="3114">
        <v>0.1</v>
      </c>
      <c r="F102" s="3114">
        <v>15</v>
      </c>
    </row>
    <row r="103" spans="1:6" ht="24">
      <c r="A103" s="3114">
        <v>31</v>
      </c>
      <c r="B103" s="3762"/>
      <c r="C103" s="3088" t="s">
        <v>2714</v>
      </c>
      <c r="D103" s="3088" t="s">
        <v>2715</v>
      </c>
      <c r="E103" s="3114">
        <v>0.1</v>
      </c>
      <c r="F103" s="3114">
        <v>15</v>
      </c>
    </row>
    <row r="104" spans="1:6" ht="24">
      <c r="A104" s="3114">
        <v>32</v>
      </c>
      <c r="B104" s="3762"/>
      <c r="C104" s="3088" t="s">
        <v>2716</v>
      </c>
      <c r="D104" s="3088" t="s">
        <v>2717</v>
      </c>
      <c r="E104" s="3114">
        <v>0.1</v>
      </c>
      <c r="F104" s="3114">
        <v>15</v>
      </c>
    </row>
    <row r="105" spans="1:6" ht="24">
      <c r="A105" s="3114">
        <v>33</v>
      </c>
      <c r="B105" s="3762"/>
      <c r="C105" s="3088" t="s">
        <v>2718</v>
      </c>
      <c r="D105" s="3088" t="s">
        <v>2719</v>
      </c>
      <c r="E105" s="3114">
        <v>0.1</v>
      </c>
      <c r="F105" s="3114">
        <v>15</v>
      </c>
    </row>
    <row r="106" spans="1:6" ht="24">
      <c r="A106" s="3114">
        <v>34</v>
      </c>
      <c r="B106" s="3771"/>
      <c r="C106" s="3088" t="s">
        <v>2720</v>
      </c>
      <c r="D106" s="3088" t="s">
        <v>2721</v>
      </c>
      <c r="E106" s="3114">
        <v>0.1</v>
      </c>
      <c r="F106" s="3114">
        <v>15</v>
      </c>
    </row>
    <row r="107" spans="1:6" ht="24">
      <c r="A107" s="3114">
        <v>35</v>
      </c>
      <c r="B107" s="3767" t="s">
        <v>2722</v>
      </c>
      <c r="C107" s="3114" t="s">
        <v>2723</v>
      </c>
      <c r="D107" s="3088" t="s">
        <v>2724</v>
      </c>
      <c r="E107" s="3114">
        <v>0.15</v>
      </c>
      <c r="F107" s="3114">
        <v>20</v>
      </c>
    </row>
    <row r="108" spans="1:6" ht="13.5">
      <c r="A108" s="3114">
        <v>36</v>
      </c>
      <c r="B108" s="3762"/>
      <c r="C108" s="3114" t="s">
        <v>2725</v>
      </c>
      <c r="D108" s="3088" t="s">
        <v>2726</v>
      </c>
      <c r="E108" s="3114">
        <v>0.15</v>
      </c>
      <c r="F108" s="3114">
        <v>20</v>
      </c>
    </row>
    <row r="109" spans="1:6" ht="13.5">
      <c r="A109" s="3114">
        <v>37</v>
      </c>
      <c r="B109" s="3762"/>
      <c r="C109" s="3114" t="s">
        <v>2727</v>
      </c>
      <c r="D109" s="3088" t="s">
        <v>2728</v>
      </c>
      <c r="E109" s="3114">
        <v>0.15</v>
      </c>
      <c r="F109" s="3114">
        <v>20</v>
      </c>
    </row>
    <row r="110" spans="1:6" ht="13.5">
      <c r="A110" s="3114">
        <v>38</v>
      </c>
      <c r="B110" s="3762"/>
      <c r="C110" s="3114" t="s">
        <v>2729</v>
      </c>
      <c r="D110" s="3088" t="s">
        <v>2730</v>
      </c>
      <c r="E110" s="3114">
        <v>0.1</v>
      </c>
      <c r="F110" s="3114">
        <v>15</v>
      </c>
    </row>
    <row r="111" spans="1:6" ht="24">
      <c r="A111" s="3114">
        <v>39</v>
      </c>
      <c r="B111" s="3762"/>
      <c r="C111" s="3114" t="s">
        <v>2731</v>
      </c>
      <c r="D111" s="3088" t="s">
        <v>2732</v>
      </c>
      <c r="E111" s="3114">
        <v>0.1</v>
      </c>
      <c r="F111" s="3114">
        <v>15</v>
      </c>
    </row>
    <row r="112" spans="1:6" ht="24">
      <c r="A112" s="3114">
        <v>40</v>
      </c>
      <c r="B112" s="3771"/>
      <c r="C112" s="3114" t="s">
        <v>2733</v>
      </c>
      <c r="D112" s="3088" t="s">
        <v>2734</v>
      </c>
      <c r="E112" s="3114">
        <v>0.1</v>
      </c>
      <c r="F112" s="3114">
        <v>15</v>
      </c>
    </row>
    <row r="113" spans="1:6" ht="13.5">
      <c r="A113" s="3114">
        <v>41</v>
      </c>
      <c r="B113" s="3772" t="s">
        <v>2735</v>
      </c>
      <c r="C113" s="3114" t="s">
        <v>2736</v>
      </c>
      <c r="D113" s="3088" t="s">
        <v>2737</v>
      </c>
      <c r="E113" s="3114">
        <v>0.1</v>
      </c>
      <c r="F113" s="3114">
        <v>15</v>
      </c>
    </row>
    <row r="114" spans="1:6" ht="13.5">
      <c r="A114" s="3114">
        <v>42</v>
      </c>
      <c r="B114" s="3772"/>
      <c r="C114" s="3114" t="s">
        <v>2738</v>
      </c>
      <c r="D114" s="3088" t="s">
        <v>2739</v>
      </c>
      <c r="E114" s="3114">
        <v>0.1</v>
      </c>
      <c r="F114" s="3114">
        <v>15</v>
      </c>
    </row>
    <row r="115" spans="1:6" ht="24">
      <c r="A115" s="3114">
        <v>43</v>
      </c>
      <c r="B115" s="3772"/>
      <c r="C115" s="3114" t="s">
        <v>2740</v>
      </c>
      <c r="D115" s="3088" t="s">
        <v>2741</v>
      </c>
      <c r="E115" s="3114">
        <v>0.1</v>
      </c>
      <c r="F115" s="3114">
        <v>15</v>
      </c>
    </row>
    <row r="116" spans="1:6" ht="13.5">
      <c r="A116" s="3114">
        <v>44</v>
      </c>
      <c r="B116" s="3767" t="s">
        <v>2742</v>
      </c>
      <c r="C116" s="3114" t="s">
        <v>2743</v>
      </c>
      <c r="D116" s="3088" t="s">
        <v>2744</v>
      </c>
      <c r="E116" s="3114">
        <v>0.1</v>
      </c>
      <c r="F116" s="3114">
        <v>15</v>
      </c>
    </row>
    <row r="117" spans="1:6" ht="24">
      <c r="A117" s="3114">
        <v>45</v>
      </c>
      <c r="B117" s="3771"/>
      <c r="C117" s="3088" t="s">
        <v>2745</v>
      </c>
      <c r="D117" s="3088" t="s">
        <v>2746</v>
      </c>
      <c r="E117" s="3114">
        <v>0.1</v>
      </c>
      <c r="F117" s="3114">
        <v>15</v>
      </c>
    </row>
    <row r="118" spans="1:6" ht="24">
      <c r="A118" s="3114">
        <v>46</v>
      </c>
      <c r="B118" s="3767" t="s">
        <v>2747</v>
      </c>
      <c r="C118" s="3114" t="s">
        <v>2748</v>
      </c>
      <c r="D118" s="3088" t="s">
        <v>2749</v>
      </c>
      <c r="E118" s="3114">
        <v>0.1</v>
      </c>
      <c r="F118" s="3114">
        <v>15</v>
      </c>
    </row>
    <row r="119" spans="1:6" ht="24">
      <c r="A119" s="3114">
        <v>47</v>
      </c>
      <c r="B119" s="3771"/>
      <c r="C119" s="3114" t="s">
        <v>2750</v>
      </c>
      <c r="D119" s="3088" t="s">
        <v>2751</v>
      </c>
      <c r="E119" s="3114">
        <v>0.1</v>
      </c>
      <c r="F119" s="3114">
        <v>15</v>
      </c>
    </row>
    <row r="120" spans="1:6" ht="13.5">
      <c r="A120" s="3114">
        <v>48</v>
      </c>
      <c r="B120" s="3767" t="s">
        <v>2752</v>
      </c>
      <c r="C120" s="3114" t="s">
        <v>2753</v>
      </c>
      <c r="D120" s="3088" t="s">
        <v>2754</v>
      </c>
      <c r="E120" s="3114">
        <v>0.1</v>
      </c>
      <c r="F120" s="3114">
        <v>15</v>
      </c>
    </row>
    <row r="121" spans="1:6" ht="13.5">
      <c r="A121" s="3114">
        <v>49</v>
      </c>
      <c r="B121" s="3771"/>
      <c r="C121" s="3114" t="s">
        <v>2755</v>
      </c>
      <c r="D121" s="3088" t="s">
        <v>2756</v>
      </c>
      <c r="E121" s="3114">
        <v>0.1</v>
      </c>
      <c r="F121" s="3114">
        <v>15</v>
      </c>
    </row>
    <row r="122" spans="1:6" ht="24">
      <c r="A122" s="3114">
        <v>50</v>
      </c>
      <c r="B122" s="3772" t="s">
        <v>2757</v>
      </c>
      <c r="C122" s="3114" t="s">
        <v>2758</v>
      </c>
      <c r="D122" s="3088" t="s">
        <v>2759</v>
      </c>
      <c r="E122" s="3114">
        <v>0.1</v>
      </c>
      <c r="F122" s="3114">
        <v>15</v>
      </c>
    </row>
    <row r="123" spans="1:6" ht="24">
      <c r="A123" s="3114">
        <v>51</v>
      </c>
      <c r="B123" s="3772"/>
      <c r="C123" s="3114" t="s">
        <v>2760</v>
      </c>
      <c r="D123" s="3088" t="s">
        <v>2761</v>
      </c>
      <c r="E123" s="3114">
        <v>0.1</v>
      </c>
      <c r="F123" s="3114">
        <v>15</v>
      </c>
    </row>
    <row r="124" spans="1:6" ht="24">
      <c r="A124" s="3114">
        <v>52</v>
      </c>
      <c r="B124" s="3772" t="s">
        <v>2762</v>
      </c>
      <c r="C124" s="3114" t="s">
        <v>2763</v>
      </c>
      <c r="D124" s="3088" t="s">
        <v>2764</v>
      </c>
      <c r="E124" s="3114">
        <v>0.1</v>
      </c>
      <c r="F124" s="3114">
        <v>15</v>
      </c>
    </row>
    <row r="125" spans="1:6" ht="24">
      <c r="A125" s="3114">
        <v>53</v>
      </c>
      <c r="B125" s="3772"/>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72" t="s">
        <v>2770</v>
      </c>
      <c r="C127" s="3114" t="s">
        <v>2771</v>
      </c>
      <c r="D127" s="3088" t="s">
        <v>2772</v>
      </c>
      <c r="E127" s="3114">
        <v>0.1</v>
      </c>
      <c r="F127" s="3114">
        <v>15</v>
      </c>
    </row>
    <row r="128" spans="1:6" ht="13.5">
      <c r="A128" s="3114">
        <v>56</v>
      </c>
      <c r="B128" s="3772"/>
      <c r="C128" s="3114" t="s">
        <v>2773</v>
      </c>
      <c r="D128" s="3088" t="s">
        <v>2774</v>
      </c>
      <c r="E128" s="3114">
        <v>0.1</v>
      </c>
      <c r="F128" s="3114">
        <v>15</v>
      </c>
    </row>
    <row r="129" spans="1:6" ht="24">
      <c r="A129" s="3114">
        <v>57</v>
      </c>
      <c r="B129" s="3772"/>
      <c r="C129" s="3114" t="s">
        <v>2775</v>
      </c>
      <c r="D129" s="3088" t="s">
        <v>2776</v>
      </c>
      <c r="E129" s="3114">
        <v>0.1</v>
      </c>
      <c r="F129" s="3114">
        <v>15</v>
      </c>
    </row>
    <row r="130" spans="1:6" ht="24">
      <c r="A130" s="3114">
        <v>58</v>
      </c>
      <c r="B130" s="3772" t="s">
        <v>2777</v>
      </c>
      <c r="C130" s="3114" t="s">
        <v>2778</v>
      </c>
      <c r="D130" s="3088" t="s">
        <v>2779</v>
      </c>
      <c r="E130" s="3114">
        <v>0.1</v>
      </c>
      <c r="F130" s="3114">
        <v>15</v>
      </c>
    </row>
    <row r="131" spans="1:6" ht="13.5">
      <c r="A131" s="3114">
        <v>59</v>
      </c>
      <c r="B131" s="3772"/>
      <c r="C131" s="3114" t="s">
        <v>2780</v>
      </c>
      <c r="D131" s="3088" t="s">
        <v>2781</v>
      </c>
      <c r="E131" s="3114">
        <v>0.1</v>
      </c>
      <c r="F131" s="3114">
        <v>15</v>
      </c>
    </row>
    <row r="132" spans="1:6" ht="13.5">
      <c r="A132" s="3114">
        <v>60</v>
      </c>
      <c r="B132" s="3767" t="s">
        <v>2782</v>
      </c>
      <c r="C132" s="3114" t="s">
        <v>2783</v>
      </c>
      <c r="D132" s="3088" t="s">
        <v>2784</v>
      </c>
      <c r="E132" s="3114">
        <v>0.1</v>
      </c>
      <c r="F132" s="3114">
        <v>15</v>
      </c>
    </row>
    <row r="133" spans="1:6" ht="13.5">
      <c r="A133" s="3114">
        <v>61</v>
      </c>
      <c r="B133" s="3771"/>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72" t="s">
        <v>2790</v>
      </c>
      <c r="C135" s="3114" t="s">
        <v>2791</v>
      </c>
      <c r="D135" s="3088" t="s">
        <v>2792</v>
      </c>
      <c r="E135" s="3114">
        <v>0.1</v>
      </c>
      <c r="F135" s="3114">
        <v>15</v>
      </c>
    </row>
    <row r="136" spans="1:6" ht="13.5">
      <c r="A136" s="3114">
        <v>64</v>
      </c>
      <c r="B136" s="3772"/>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76"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1.1559999999999999</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1.0995999999999999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28894</v>
      </c>
      <c r="C2" s="2" t="s">
        <v>106</v>
      </c>
      <c r="D2" s="199"/>
      <c r="E2" s="199"/>
      <c r="F2" s="199"/>
      <c r="G2" s="199"/>
    </row>
    <row r="3" spans="1:7" s="200" customFormat="1" ht="18" customHeight="1" thickBot="1">
      <c r="A3" s="203" t="s">
        <v>58</v>
      </c>
      <c r="B3" s="204">
        <f ca="1">ROUND(B2*10000/'数据-汇总表'!E3,0)</f>
        <v>3207593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90.08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90.08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4164</v>
      </c>
      <c r="D27" s="235">
        <f>C29</f>
        <v>2E-3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2</v>
      </c>
      <c r="D37" s="217">
        <f>'数据-汇总表'!E3</f>
        <v>90.08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5.0000000000000001E-4</v>
      </c>
      <c r="D44" s="238"/>
      <c r="E44" s="238"/>
      <c r="F44" s="239"/>
      <c r="G44" s="3638"/>
    </row>
    <row r="45" spans="1:7" s="214" customFormat="1" ht="13.5" customHeight="1">
      <c r="A45" s="777" t="s">
        <v>341</v>
      </c>
      <c r="B45" s="244" t="s">
        <v>85</v>
      </c>
      <c r="C45" s="245">
        <f>C46</f>
        <v>6</v>
      </c>
      <c r="D45" s="235">
        <f>C47</f>
        <v>2E-3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0.61499999999999999</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28894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A211" zoomScale="80" zoomScaleNormal="80" workbookViewId="0">
      <selection activeCell="A3" sqref="A3:G23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5" t="s">
        <v>2842</v>
      </c>
      <c r="B1" s="3775"/>
      <c r="C1" s="3775"/>
      <c r="D1" s="3775"/>
      <c r="E1" s="3775"/>
      <c r="F1" s="3775"/>
      <c r="G1" s="3776"/>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73"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74"/>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hidden="1">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hidden="1"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hidden="1">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hidden="1"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hidden="1"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hidden="1">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hidden="1">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hidden="1">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hidden="1">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hidden="1">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hidden="1">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hidden="1">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hidden="1"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hidden="1"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hidden="1"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hidden="1"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hidden="1"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hidden="1"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hidden="1"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hidden="1"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hidden="1"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hidden="1"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hidden="1"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hidden="1"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hidden="1"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hidden="1"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hidden="1"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hidden="1"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hidden="1"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hidden="1"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hidden="1"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hidden="1"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hidden="1"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hidden="1"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hidden="1"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hidden="1"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hidden="1"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hidden="1"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hidden="1"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hidden="1"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hidden="1"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hidden="1" customHeight="1">
      <c r="A46" s="3229" t="s">
        <v>296</v>
      </c>
      <c r="B46" s="3230" t="s">
        <v>245</v>
      </c>
      <c r="C46" s="3229">
        <v>23240</v>
      </c>
      <c r="D46" s="3229">
        <v>23000</v>
      </c>
      <c r="E46" s="3229">
        <v>24980</v>
      </c>
      <c r="F46" s="3229"/>
      <c r="G46" s="3242">
        <v>16100</v>
      </c>
      <c r="N46" s="3229" t="s">
        <v>3045</v>
      </c>
      <c r="Q46" s="3229" t="s">
        <v>3046</v>
      </c>
    </row>
    <row r="47" spans="1:17" ht="14.25" hidden="1" customHeight="1">
      <c r="A47" s="3229" t="s">
        <v>296</v>
      </c>
      <c r="B47" s="3230" t="s">
        <v>252</v>
      </c>
      <c r="C47" s="3229">
        <v>27150</v>
      </c>
      <c r="D47" s="3229">
        <v>23310</v>
      </c>
      <c r="E47" s="3229">
        <v>25150</v>
      </c>
      <c r="F47" s="3229"/>
      <c r="G47" s="3242">
        <v>16310</v>
      </c>
      <c r="N47" s="3229" t="s">
        <v>3047</v>
      </c>
      <c r="Q47" s="3229" t="s">
        <v>3048</v>
      </c>
    </row>
    <row r="48" spans="1:17" ht="14.25" hidden="1" customHeight="1">
      <c r="A48" s="3229" t="s">
        <v>296</v>
      </c>
      <c r="B48" s="3230" t="s">
        <v>260</v>
      </c>
      <c r="C48" s="3229">
        <v>23100</v>
      </c>
      <c r="D48" s="3229">
        <v>21110</v>
      </c>
      <c r="E48" s="3229">
        <v>23080</v>
      </c>
      <c r="F48" s="3229"/>
      <c r="G48" s="3242">
        <v>14780</v>
      </c>
      <c r="N48" s="3229" t="s">
        <v>3049</v>
      </c>
      <c r="Q48" s="3229" t="s">
        <v>3050</v>
      </c>
    </row>
    <row r="49" spans="1:17" ht="14.25" hidden="1" customHeight="1">
      <c r="A49" s="3229" t="s">
        <v>296</v>
      </c>
      <c r="B49" s="3230" t="s">
        <v>267</v>
      </c>
      <c r="C49" s="3229">
        <v>23400</v>
      </c>
      <c r="D49" s="3229">
        <v>22920</v>
      </c>
      <c r="E49" s="3229">
        <v>24900</v>
      </c>
      <c r="F49" s="3229"/>
      <c r="G49" s="3242">
        <v>16040</v>
      </c>
      <c r="N49" s="3229" t="s">
        <v>3051</v>
      </c>
      <c r="Q49" s="3229" t="s">
        <v>3052</v>
      </c>
    </row>
    <row r="50" spans="1:17" ht="14.25" hidden="1" customHeight="1">
      <c r="A50" s="3229" t="s">
        <v>296</v>
      </c>
      <c r="B50" s="3230" t="s">
        <v>2929</v>
      </c>
      <c r="C50" s="3229">
        <v>21200</v>
      </c>
      <c r="D50" s="3229">
        <v>26540</v>
      </c>
      <c r="E50" s="3229">
        <v>23200</v>
      </c>
      <c r="F50" s="3229"/>
      <c r="G50" s="3242">
        <v>18580</v>
      </c>
      <c r="N50" s="3229" t="s">
        <v>3053</v>
      </c>
      <c r="Q50" s="3230" t="s">
        <v>3054</v>
      </c>
    </row>
    <row r="51" spans="1:17" ht="14.25" hidden="1" customHeight="1" thickBot="1">
      <c r="A51" s="3229" t="s">
        <v>296</v>
      </c>
      <c r="B51" s="3230" t="s">
        <v>2931</v>
      </c>
      <c r="C51" s="3229">
        <v>23000</v>
      </c>
      <c r="D51" s="3229">
        <v>23460</v>
      </c>
      <c r="E51" s="3229">
        <v>25290</v>
      </c>
      <c r="F51" s="3229"/>
      <c r="G51" s="3242">
        <v>16420</v>
      </c>
      <c r="N51" s="3229" t="s">
        <v>3055</v>
      </c>
      <c r="Q51" s="3236" t="s">
        <v>3056</v>
      </c>
    </row>
    <row r="52" spans="1:17" ht="14.25" hidden="1" customHeight="1">
      <c r="A52" s="3229" t="s">
        <v>296</v>
      </c>
      <c r="B52" s="3230" t="s">
        <v>2935</v>
      </c>
      <c r="C52" s="3229">
        <v>26660</v>
      </c>
      <c r="D52" s="3229">
        <v>22350</v>
      </c>
      <c r="E52" s="3229">
        <v>22920</v>
      </c>
      <c r="F52" s="3229"/>
      <c r="G52" s="3242">
        <v>15640</v>
      </c>
      <c r="N52" s="3229" t="s">
        <v>3057</v>
      </c>
    </row>
    <row r="53" spans="1:17" ht="14.25" hidden="1" customHeight="1">
      <c r="A53" s="3229" t="s">
        <v>296</v>
      </c>
      <c r="B53" s="3230" t="s">
        <v>2940</v>
      </c>
      <c r="C53" s="3229">
        <v>23580</v>
      </c>
      <c r="D53" s="3229"/>
      <c r="E53" s="3229">
        <v>24280</v>
      </c>
      <c r="F53" s="3229"/>
      <c r="G53" s="3242"/>
      <c r="N53" s="3229" t="s">
        <v>3058</v>
      </c>
    </row>
    <row r="54" spans="1:17" ht="14.25" hidden="1" customHeight="1" thickBot="1">
      <c r="A54" s="3243" t="s">
        <v>296</v>
      </c>
      <c r="B54" s="3235" t="s">
        <v>2943</v>
      </c>
      <c r="C54" s="3236">
        <v>22460</v>
      </c>
      <c r="D54" s="3236"/>
      <c r="E54" s="3236"/>
      <c r="F54" s="3236"/>
      <c r="G54" s="3244"/>
      <c r="N54" s="3229" t="s">
        <v>3059</v>
      </c>
    </row>
    <row r="55" spans="1:17" ht="14.25" hidden="1" customHeight="1">
      <c r="A55" s="3234" t="s">
        <v>110</v>
      </c>
      <c r="B55" s="3225" t="s">
        <v>3060</v>
      </c>
      <c r="C55" s="3229">
        <v>21970</v>
      </c>
      <c r="D55" s="3229">
        <v>20370</v>
      </c>
      <c r="E55" s="3229">
        <v>20180</v>
      </c>
      <c r="F55" s="3229">
        <v>5730</v>
      </c>
      <c r="G55" s="3229">
        <v>13820</v>
      </c>
      <c r="N55" s="3229" t="s">
        <v>3061</v>
      </c>
    </row>
    <row r="56" spans="1:17" ht="14.25" hidden="1" customHeight="1">
      <c r="A56" s="3229" t="s">
        <v>110</v>
      </c>
      <c r="B56" s="3229" t="s">
        <v>130</v>
      </c>
      <c r="C56" s="3229">
        <v>20470</v>
      </c>
      <c r="D56" s="3229">
        <v>20700</v>
      </c>
      <c r="E56" s="3229">
        <v>20380</v>
      </c>
      <c r="F56" s="3229">
        <v>4760</v>
      </c>
      <c r="G56" s="3229">
        <v>14050</v>
      </c>
      <c r="N56" s="3229" t="s">
        <v>3062</v>
      </c>
    </row>
    <row r="57" spans="1:17" ht="14.25" hidden="1" customHeight="1">
      <c r="A57" s="3229" t="s">
        <v>110</v>
      </c>
      <c r="B57" s="3229" t="s">
        <v>139</v>
      </c>
      <c r="C57" s="3229">
        <v>20790</v>
      </c>
      <c r="D57" s="3229">
        <v>21370</v>
      </c>
      <c r="E57" s="3229">
        <v>20890</v>
      </c>
      <c r="F57" s="3229">
        <v>4910</v>
      </c>
      <c r="G57" s="3229">
        <v>14510</v>
      </c>
      <c r="N57" s="3229" t="s">
        <v>3063</v>
      </c>
    </row>
    <row r="58" spans="1:17" ht="14.25" hidden="1" customHeight="1">
      <c r="A58" s="3229" t="s">
        <v>110</v>
      </c>
      <c r="B58" s="3229" t="s">
        <v>148</v>
      </c>
      <c r="C58" s="3229">
        <v>21460</v>
      </c>
      <c r="D58" s="3229">
        <v>20920</v>
      </c>
      <c r="E58" s="3229">
        <v>23410</v>
      </c>
      <c r="F58" s="3229">
        <v>5100</v>
      </c>
      <c r="G58" s="3229">
        <v>14200</v>
      </c>
      <c r="N58" s="3229" t="s">
        <v>3064</v>
      </c>
    </row>
    <row r="59" spans="1:17" ht="14.25" hidden="1" customHeight="1">
      <c r="A59" s="3229" t="s">
        <v>110</v>
      </c>
      <c r="B59" s="3229" t="s">
        <v>157</v>
      </c>
      <c r="C59" s="3229">
        <v>21000</v>
      </c>
      <c r="D59" s="3229">
        <v>21550</v>
      </c>
      <c r="E59" s="3229">
        <v>21150</v>
      </c>
      <c r="F59" s="3229">
        <v>5250</v>
      </c>
      <c r="G59" s="3229">
        <v>14630</v>
      </c>
      <c r="N59" s="3229" t="s">
        <v>3065</v>
      </c>
    </row>
    <row r="60" spans="1:17" ht="14.25" hidden="1" customHeight="1">
      <c r="A60" s="3229" t="s">
        <v>110</v>
      </c>
      <c r="B60" s="3229" t="s">
        <v>164</v>
      </c>
      <c r="C60" s="3229">
        <v>21640</v>
      </c>
      <c r="D60" s="3229">
        <v>21260</v>
      </c>
      <c r="E60" s="3229">
        <v>24040</v>
      </c>
      <c r="F60" s="3229">
        <v>4470</v>
      </c>
      <c r="G60" s="3229">
        <v>14430</v>
      </c>
      <c r="N60" s="3229" t="s">
        <v>3066</v>
      </c>
    </row>
    <row r="61" spans="1:17" ht="14.25" hidden="1" customHeight="1">
      <c r="A61" s="3229" t="s">
        <v>110</v>
      </c>
      <c r="B61" s="3229" t="s">
        <v>170</v>
      </c>
      <c r="C61" s="3229">
        <v>21330</v>
      </c>
      <c r="D61" s="3229">
        <v>18640</v>
      </c>
      <c r="E61" s="3229">
        <v>21190</v>
      </c>
      <c r="F61" s="3229">
        <v>4180</v>
      </c>
      <c r="G61" s="3229">
        <v>12650</v>
      </c>
      <c r="N61" s="3229" t="s">
        <v>3067</v>
      </c>
    </row>
    <row r="62" spans="1:17" ht="14.25" hidden="1" customHeight="1">
      <c r="A62" s="3229" t="s">
        <v>110</v>
      </c>
      <c r="B62" s="3229" t="s">
        <v>177</v>
      </c>
      <c r="C62" s="3229">
        <v>18710</v>
      </c>
      <c r="D62" s="3229">
        <v>19400</v>
      </c>
      <c r="E62" s="3229">
        <v>23750</v>
      </c>
      <c r="F62" s="3229">
        <v>4860</v>
      </c>
      <c r="G62" s="3229">
        <v>13170</v>
      </c>
      <c r="N62" s="3229" t="s">
        <v>3068</v>
      </c>
    </row>
    <row r="63" spans="1:17" ht="14.25" hidden="1" customHeight="1">
      <c r="A63" s="3229" t="s">
        <v>110</v>
      </c>
      <c r="B63" s="3229" t="s">
        <v>187</v>
      </c>
      <c r="C63" s="3229">
        <v>19480</v>
      </c>
      <c r="D63" s="3229">
        <v>16830</v>
      </c>
      <c r="E63" s="3229">
        <v>21590</v>
      </c>
      <c r="F63" s="3229">
        <v>4560</v>
      </c>
      <c r="G63" s="3229">
        <v>11420</v>
      </c>
      <c r="N63" s="3229" t="s">
        <v>3069</v>
      </c>
    </row>
    <row r="64" spans="1:17" ht="14.25" hidden="1" customHeight="1" thickBot="1">
      <c r="A64" s="3229" t="s">
        <v>110</v>
      </c>
      <c r="B64" s="3229" t="s">
        <v>196</v>
      </c>
      <c r="C64" s="3229">
        <v>16920</v>
      </c>
      <c r="D64" s="3229">
        <v>19190</v>
      </c>
      <c r="E64" s="3229">
        <v>22200</v>
      </c>
      <c r="F64" s="3229">
        <v>4390</v>
      </c>
      <c r="G64" s="3229">
        <v>13030</v>
      </c>
      <c r="N64" s="3236" t="s">
        <v>3070</v>
      </c>
    </row>
    <row r="65" spans="1:7" s="3218" customFormat="1" ht="14.25" hidden="1" customHeight="1">
      <c r="A65" s="3229" t="s">
        <v>110</v>
      </c>
      <c r="B65" s="3229" t="s">
        <v>203</v>
      </c>
      <c r="C65" s="3229">
        <v>19290</v>
      </c>
      <c r="D65" s="3229">
        <v>17020</v>
      </c>
      <c r="E65" s="3229">
        <v>19880</v>
      </c>
      <c r="F65" s="3229">
        <v>4070</v>
      </c>
      <c r="G65" s="3229">
        <v>11550</v>
      </c>
    </row>
    <row r="66" spans="1:7" s="3218" customFormat="1" ht="14.25" hidden="1" customHeight="1">
      <c r="A66" s="3229" t="s">
        <v>110</v>
      </c>
      <c r="B66" s="3229" t="s">
        <v>210</v>
      </c>
      <c r="C66" s="3229">
        <v>17090</v>
      </c>
      <c r="D66" s="3229">
        <v>18340</v>
      </c>
      <c r="E66" s="3229">
        <v>21830</v>
      </c>
      <c r="F66" s="3229">
        <v>4690</v>
      </c>
      <c r="G66" s="3229">
        <v>12450</v>
      </c>
    </row>
    <row r="67" spans="1:7" s="3218" customFormat="1" ht="14.25" hidden="1" customHeight="1">
      <c r="A67" s="3229" t="s">
        <v>110</v>
      </c>
      <c r="B67" s="3229" t="s">
        <v>216</v>
      </c>
      <c r="C67" s="3229">
        <v>18420</v>
      </c>
      <c r="D67" s="3229">
        <v>16360</v>
      </c>
      <c r="E67" s="3229">
        <v>20020</v>
      </c>
      <c r="F67" s="3229">
        <v>5150</v>
      </c>
      <c r="G67" s="3229">
        <v>11110</v>
      </c>
    </row>
    <row r="68" spans="1:7" s="3218" customFormat="1" ht="14.25" hidden="1" customHeight="1">
      <c r="A68" s="3229" t="s">
        <v>110</v>
      </c>
      <c r="B68" s="3229" t="s">
        <v>224</v>
      </c>
      <c r="C68" s="3229">
        <v>16450</v>
      </c>
      <c r="D68" s="3229">
        <v>18430</v>
      </c>
      <c r="E68" s="3229">
        <v>21010</v>
      </c>
      <c r="F68" s="3229">
        <v>4720</v>
      </c>
      <c r="G68" s="3229">
        <v>12510</v>
      </c>
    </row>
    <row r="69" spans="1:7" s="3218" customFormat="1" ht="14.25" hidden="1" customHeight="1">
      <c r="A69" s="3229" t="s">
        <v>110</v>
      </c>
      <c r="B69" s="3229" t="s">
        <v>232</v>
      </c>
      <c r="C69" s="3229">
        <v>18510</v>
      </c>
      <c r="D69" s="3229">
        <v>16300</v>
      </c>
      <c r="E69" s="3229">
        <v>18830</v>
      </c>
      <c r="F69" s="3229">
        <v>5400</v>
      </c>
      <c r="G69" s="3229">
        <v>11070</v>
      </c>
    </row>
    <row r="70" spans="1:7" s="3218" customFormat="1" ht="14.25" hidden="1" customHeight="1">
      <c r="A70" s="3229" t="s">
        <v>110</v>
      </c>
      <c r="B70" s="3229" t="s">
        <v>237</v>
      </c>
      <c r="C70" s="3229">
        <v>16370</v>
      </c>
      <c r="D70" s="3229">
        <v>18620</v>
      </c>
      <c r="E70" s="3229">
        <v>21100</v>
      </c>
      <c r="F70" s="3229">
        <v>5700</v>
      </c>
      <c r="G70" s="3229">
        <v>12640</v>
      </c>
    </row>
    <row r="71" spans="1:7" s="3218" customFormat="1" ht="14.25" hidden="1" customHeight="1">
      <c r="A71" s="3229" t="s">
        <v>110</v>
      </c>
      <c r="B71" s="3229" t="s">
        <v>246</v>
      </c>
      <c r="C71" s="3229">
        <v>18700</v>
      </c>
      <c r="D71" s="3229">
        <v>16290</v>
      </c>
      <c r="E71" s="3229">
        <v>18760</v>
      </c>
      <c r="F71" s="3229">
        <v>4780</v>
      </c>
      <c r="G71" s="3229">
        <v>11050</v>
      </c>
    </row>
    <row r="72" spans="1:7" s="3218" customFormat="1" ht="14.25" hidden="1" customHeight="1">
      <c r="A72" s="3229" t="s">
        <v>110</v>
      </c>
      <c r="B72" s="3229" t="s">
        <v>253</v>
      </c>
      <c r="C72" s="3229">
        <v>16340</v>
      </c>
      <c r="D72" s="3229">
        <v>17520</v>
      </c>
      <c r="E72" s="3229">
        <v>21170</v>
      </c>
      <c r="F72" s="3229"/>
      <c r="G72" s="3229">
        <v>11900</v>
      </c>
    </row>
    <row r="73" spans="1:7" s="3218" customFormat="1" ht="14.25" hidden="1" customHeight="1">
      <c r="A73" s="3229" t="s">
        <v>110</v>
      </c>
      <c r="B73" s="3229" t="s">
        <v>261</v>
      </c>
      <c r="C73" s="3229">
        <v>17610</v>
      </c>
      <c r="D73" s="3229">
        <v>18520</v>
      </c>
      <c r="E73" s="3229">
        <v>18720</v>
      </c>
      <c r="F73" s="3229"/>
      <c r="G73" s="3229">
        <v>12570</v>
      </c>
    </row>
    <row r="74" spans="1:7" s="3218" customFormat="1" ht="14.25" hidden="1" customHeight="1">
      <c r="A74" s="3229" t="s">
        <v>110</v>
      </c>
      <c r="B74" s="3229" t="s">
        <v>268</v>
      </c>
      <c r="C74" s="3229">
        <v>18600</v>
      </c>
      <c r="D74" s="3229">
        <v>16480</v>
      </c>
      <c r="E74" s="3229">
        <v>20100</v>
      </c>
      <c r="F74" s="3229"/>
      <c r="G74" s="3229">
        <v>11190</v>
      </c>
    </row>
    <row r="75" spans="1:7" s="3218" customFormat="1" ht="14.25" hidden="1" customHeight="1">
      <c r="A75" s="3229" t="s">
        <v>110</v>
      </c>
      <c r="B75" s="3229" t="s">
        <v>272</v>
      </c>
      <c r="C75" s="3229">
        <v>16570</v>
      </c>
      <c r="D75" s="3229">
        <v>17530</v>
      </c>
      <c r="E75" s="3229">
        <v>21030</v>
      </c>
      <c r="F75" s="3229"/>
      <c r="G75" s="3229">
        <v>11900</v>
      </c>
    </row>
    <row r="76" spans="1:7" s="3218" customFormat="1" ht="14.25" hidden="1" customHeight="1">
      <c r="A76" s="3229" t="s">
        <v>110</v>
      </c>
      <c r="B76" s="3229" t="s">
        <v>278</v>
      </c>
      <c r="C76" s="3229">
        <v>17610</v>
      </c>
      <c r="D76" s="3229">
        <v>20800</v>
      </c>
      <c r="E76" s="3229">
        <v>18920</v>
      </c>
      <c r="F76" s="3229"/>
      <c r="G76" s="3229">
        <v>14120</v>
      </c>
    </row>
    <row r="77" spans="1:7" s="3218" customFormat="1" ht="14.25" hidden="1" customHeight="1">
      <c r="A77" s="3229" t="s">
        <v>110</v>
      </c>
      <c r="B77" s="3229" t="s">
        <v>281</v>
      </c>
      <c r="C77" s="3229">
        <v>20890</v>
      </c>
      <c r="D77" s="3229">
        <v>19740</v>
      </c>
      <c r="E77" s="3229">
        <v>20110</v>
      </c>
      <c r="F77" s="3229"/>
      <c r="G77" s="3229">
        <v>13400</v>
      </c>
    </row>
    <row r="78" spans="1:7" s="3218" customFormat="1" ht="14.25" hidden="1" customHeight="1">
      <c r="A78" s="3229" t="s">
        <v>110</v>
      </c>
      <c r="B78" s="3229" t="s">
        <v>2941</v>
      </c>
      <c r="C78" s="3229">
        <v>19820</v>
      </c>
      <c r="D78" s="3229">
        <v>19780</v>
      </c>
      <c r="E78" s="3229">
        <v>18560</v>
      </c>
      <c r="F78" s="3229"/>
      <c r="G78" s="3229">
        <v>13430</v>
      </c>
    </row>
    <row r="79" spans="1:7" s="3218" customFormat="1" ht="14.25" hidden="1" customHeight="1">
      <c r="A79" s="3229" t="s">
        <v>110</v>
      </c>
      <c r="B79" s="3229" t="s">
        <v>2944</v>
      </c>
      <c r="C79" s="3229">
        <v>21660</v>
      </c>
      <c r="D79" s="3229">
        <v>18000</v>
      </c>
      <c r="E79" s="3229">
        <v>22570</v>
      </c>
      <c r="F79" s="3229"/>
      <c r="G79" s="3229">
        <v>12220</v>
      </c>
    </row>
    <row r="80" spans="1:7" s="3218" customFormat="1" ht="14.25" hidden="1" customHeight="1">
      <c r="A80" s="3229" t="s">
        <v>110</v>
      </c>
      <c r="B80" s="3229" t="s">
        <v>2948</v>
      </c>
      <c r="C80" s="3229">
        <v>19850</v>
      </c>
      <c r="D80" s="3229"/>
      <c r="E80" s="3229">
        <v>21700</v>
      </c>
      <c r="F80" s="3229"/>
      <c r="G80" s="3229"/>
    </row>
    <row r="81" spans="1:7" s="3218" customFormat="1" ht="14.25" hidden="1" customHeight="1">
      <c r="A81" s="3229" t="s">
        <v>110</v>
      </c>
      <c r="B81" s="3229" t="s">
        <v>2953</v>
      </c>
      <c r="C81" s="3229">
        <v>18080</v>
      </c>
      <c r="D81" s="3229"/>
      <c r="E81" s="3229">
        <v>20900</v>
      </c>
      <c r="F81" s="3229"/>
      <c r="G81" s="3229"/>
    </row>
    <row r="82" spans="1:7" s="3218" customFormat="1" ht="14.25" hidden="1" customHeight="1">
      <c r="A82" s="3229" t="s">
        <v>110</v>
      </c>
      <c r="B82" s="3229" t="s">
        <v>2960</v>
      </c>
      <c r="C82" s="3229"/>
      <c r="D82" s="3229"/>
      <c r="E82" s="3229">
        <v>20840</v>
      </c>
      <c r="F82" s="3229"/>
      <c r="G82" s="3229"/>
    </row>
    <row r="83" spans="1:7" s="3218" customFormat="1" ht="14.25" hidden="1" customHeight="1">
      <c r="A83" s="3229" t="s">
        <v>110</v>
      </c>
      <c r="B83" s="3229" t="s">
        <v>3071</v>
      </c>
      <c r="C83" s="3229"/>
      <c r="D83" s="3229"/>
      <c r="E83" s="3229"/>
      <c r="F83" s="3229">
        <v>4770</v>
      </c>
      <c r="G83" s="3229"/>
    </row>
    <row r="84" spans="1:7" s="3218" customFormat="1" ht="14.25" hidden="1" customHeight="1">
      <c r="A84" s="3229" t="s">
        <v>110</v>
      </c>
      <c r="B84" s="3229" t="s">
        <v>3072</v>
      </c>
      <c r="C84" s="3229"/>
      <c r="D84" s="3229"/>
      <c r="E84" s="3229"/>
      <c r="F84" s="3229">
        <v>4600</v>
      </c>
      <c r="G84" s="3229"/>
    </row>
    <row r="85" spans="1:7" s="3218" customFormat="1" ht="14.25" hidden="1" customHeight="1">
      <c r="A85" s="3229" t="s">
        <v>110</v>
      </c>
      <c r="B85" s="3229" t="s">
        <v>3073</v>
      </c>
      <c r="C85" s="3229"/>
      <c r="D85" s="3229"/>
      <c r="E85" s="3229"/>
      <c r="F85" s="3229">
        <v>4680</v>
      </c>
      <c r="G85" s="3229"/>
    </row>
    <row r="86" spans="1:7" s="3218" customFormat="1" ht="14.25" hidden="1" customHeight="1" thickBot="1">
      <c r="A86" s="3237" t="s">
        <v>110</v>
      </c>
      <c r="B86" s="3239" t="s">
        <v>3074</v>
      </c>
      <c r="C86" s="3240">
        <v>16610</v>
      </c>
      <c r="D86" s="3240">
        <v>16540</v>
      </c>
      <c r="E86" s="3240">
        <v>18850</v>
      </c>
      <c r="F86" s="3240"/>
      <c r="G86" s="3240">
        <v>11220</v>
      </c>
    </row>
    <row r="87" spans="1:7" s="3218" customFormat="1" ht="14.25" hidden="1" customHeight="1">
      <c r="A87" s="3234" t="s">
        <v>303</v>
      </c>
      <c r="B87" s="3225" t="s">
        <v>3075</v>
      </c>
      <c r="C87" s="3225">
        <v>15240</v>
      </c>
      <c r="D87" s="3225">
        <v>15170</v>
      </c>
      <c r="E87" s="3225">
        <v>18260</v>
      </c>
      <c r="F87" s="3225">
        <v>3830</v>
      </c>
      <c r="G87" s="3241">
        <v>10020</v>
      </c>
    </row>
    <row r="88" spans="1:7" s="3218" customFormat="1" ht="14.25" hidden="1" customHeight="1">
      <c r="A88" s="3229" t="s">
        <v>303</v>
      </c>
      <c r="B88" s="3229" t="s">
        <v>131</v>
      </c>
      <c r="C88" s="3229">
        <v>17310</v>
      </c>
      <c r="D88" s="3229">
        <v>17220</v>
      </c>
      <c r="E88" s="3229">
        <v>18610</v>
      </c>
      <c r="F88" s="3229">
        <v>3990</v>
      </c>
      <c r="G88" s="3242">
        <v>11380</v>
      </c>
    </row>
    <row r="89" spans="1:7" s="3218" customFormat="1" ht="14.25" hidden="1" customHeight="1">
      <c r="A89" s="3229" t="s">
        <v>303</v>
      </c>
      <c r="B89" s="3229" t="s">
        <v>140</v>
      </c>
      <c r="C89" s="3229">
        <v>15600</v>
      </c>
      <c r="D89" s="3229">
        <v>15550</v>
      </c>
      <c r="E89" s="3229">
        <v>19200</v>
      </c>
      <c r="F89" s="3229">
        <v>4110</v>
      </c>
      <c r="G89" s="3242">
        <v>10270</v>
      </c>
    </row>
    <row r="90" spans="1:7" s="3218" customFormat="1" ht="14.25" hidden="1" customHeight="1">
      <c r="A90" s="3229" t="s">
        <v>303</v>
      </c>
      <c r="B90" s="3229" t="s">
        <v>149</v>
      </c>
      <c r="C90" s="3229">
        <v>17330</v>
      </c>
      <c r="D90" s="3229">
        <v>17240</v>
      </c>
      <c r="E90" s="3229">
        <v>18570</v>
      </c>
      <c r="F90" s="3229">
        <v>4070</v>
      </c>
      <c r="G90" s="3242">
        <v>11390</v>
      </c>
    </row>
    <row r="91" spans="1:7" s="3218" customFormat="1" ht="14.25" hidden="1" customHeight="1">
      <c r="A91" s="3229" t="s">
        <v>303</v>
      </c>
      <c r="B91" s="3229" t="s">
        <v>158</v>
      </c>
      <c r="C91" s="3229">
        <v>16330</v>
      </c>
      <c r="D91" s="3229">
        <v>16260</v>
      </c>
      <c r="E91" s="3229">
        <v>16800</v>
      </c>
      <c r="F91" s="3229">
        <v>3410</v>
      </c>
      <c r="G91" s="3242">
        <v>10740</v>
      </c>
    </row>
    <row r="92" spans="1:7" s="3218" customFormat="1" ht="14.25" hidden="1" customHeight="1">
      <c r="A92" s="3229" t="s">
        <v>303</v>
      </c>
      <c r="B92" s="3229" t="s">
        <v>165</v>
      </c>
      <c r="C92" s="3229">
        <v>15570</v>
      </c>
      <c r="D92" s="3229">
        <v>15500</v>
      </c>
      <c r="E92" s="3229">
        <v>17360</v>
      </c>
      <c r="F92" s="3229">
        <v>3510</v>
      </c>
      <c r="G92" s="3242">
        <v>10240</v>
      </c>
    </row>
    <row r="93" spans="1:7" s="3218" customFormat="1" ht="14.25" hidden="1" customHeight="1">
      <c r="A93" s="3229" t="s">
        <v>303</v>
      </c>
      <c r="B93" s="3229" t="s">
        <v>171</v>
      </c>
      <c r="C93" s="3229">
        <v>14000</v>
      </c>
      <c r="D93" s="3229">
        <v>13930</v>
      </c>
      <c r="E93" s="3229">
        <v>18200</v>
      </c>
      <c r="F93" s="3229">
        <v>3640</v>
      </c>
      <c r="G93" s="3242">
        <v>9210</v>
      </c>
    </row>
    <row r="94" spans="1:7" s="3218" customFormat="1" ht="14.25" hidden="1" customHeight="1">
      <c r="A94" s="3229" t="s">
        <v>303</v>
      </c>
      <c r="B94" s="3229" t="s">
        <v>178</v>
      </c>
      <c r="C94" s="3229">
        <v>14530</v>
      </c>
      <c r="D94" s="3229">
        <v>14470</v>
      </c>
      <c r="E94" s="3229">
        <v>18240</v>
      </c>
      <c r="F94" s="3229">
        <v>3180</v>
      </c>
      <c r="G94" s="3242">
        <v>9560</v>
      </c>
    </row>
    <row r="95" spans="1:7" s="3218" customFormat="1" ht="14.25" hidden="1" customHeight="1">
      <c r="A95" s="3229" t="s">
        <v>303</v>
      </c>
      <c r="B95" s="3229" t="s">
        <v>188</v>
      </c>
      <c r="C95" s="3229">
        <v>17330</v>
      </c>
      <c r="D95" s="3229">
        <v>17260</v>
      </c>
      <c r="E95" s="3229">
        <v>18420</v>
      </c>
      <c r="F95" s="3229">
        <v>3060</v>
      </c>
      <c r="G95" s="3242">
        <v>11410</v>
      </c>
    </row>
    <row r="96" spans="1:7" s="3218" customFormat="1" ht="14.25" hidden="1" customHeight="1">
      <c r="A96" s="3229" t="s">
        <v>303</v>
      </c>
      <c r="B96" s="3229" t="s">
        <v>197</v>
      </c>
      <c r="C96" s="3229">
        <v>15030</v>
      </c>
      <c r="D96" s="3229">
        <v>14970</v>
      </c>
      <c r="E96" s="3229">
        <v>17580</v>
      </c>
      <c r="F96" s="3229">
        <v>2970</v>
      </c>
      <c r="G96" s="3242">
        <v>9890</v>
      </c>
    </row>
    <row r="97" spans="1:7" s="3218" customFormat="1" ht="14.25" hidden="1" customHeight="1">
      <c r="A97" s="3229" t="s">
        <v>303</v>
      </c>
      <c r="B97" s="3229" t="s">
        <v>204</v>
      </c>
      <c r="C97" s="3229">
        <v>17400</v>
      </c>
      <c r="D97" s="3229">
        <v>17330</v>
      </c>
      <c r="E97" s="3229">
        <v>16430</v>
      </c>
      <c r="F97" s="3229">
        <v>2950</v>
      </c>
      <c r="G97" s="3242">
        <v>11450</v>
      </c>
    </row>
    <row r="98" spans="1:7" s="3218" customFormat="1" ht="14.25" hidden="1" customHeight="1">
      <c r="A98" s="3229" t="s">
        <v>303</v>
      </c>
      <c r="B98" s="3229" t="s">
        <v>211</v>
      </c>
      <c r="C98" s="3229">
        <v>15200</v>
      </c>
      <c r="D98" s="3229">
        <v>15120</v>
      </c>
      <c r="E98" s="3229">
        <v>17550</v>
      </c>
      <c r="F98" s="3229">
        <v>3080</v>
      </c>
      <c r="G98" s="3242">
        <v>9990</v>
      </c>
    </row>
    <row r="99" spans="1:7" s="3218" customFormat="1" ht="14.25" hidden="1" customHeight="1">
      <c r="A99" s="3229" t="s">
        <v>303</v>
      </c>
      <c r="B99" s="3229" t="s">
        <v>217</v>
      </c>
      <c r="C99" s="3229">
        <v>17520</v>
      </c>
      <c r="D99" s="3229">
        <v>17430</v>
      </c>
      <c r="E99" s="3229">
        <v>16350</v>
      </c>
      <c r="F99" s="3229">
        <v>3260</v>
      </c>
      <c r="G99" s="3242">
        <v>11510</v>
      </c>
    </row>
    <row r="100" spans="1:7" s="3218" customFormat="1" ht="14.25" hidden="1" customHeight="1">
      <c r="A100" s="3229" t="s">
        <v>303</v>
      </c>
      <c r="B100" s="3229" t="s">
        <v>225</v>
      </c>
      <c r="C100" s="3229">
        <v>15340</v>
      </c>
      <c r="D100" s="3229">
        <v>15260</v>
      </c>
      <c r="E100" s="3229">
        <v>15930</v>
      </c>
      <c r="F100" s="3229">
        <v>2740</v>
      </c>
      <c r="G100" s="3242">
        <v>10080</v>
      </c>
    </row>
    <row r="101" spans="1:7" s="3218" customFormat="1" ht="14.25" hidden="1" customHeight="1">
      <c r="A101" s="3229" t="s">
        <v>303</v>
      </c>
      <c r="B101" s="3229" t="s">
        <v>233</v>
      </c>
      <c r="C101" s="3229">
        <v>14620</v>
      </c>
      <c r="D101" s="3229">
        <v>14560</v>
      </c>
      <c r="E101" s="3229">
        <v>15570</v>
      </c>
      <c r="F101" s="3229">
        <v>3500</v>
      </c>
      <c r="G101" s="3242">
        <v>9630</v>
      </c>
    </row>
    <row r="102" spans="1:7" s="3218" customFormat="1" ht="14.25" hidden="1" customHeight="1">
      <c r="A102" s="3229" t="s">
        <v>303</v>
      </c>
      <c r="B102" s="3229" t="s">
        <v>238</v>
      </c>
      <c r="C102" s="3229">
        <v>13680</v>
      </c>
      <c r="D102" s="3229">
        <v>13610</v>
      </c>
      <c r="E102" s="3229">
        <v>15690</v>
      </c>
      <c r="F102" s="3229">
        <v>2870</v>
      </c>
      <c r="G102" s="3242">
        <v>8990</v>
      </c>
    </row>
    <row r="103" spans="1:7" s="3218" customFormat="1" ht="14.25" hidden="1" customHeight="1">
      <c r="A103" s="3229" t="s">
        <v>303</v>
      </c>
      <c r="B103" s="3229" t="s">
        <v>247</v>
      </c>
      <c r="C103" s="3229">
        <v>14620</v>
      </c>
      <c r="D103" s="3229">
        <v>14540</v>
      </c>
      <c r="E103" s="3229">
        <v>15240</v>
      </c>
      <c r="F103" s="3229">
        <v>2840</v>
      </c>
      <c r="G103" s="3242">
        <v>9610</v>
      </c>
    </row>
    <row r="104" spans="1:7" s="3218" customFormat="1" ht="14.25" hidden="1" customHeight="1">
      <c r="A104" s="3229" t="s">
        <v>303</v>
      </c>
      <c r="B104" s="3229" t="s">
        <v>254</v>
      </c>
      <c r="C104" s="3229">
        <v>13610</v>
      </c>
      <c r="D104" s="3229">
        <v>13540</v>
      </c>
      <c r="E104" s="3229">
        <v>15750</v>
      </c>
      <c r="F104" s="3229">
        <v>2770</v>
      </c>
      <c r="G104" s="3242">
        <v>8940</v>
      </c>
    </row>
    <row r="105" spans="1:7" s="3218" customFormat="1" ht="14.25" hidden="1" customHeight="1">
      <c r="A105" s="3229" t="s">
        <v>303</v>
      </c>
      <c r="B105" s="3229" t="s">
        <v>262</v>
      </c>
      <c r="C105" s="3229">
        <v>13310</v>
      </c>
      <c r="D105" s="3229">
        <v>13240</v>
      </c>
      <c r="E105" s="3229">
        <v>16280</v>
      </c>
      <c r="F105" s="3229">
        <v>3210</v>
      </c>
      <c r="G105" s="3242">
        <v>8750</v>
      </c>
    </row>
    <row r="106" spans="1:7" s="3218" customFormat="1" ht="14.25" hidden="1" customHeight="1">
      <c r="A106" s="3229" t="s">
        <v>303</v>
      </c>
      <c r="B106" s="3229" t="s">
        <v>269</v>
      </c>
      <c r="C106" s="3229">
        <v>13010</v>
      </c>
      <c r="D106" s="3229">
        <v>12930</v>
      </c>
      <c r="E106" s="3229">
        <v>14960</v>
      </c>
      <c r="F106" s="3229">
        <v>3530</v>
      </c>
      <c r="G106" s="3242">
        <v>8550</v>
      </c>
    </row>
    <row r="107" spans="1:7" s="3218" customFormat="1" ht="14.25" hidden="1" customHeight="1">
      <c r="A107" s="3229" t="s">
        <v>303</v>
      </c>
      <c r="B107" s="3229" t="s">
        <v>273</v>
      </c>
      <c r="C107" s="3229">
        <v>13070</v>
      </c>
      <c r="D107" s="3229">
        <v>13000</v>
      </c>
      <c r="E107" s="3229">
        <v>15910</v>
      </c>
      <c r="F107" s="3229">
        <v>3990</v>
      </c>
      <c r="G107" s="3242">
        <v>8580</v>
      </c>
    </row>
    <row r="108" spans="1:7" s="3218" customFormat="1" ht="14.25" hidden="1" customHeight="1">
      <c r="A108" s="3229" t="s">
        <v>303</v>
      </c>
      <c r="B108" s="3229" t="s">
        <v>279</v>
      </c>
      <c r="C108" s="3229">
        <v>12640</v>
      </c>
      <c r="D108" s="3229">
        <v>12580</v>
      </c>
      <c r="E108" s="3229">
        <v>15730</v>
      </c>
      <c r="F108" s="3229"/>
      <c r="G108" s="3242">
        <v>8310</v>
      </c>
    </row>
    <row r="109" spans="1:7" s="3218" customFormat="1" ht="14.25" hidden="1" customHeight="1">
      <c r="A109" s="3229" t="s">
        <v>303</v>
      </c>
      <c r="B109" s="3229" t="s">
        <v>282</v>
      </c>
      <c r="C109" s="3229">
        <v>13130</v>
      </c>
      <c r="D109" s="3229">
        <v>13070</v>
      </c>
      <c r="E109" s="3229">
        <v>15000</v>
      </c>
      <c r="F109" s="3229"/>
      <c r="G109" s="3242">
        <v>8630</v>
      </c>
    </row>
    <row r="110" spans="1:7" s="3218" customFormat="1" ht="14.25" hidden="1" customHeight="1">
      <c r="A110" s="3229" t="s">
        <v>303</v>
      </c>
      <c r="B110" s="3229" t="s">
        <v>284</v>
      </c>
      <c r="C110" s="3229">
        <v>13560</v>
      </c>
      <c r="D110" s="3229">
        <v>13490</v>
      </c>
      <c r="E110" s="3229">
        <v>16300</v>
      </c>
      <c r="F110" s="3229"/>
      <c r="G110" s="3242">
        <v>8920</v>
      </c>
    </row>
    <row r="111" spans="1:7" s="3218" customFormat="1" ht="14.25" hidden="1" customHeight="1">
      <c r="A111" s="3229" t="s">
        <v>303</v>
      </c>
      <c r="B111" s="3229" t="s">
        <v>287</v>
      </c>
      <c r="C111" s="3229">
        <v>12440</v>
      </c>
      <c r="D111" s="3229">
        <v>12380</v>
      </c>
      <c r="E111" s="3229">
        <v>17850</v>
      </c>
      <c r="F111" s="3229"/>
      <c r="G111" s="3242">
        <v>8180</v>
      </c>
    </row>
    <row r="112" spans="1:7" s="3218" customFormat="1" ht="14.25" hidden="1" customHeight="1">
      <c r="A112" s="3229" t="s">
        <v>303</v>
      </c>
      <c r="B112" s="3229" t="s">
        <v>291</v>
      </c>
      <c r="C112" s="3229">
        <v>13260</v>
      </c>
      <c r="D112" s="3229">
        <v>13180</v>
      </c>
      <c r="E112" s="3229">
        <v>19740</v>
      </c>
      <c r="F112" s="3229"/>
      <c r="G112" s="3242">
        <v>8710</v>
      </c>
    </row>
    <row r="113" spans="1:7" s="3218" customFormat="1" ht="14.25" hidden="1" customHeight="1">
      <c r="A113" s="3229" t="s">
        <v>303</v>
      </c>
      <c r="B113" s="3229" t="s">
        <v>2954</v>
      </c>
      <c r="C113" s="3229">
        <v>15520</v>
      </c>
      <c r="D113" s="3229">
        <v>15450</v>
      </c>
      <c r="E113" s="3229"/>
      <c r="F113" s="3229"/>
      <c r="G113" s="3242">
        <v>10210</v>
      </c>
    </row>
    <row r="114" spans="1:7" s="3218" customFormat="1" ht="14.25" hidden="1" customHeight="1">
      <c r="A114" s="3229" t="s">
        <v>303</v>
      </c>
      <c r="B114" s="3229" t="s">
        <v>2961</v>
      </c>
      <c r="C114" s="3229">
        <v>13110</v>
      </c>
      <c r="D114" s="3229">
        <v>13050</v>
      </c>
      <c r="E114" s="3229"/>
      <c r="F114" s="3229"/>
      <c r="G114" s="3242">
        <v>8620</v>
      </c>
    </row>
    <row r="115" spans="1:7" s="3218" customFormat="1" ht="14.25" hidden="1" customHeight="1">
      <c r="A115" s="3229" t="s">
        <v>303</v>
      </c>
      <c r="B115" s="3229" t="s">
        <v>2967</v>
      </c>
      <c r="C115" s="3229">
        <v>12460</v>
      </c>
      <c r="D115" s="3229">
        <v>12390</v>
      </c>
      <c r="E115" s="3229"/>
      <c r="F115" s="3229"/>
      <c r="G115" s="3242">
        <v>8190</v>
      </c>
    </row>
    <row r="116" spans="1:7" s="3218" customFormat="1" ht="14.25" hidden="1" customHeight="1">
      <c r="A116" s="3229" t="s">
        <v>303</v>
      </c>
      <c r="B116" s="3229" t="s">
        <v>2974</v>
      </c>
      <c r="C116" s="3229">
        <v>13580</v>
      </c>
      <c r="D116" s="3229">
        <v>13520</v>
      </c>
      <c r="E116" s="3229"/>
      <c r="F116" s="3229"/>
      <c r="G116" s="3242">
        <v>8930</v>
      </c>
    </row>
    <row r="117" spans="1:7" s="3218" customFormat="1" ht="14.25" hidden="1" customHeight="1">
      <c r="A117" s="3229" t="s">
        <v>303</v>
      </c>
      <c r="B117" s="3229" t="s">
        <v>2981</v>
      </c>
      <c r="C117" s="3229">
        <v>17120</v>
      </c>
      <c r="D117" s="3229">
        <v>17040</v>
      </c>
      <c r="E117" s="3229"/>
      <c r="F117" s="3229"/>
      <c r="G117" s="3242">
        <v>11260</v>
      </c>
    </row>
    <row r="118" spans="1:7" s="3218" customFormat="1" ht="14.25" hidden="1" customHeight="1">
      <c r="A118" s="3229" t="s">
        <v>303</v>
      </c>
      <c r="B118" s="3229" t="s">
        <v>2986</v>
      </c>
      <c r="C118" s="3229">
        <v>14860</v>
      </c>
      <c r="D118" s="3229">
        <v>14790</v>
      </c>
      <c r="E118" s="3229"/>
      <c r="F118" s="3229"/>
      <c r="G118" s="3242">
        <v>9780</v>
      </c>
    </row>
    <row r="119" spans="1:7" s="3218" customFormat="1" ht="14.25" hidden="1" customHeight="1">
      <c r="A119" s="3229" t="s">
        <v>303</v>
      </c>
      <c r="B119" s="3229" t="s">
        <v>2990</v>
      </c>
      <c r="C119" s="3229">
        <v>16470</v>
      </c>
      <c r="D119" s="3229">
        <v>16400</v>
      </c>
      <c r="E119" s="3229"/>
      <c r="F119" s="3229"/>
      <c r="G119" s="3242">
        <v>10840</v>
      </c>
    </row>
    <row r="120" spans="1:7" s="3218" customFormat="1" ht="14.25" hidden="1" customHeight="1">
      <c r="A120" s="3229" t="s">
        <v>303</v>
      </c>
      <c r="B120" s="3229" t="s">
        <v>3076</v>
      </c>
      <c r="C120" s="3229"/>
      <c r="D120" s="3229"/>
      <c r="E120" s="3229"/>
      <c r="F120" s="3229">
        <v>4160</v>
      </c>
      <c r="G120" s="3242"/>
    </row>
    <row r="121" spans="1:7" s="3218" customFormat="1" ht="14.25" hidden="1" customHeight="1">
      <c r="A121" s="3229" t="s">
        <v>303</v>
      </c>
      <c r="B121" s="3229" t="s">
        <v>3077</v>
      </c>
      <c r="C121" s="3229"/>
      <c r="D121" s="3229"/>
      <c r="E121" s="3229"/>
      <c r="F121" s="3229">
        <v>3880</v>
      </c>
      <c r="G121" s="3242"/>
    </row>
    <row r="122" spans="1:7" s="3218" customFormat="1" ht="14.25" hidden="1" customHeight="1">
      <c r="A122" s="3229" t="s">
        <v>303</v>
      </c>
      <c r="B122" s="3229" t="s">
        <v>3078</v>
      </c>
      <c r="C122" s="3229">
        <v>13750</v>
      </c>
      <c r="D122" s="3229">
        <v>13680</v>
      </c>
      <c r="E122" s="3229">
        <v>16460</v>
      </c>
      <c r="F122" s="3229">
        <v>2880</v>
      </c>
      <c r="G122" s="3242">
        <v>9040</v>
      </c>
    </row>
    <row r="123" spans="1:7" s="3218" customFormat="1" ht="14.25" hidden="1" customHeight="1">
      <c r="A123" s="3229" t="s">
        <v>303</v>
      </c>
      <c r="B123" s="3229" t="s">
        <v>3009</v>
      </c>
      <c r="C123" s="3229">
        <v>13590</v>
      </c>
      <c r="D123" s="3229">
        <v>13520</v>
      </c>
      <c r="E123" s="3229">
        <v>16290</v>
      </c>
      <c r="F123" s="3229">
        <v>2790</v>
      </c>
      <c r="G123" s="3242">
        <v>8930</v>
      </c>
    </row>
    <row r="124" spans="1:7" s="3218" customFormat="1" ht="14.25" hidden="1" customHeight="1">
      <c r="A124" s="3229" t="s">
        <v>303</v>
      </c>
      <c r="B124" s="3229" t="s">
        <v>3014</v>
      </c>
      <c r="C124" s="3229">
        <v>13400</v>
      </c>
      <c r="D124" s="3229">
        <v>13320</v>
      </c>
      <c r="E124" s="3229">
        <v>16100</v>
      </c>
      <c r="F124" s="3229">
        <v>2320</v>
      </c>
      <c r="G124" s="3242">
        <v>8800</v>
      </c>
    </row>
    <row r="125" spans="1:7" s="3218" customFormat="1" ht="14.25" hidden="1" customHeight="1">
      <c r="A125" s="3229" t="s">
        <v>303</v>
      </c>
      <c r="B125" s="3229" t="s">
        <v>3019</v>
      </c>
      <c r="C125" s="3229">
        <v>12860</v>
      </c>
      <c r="D125" s="3229">
        <v>12790</v>
      </c>
      <c r="E125" s="3229">
        <v>15370</v>
      </c>
      <c r="F125" s="3229">
        <v>2280</v>
      </c>
      <c r="G125" s="3242">
        <v>8450</v>
      </c>
    </row>
    <row r="126" spans="1:7" s="3218" customFormat="1" ht="14.25" hidden="1" customHeight="1" thickBot="1">
      <c r="A126" s="3243" t="s">
        <v>303</v>
      </c>
      <c r="B126" s="3236" t="s">
        <v>3024</v>
      </c>
      <c r="C126" s="3236">
        <v>12960</v>
      </c>
      <c r="D126" s="3236">
        <v>12890</v>
      </c>
      <c r="E126" s="3236">
        <v>15530</v>
      </c>
      <c r="F126" s="3236">
        <v>2910</v>
      </c>
      <c r="G126" s="3244">
        <v>8520</v>
      </c>
    </row>
    <row r="127" spans="1:7" s="3218" customFormat="1" ht="14.25" hidden="1" customHeight="1">
      <c r="A127" s="3234" t="s">
        <v>29</v>
      </c>
      <c r="B127" s="3225" t="s">
        <v>3079</v>
      </c>
      <c r="C127" s="3229">
        <v>12280</v>
      </c>
      <c r="D127" s="3229">
        <v>12250</v>
      </c>
      <c r="E127" s="3229">
        <v>15130</v>
      </c>
      <c r="F127" s="3229">
        <v>2710</v>
      </c>
      <c r="G127" s="3229">
        <v>7870</v>
      </c>
    </row>
    <row r="128" spans="1:7" s="3218" customFormat="1" ht="14.25" hidden="1" customHeight="1">
      <c r="A128" s="3229" t="s">
        <v>29</v>
      </c>
      <c r="B128" s="3229" t="s">
        <v>132</v>
      </c>
      <c r="C128" s="3229">
        <v>13180</v>
      </c>
      <c r="D128" s="3229">
        <v>13150</v>
      </c>
      <c r="E128" s="3229">
        <v>16190</v>
      </c>
      <c r="F128" s="3229">
        <v>2820</v>
      </c>
      <c r="G128" s="3229">
        <v>8460</v>
      </c>
    </row>
    <row r="129" spans="1:7" s="3218" customFormat="1" ht="14.25" hidden="1" customHeight="1">
      <c r="A129" s="3229" t="s">
        <v>29</v>
      </c>
      <c r="B129" s="3229" t="s">
        <v>141</v>
      </c>
      <c r="C129" s="3229">
        <v>10950</v>
      </c>
      <c r="D129" s="3229">
        <v>10920</v>
      </c>
      <c r="E129" s="3229">
        <v>13820</v>
      </c>
      <c r="F129" s="3229">
        <v>2500</v>
      </c>
      <c r="G129" s="3229">
        <v>7020</v>
      </c>
    </row>
    <row r="130" spans="1:7" s="3218" customFormat="1" ht="14.25" hidden="1" customHeight="1">
      <c r="A130" s="3229" t="s">
        <v>29</v>
      </c>
      <c r="B130" s="3229" t="s">
        <v>150</v>
      </c>
      <c r="C130" s="3229">
        <v>10910</v>
      </c>
      <c r="D130" s="3229">
        <v>10860</v>
      </c>
      <c r="E130" s="3229">
        <v>13730</v>
      </c>
      <c r="F130" s="3229">
        <v>2760</v>
      </c>
      <c r="G130" s="3229">
        <v>6990</v>
      </c>
    </row>
    <row r="131" spans="1:7" s="3218" customFormat="1" ht="14.25" hidden="1" customHeight="1">
      <c r="A131" s="3229" t="s">
        <v>29</v>
      </c>
      <c r="B131" s="3229" t="s">
        <v>159</v>
      </c>
      <c r="C131" s="3229">
        <v>12910</v>
      </c>
      <c r="D131" s="3229">
        <v>12870</v>
      </c>
      <c r="E131" s="3229">
        <v>15720</v>
      </c>
      <c r="F131" s="3229">
        <v>2750</v>
      </c>
      <c r="G131" s="3229">
        <v>8280</v>
      </c>
    </row>
    <row r="132" spans="1:7" s="3218" customFormat="1" ht="14.25" hidden="1" customHeight="1">
      <c r="A132" s="3229" t="s">
        <v>29</v>
      </c>
      <c r="B132" s="3229" t="s">
        <v>166</v>
      </c>
      <c r="C132" s="3229">
        <v>11910</v>
      </c>
      <c r="D132" s="3229">
        <v>11860</v>
      </c>
      <c r="E132" s="3229">
        <v>14730</v>
      </c>
      <c r="F132" s="3229">
        <v>2360</v>
      </c>
      <c r="G132" s="3229">
        <v>7630</v>
      </c>
    </row>
    <row r="133" spans="1:7" s="3218" customFormat="1" ht="14.25" hidden="1" customHeight="1">
      <c r="A133" s="3229" t="s">
        <v>29</v>
      </c>
      <c r="B133" s="3229" t="s">
        <v>172</v>
      </c>
      <c r="C133" s="3229">
        <v>12270</v>
      </c>
      <c r="D133" s="3229">
        <v>12210</v>
      </c>
      <c r="E133" s="3229">
        <v>15010</v>
      </c>
      <c r="F133" s="3229">
        <v>2580</v>
      </c>
      <c r="G133" s="3229">
        <v>7860</v>
      </c>
    </row>
    <row r="134" spans="1:7" s="3218" customFormat="1" ht="14.25" hidden="1" customHeight="1">
      <c r="A134" s="3229" t="s">
        <v>29</v>
      </c>
      <c r="B134" s="3229" t="s">
        <v>179</v>
      </c>
      <c r="C134" s="3229">
        <v>10800</v>
      </c>
      <c r="D134" s="3229">
        <v>10780</v>
      </c>
      <c r="E134" s="3229">
        <v>13640</v>
      </c>
      <c r="F134" s="3229">
        <v>2110</v>
      </c>
      <c r="G134" s="3229">
        <v>6930</v>
      </c>
    </row>
    <row r="135" spans="1:7" s="3218" customFormat="1" ht="14.25" hidden="1" customHeight="1">
      <c r="A135" s="3229" t="s">
        <v>29</v>
      </c>
      <c r="B135" s="3229" t="s">
        <v>189</v>
      </c>
      <c r="C135" s="3229">
        <v>10430</v>
      </c>
      <c r="D135" s="3229">
        <v>10390</v>
      </c>
      <c r="E135" s="3229">
        <v>13140</v>
      </c>
      <c r="F135" s="3229">
        <v>2240</v>
      </c>
      <c r="G135" s="3229">
        <v>6680</v>
      </c>
    </row>
    <row r="136" spans="1:7" s="3218" customFormat="1" ht="14.25" hidden="1" customHeight="1">
      <c r="A136" s="3229" t="s">
        <v>29</v>
      </c>
      <c r="B136" s="3229" t="s">
        <v>198</v>
      </c>
      <c r="C136" s="3229">
        <v>11930</v>
      </c>
      <c r="D136" s="3229">
        <v>11880</v>
      </c>
      <c r="E136" s="3229">
        <v>14770</v>
      </c>
      <c r="F136" s="3229">
        <v>1970</v>
      </c>
      <c r="G136" s="3229">
        <v>7640</v>
      </c>
    </row>
    <row r="137" spans="1:7" s="3218" customFormat="1" ht="14.25" hidden="1" customHeight="1">
      <c r="A137" s="3229" t="s">
        <v>29</v>
      </c>
      <c r="B137" s="3229" t="s">
        <v>205</v>
      </c>
      <c r="C137" s="3229">
        <v>10470</v>
      </c>
      <c r="D137" s="3229">
        <v>10430</v>
      </c>
      <c r="E137" s="3229">
        <v>13190</v>
      </c>
      <c r="F137" s="3229">
        <v>1990</v>
      </c>
      <c r="G137" s="3229">
        <v>6710</v>
      </c>
    </row>
    <row r="138" spans="1:7" s="3218" customFormat="1" ht="14.25" hidden="1" customHeight="1">
      <c r="A138" s="3229" t="s">
        <v>29</v>
      </c>
      <c r="B138" s="3229" t="s">
        <v>212</v>
      </c>
      <c r="C138" s="3229">
        <v>10410</v>
      </c>
      <c r="D138" s="3229">
        <v>10380</v>
      </c>
      <c r="E138" s="3229">
        <v>13130</v>
      </c>
      <c r="F138" s="3229">
        <v>2030</v>
      </c>
      <c r="G138" s="3229">
        <v>6680</v>
      </c>
    </row>
    <row r="139" spans="1:7" s="3218" customFormat="1" ht="14.25" hidden="1" customHeight="1">
      <c r="A139" s="3229" t="s">
        <v>29</v>
      </c>
      <c r="B139" s="3229" t="s">
        <v>218</v>
      </c>
      <c r="C139" s="3229">
        <v>9460</v>
      </c>
      <c r="D139" s="3229">
        <v>9410</v>
      </c>
      <c r="E139" s="3229">
        <v>12050</v>
      </c>
      <c r="F139" s="3229">
        <v>2140</v>
      </c>
      <c r="G139" s="3229">
        <v>6050</v>
      </c>
    </row>
    <row r="140" spans="1:7" s="3218" customFormat="1" ht="14.25" hidden="1" customHeight="1">
      <c r="A140" s="3229" t="s">
        <v>29</v>
      </c>
      <c r="B140" s="3229" t="s">
        <v>226</v>
      </c>
      <c r="C140" s="3229">
        <v>11030</v>
      </c>
      <c r="D140" s="3229">
        <v>10980</v>
      </c>
      <c r="E140" s="3229">
        <v>13880</v>
      </c>
      <c r="F140" s="3229">
        <v>2210</v>
      </c>
      <c r="G140" s="3229">
        <v>7060</v>
      </c>
    </row>
    <row r="141" spans="1:7" s="3218" customFormat="1" ht="14.25" hidden="1" customHeight="1">
      <c r="A141" s="3229" t="s">
        <v>29</v>
      </c>
      <c r="B141" s="3229" t="s">
        <v>234</v>
      </c>
      <c r="C141" s="3229">
        <v>11200</v>
      </c>
      <c r="D141" s="3229">
        <v>11150</v>
      </c>
      <c r="E141" s="3229">
        <v>14100</v>
      </c>
      <c r="F141" s="3229">
        <v>2470</v>
      </c>
      <c r="G141" s="3229">
        <v>7170</v>
      </c>
    </row>
    <row r="142" spans="1:7" s="3218" customFormat="1" ht="14.25" hidden="1" customHeight="1">
      <c r="A142" s="3229" t="s">
        <v>29</v>
      </c>
      <c r="B142" s="3229" t="s">
        <v>239</v>
      </c>
      <c r="C142" s="3229">
        <v>10780</v>
      </c>
      <c r="D142" s="3229">
        <v>10730</v>
      </c>
      <c r="E142" s="3229">
        <v>13540</v>
      </c>
      <c r="F142" s="3229">
        <v>2280</v>
      </c>
      <c r="G142" s="3229">
        <v>6900</v>
      </c>
    </row>
    <row r="143" spans="1:7" s="3218" customFormat="1" ht="14.25" hidden="1" customHeight="1">
      <c r="A143" s="3229" t="s">
        <v>29</v>
      </c>
      <c r="B143" s="3229" t="s">
        <v>248</v>
      </c>
      <c r="C143" s="3229">
        <v>11550</v>
      </c>
      <c r="D143" s="3229">
        <v>11490</v>
      </c>
      <c r="E143" s="3229">
        <v>14480</v>
      </c>
      <c r="F143" s="3229">
        <v>2070</v>
      </c>
      <c r="G143" s="3229">
        <v>7390</v>
      </c>
    </row>
    <row r="144" spans="1:7" s="3218" customFormat="1" ht="14.25" hidden="1" customHeight="1">
      <c r="A144" s="3229" t="s">
        <v>29</v>
      </c>
      <c r="B144" s="3229" t="s">
        <v>255</v>
      </c>
      <c r="C144" s="3229">
        <v>10720</v>
      </c>
      <c r="D144" s="3229">
        <v>10680</v>
      </c>
      <c r="E144" s="3229">
        <v>13480</v>
      </c>
      <c r="F144" s="3229">
        <v>2440</v>
      </c>
      <c r="G144" s="3229">
        <v>6870</v>
      </c>
    </row>
    <row r="145" spans="1:7" s="3218" customFormat="1" ht="14.25" hidden="1" customHeight="1">
      <c r="A145" s="3229" t="s">
        <v>29</v>
      </c>
      <c r="B145" s="3229" t="s">
        <v>263</v>
      </c>
      <c r="C145" s="3229">
        <v>10340</v>
      </c>
      <c r="D145" s="3229">
        <v>10290</v>
      </c>
      <c r="E145" s="3229">
        <v>12880</v>
      </c>
      <c r="F145" s="3229">
        <v>2650</v>
      </c>
      <c r="G145" s="3229">
        <v>6620</v>
      </c>
    </row>
    <row r="146" spans="1:7" s="3218" customFormat="1" ht="14.25" hidden="1" customHeight="1">
      <c r="A146" s="3229" t="s">
        <v>29</v>
      </c>
      <c r="B146" s="3229" t="s">
        <v>270</v>
      </c>
      <c r="C146" s="3229">
        <v>11890</v>
      </c>
      <c r="D146" s="3229">
        <v>11830</v>
      </c>
      <c r="E146" s="3229">
        <v>14670</v>
      </c>
      <c r="F146" s="3229"/>
      <c r="G146" s="3229">
        <v>7610</v>
      </c>
    </row>
    <row r="147" spans="1:7" s="3218" customFormat="1" ht="14.25" hidden="1" customHeight="1">
      <c r="A147" s="3229" t="s">
        <v>29</v>
      </c>
      <c r="B147" s="3229" t="s">
        <v>274</v>
      </c>
      <c r="C147" s="3229">
        <v>12650</v>
      </c>
      <c r="D147" s="3229">
        <v>12600</v>
      </c>
      <c r="E147" s="3229">
        <v>15440</v>
      </c>
      <c r="F147" s="3229"/>
      <c r="G147" s="3229">
        <v>8110</v>
      </c>
    </row>
    <row r="148" spans="1:7" s="3218" customFormat="1" ht="14.25" hidden="1" customHeight="1">
      <c r="A148" s="3229" t="s">
        <v>29</v>
      </c>
      <c r="B148" s="3229" t="s">
        <v>3080</v>
      </c>
      <c r="C148" s="3229">
        <v>10370</v>
      </c>
      <c r="D148" s="3229">
        <v>10310</v>
      </c>
      <c r="E148" s="3229">
        <v>12970</v>
      </c>
      <c r="F148" s="3229"/>
      <c r="G148" s="3229">
        <v>6630</v>
      </c>
    </row>
    <row r="149" spans="1:7" s="3218" customFormat="1" ht="14.25" hidden="1" customHeight="1">
      <c r="A149" s="3229" t="s">
        <v>29</v>
      </c>
      <c r="B149" s="3229" t="s">
        <v>3081</v>
      </c>
      <c r="C149" s="3229">
        <v>11600</v>
      </c>
      <c r="D149" s="3229">
        <v>11560</v>
      </c>
      <c r="E149" s="3229">
        <v>14540</v>
      </c>
      <c r="F149" s="3229">
        <v>2390</v>
      </c>
      <c r="G149" s="3229">
        <v>7430</v>
      </c>
    </row>
    <row r="150" spans="1:7" s="3218" customFormat="1" ht="14.25" hidden="1" customHeight="1">
      <c r="A150" s="3229" t="s">
        <v>29</v>
      </c>
      <c r="B150" s="3229" t="s">
        <v>292</v>
      </c>
      <c r="C150" s="3229">
        <v>9950</v>
      </c>
      <c r="D150" s="3229">
        <v>9890</v>
      </c>
      <c r="E150" s="3229">
        <v>12590</v>
      </c>
      <c r="F150" s="3229">
        <v>1970</v>
      </c>
      <c r="G150" s="3229">
        <v>6360</v>
      </c>
    </row>
    <row r="151" spans="1:7" s="3218" customFormat="1" ht="14.25" hidden="1" customHeight="1">
      <c r="A151" s="3229" t="s">
        <v>29</v>
      </c>
      <c r="B151" s="3229" t="s">
        <v>294</v>
      </c>
      <c r="C151" s="3229">
        <v>10700</v>
      </c>
      <c r="D151" s="3229">
        <v>10650</v>
      </c>
      <c r="E151" s="3229">
        <v>13420</v>
      </c>
      <c r="F151" s="3229">
        <v>2020</v>
      </c>
      <c r="G151" s="3229">
        <v>6850</v>
      </c>
    </row>
    <row r="152" spans="1:7" s="3218" customFormat="1" ht="14.25" hidden="1" customHeight="1">
      <c r="A152" s="3229" t="s">
        <v>29</v>
      </c>
      <c r="B152" s="3229" t="s">
        <v>297</v>
      </c>
      <c r="C152" s="3229">
        <v>10310</v>
      </c>
      <c r="D152" s="3229">
        <v>10260</v>
      </c>
      <c r="E152" s="3229">
        <v>12820</v>
      </c>
      <c r="F152" s="3229">
        <v>1980</v>
      </c>
      <c r="G152" s="3229">
        <v>6600</v>
      </c>
    </row>
    <row r="153" spans="1:7" s="3218" customFormat="1" ht="14.25" hidden="1" customHeight="1">
      <c r="A153" s="3229" t="s">
        <v>29</v>
      </c>
      <c r="B153" s="3229" t="s">
        <v>2955</v>
      </c>
      <c r="C153" s="3229">
        <v>10880</v>
      </c>
      <c r="D153" s="3229">
        <v>10820</v>
      </c>
      <c r="E153" s="3229">
        <v>13660</v>
      </c>
      <c r="F153" s="3229">
        <v>2260</v>
      </c>
      <c r="G153" s="3229">
        <v>6970</v>
      </c>
    </row>
    <row r="154" spans="1:7" s="3218" customFormat="1" ht="14.25" hidden="1" customHeight="1">
      <c r="A154" s="3229" t="s">
        <v>29</v>
      </c>
      <c r="B154" s="3229" t="s">
        <v>3082</v>
      </c>
      <c r="C154" s="3229">
        <v>11220</v>
      </c>
      <c r="D154" s="3229">
        <v>11160</v>
      </c>
      <c r="E154" s="3229">
        <v>14130</v>
      </c>
      <c r="F154" s="3229">
        <v>2230</v>
      </c>
      <c r="G154" s="3229">
        <v>7180</v>
      </c>
    </row>
    <row r="155" spans="1:7" s="3218" customFormat="1" ht="14.25" hidden="1" customHeight="1">
      <c r="A155" s="3229" t="s">
        <v>29</v>
      </c>
      <c r="B155" s="3229" t="s">
        <v>2968</v>
      </c>
      <c r="C155" s="3229">
        <v>10430</v>
      </c>
      <c r="D155" s="3229">
        <v>10380</v>
      </c>
      <c r="E155" s="3229">
        <v>13140</v>
      </c>
      <c r="F155" s="3229">
        <v>2080</v>
      </c>
      <c r="G155" s="3229">
        <v>6650</v>
      </c>
    </row>
    <row r="156" spans="1:7" s="3218" customFormat="1" ht="14.25" hidden="1" customHeight="1">
      <c r="A156" s="3229" t="s">
        <v>29</v>
      </c>
      <c r="B156" s="3229" t="s">
        <v>3083</v>
      </c>
      <c r="C156" s="3229">
        <v>10440</v>
      </c>
      <c r="D156" s="3229">
        <v>10400</v>
      </c>
      <c r="E156" s="3229">
        <v>13150</v>
      </c>
      <c r="F156" s="3229">
        <v>2490</v>
      </c>
      <c r="G156" s="3229">
        <v>6690</v>
      </c>
    </row>
    <row r="157" spans="1:7" s="3218" customFormat="1" ht="14.25" hidden="1" customHeight="1">
      <c r="A157" s="3229" t="s">
        <v>29</v>
      </c>
      <c r="B157" s="3229" t="s">
        <v>300</v>
      </c>
      <c r="C157" s="3229">
        <v>10970</v>
      </c>
      <c r="D157" s="3229">
        <v>10920</v>
      </c>
      <c r="E157" s="3229">
        <v>13840</v>
      </c>
      <c r="F157" s="3229">
        <v>2420</v>
      </c>
      <c r="G157" s="3229">
        <v>7020</v>
      </c>
    </row>
    <row r="158" spans="1:7" s="3218" customFormat="1" ht="14.25" hidden="1" customHeight="1">
      <c r="A158" s="3229" t="s">
        <v>29</v>
      </c>
      <c r="B158" s="3229" t="s">
        <v>301</v>
      </c>
      <c r="C158" s="3229">
        <v>9590</v>
      </c>
      <c r="D158" s="3229">
        <v>9540</v>
      </c>
      <c r="E158" s="3229">
        <v>12210</v>
      </c>
      <c r="F158" s="3229">
        <v>2100</v>
      </c>
      <c r="G158" s="3229">
        <v>6130</v>
      </c>
    </row>
    <row r="159" spans="1:7" s="3218" customFormat="1" ht="14.25" hidden="1" customHeight="1">
      <c r="A159" s="3229" t="s">
        <v>29</v>
      </c>
      <c r="B159" s="3229" t="s">
        <v>302</v>
      </c>
      <c r="C159" s="3229">
        <v>11190</v>
      </c>
      <c r="D159" s="3229">
        <v>11140</v>
      </c>
      <c r="E159" s="3229">
        <v>14090</v>
      </c>
      <c r="F159" s="3229">
        <v>2470</v>
      </c>
      <c r="G159" s="3229">
        <v>7170</v>
      </c>
    </row>
    <row r="160" spans="1:7" s="3218" customFormat="1" ht="14.25" hidden="1" customHeight="1">
      <c r="A160" s="3229" t="s">
        <v>29</v>
      </c>
      <c r="B160" s="3229" t="s">
        <v>3084</v>
      </c>
      <c r="C160" s="3229">
        <v>11180</v>
      </c>
      <c r="D160" s="3229">
        <v>11140</v>
      </c>
      <c r="E160" s="3229">
        <v>14050</v>
      </c>
      <c r="F160" s="3229">
        <v>2270</v>
      </c>
      <c r="G160" s="3229">
        <v>7170</v>
      </c>
    </row>
    <row r="161" spans="1:7" s="3218" customFormat="1" ht="14.25" hidden="1" customHeight="1">
      <c r="A161" s="3229" t="s">
        <v>29</v>
      </c>
      <c r="B161" s="3229" t="s">
        <v>3000</v>
      </c>
      <c r="C161" s="3229">
        <v>11160</v>
      </c>
      <c r="D161" s="3229">
        <v>11120</v>
      </c>
      <c r="E161" s="3229">
        <v>14020</v>
      </c>
      <c r="F161" s="3229">
        <v>2150</v>
      </c>
      <c r="G161" s="3229">
        <v>7160</v>
      </c>
    </row>
    <row r="162" spans="1:7" s="3218" customFormat="1" ht="14.25" hidden="1" customHeight="1">
      <c r="A162" s="3229" t="s">
        <v>29</v>
      </c>
      <c r="B162" s="3229" t="s">
        <v>3005</v>
      </c>
      <c r="C162" s="3229">
        <v>9620</v>
      </c>
      <c r="D162" s="3229">
        <v>9570</v>
      </c>
      <c r="E162" s="3229">
        <v>12320</v>
      </c>
      <c r="F162" s="3229">
        <v>2010</v>
      </c>
      <c r="G162" s="3229">
        <v>6160</v>
      </c>
    </row>
    <row r="163" spans="1:7" s="3218" customFormat="1" ht="14.25" hidden="1" customHeight="1">
      <c r="A163" s="3229" t="s">
        <v>29</v>
      </c>
      <c r="B163" s="3229" t="s">
        <v>3010</v>
      </c>
      <c r="C163" s="3229">
        <v>9320</v>
      </c>
      <c r="D163" s="3229">
        <v>9270</v>
      </c>
      <c r="E163" s="3229">
        <v>11790</v>
      </c>
      <c r="F163" s="3229">
        <v>1920</v>
      </c>
      <c r="G163" s="3229">
        <v>5960</v>
      </c>
    </row>
    <row r="164" spans="1:7" s="3218" customFormat="1" ht="14.25" hidden="1" customHeight="1">
      <c r="A164" s="3229" t="s">
        <v>29</v>
      </c>
      <c r="B164" s="3229" t="s">
        <v>3015</v>
      </c>
      <c r="C164" s="3229"/>
      <c r="D164" s="3229"/>
      <c r="E164" s="3229"/>
      <c r="F164" s="3229">
        <v>1980</v>
      </c>
      <c r="G164" s="3229"/>
    </row>
    <row r="165" spans="1:7" s="3218" customFormat="1" ht="14.25" hidden="1" customHeight="1">
      <c r="A165" s="3229" t="s">
        <v>29</v>
      </c>
      <c r="B165" s="3229" t="s">
        <v>3085</v>
      </c>
      <c r="C165" s="3229">
        <v>11060</v>
      </c>
      <c r="D165" s="3229">
        <v>11030</v>
      </c>
      <c r="E165" s="3229">
        <v>13850</v>
      </c>
      <c r="F165" s="3229">
        <v>2170</v>
      </c>
      <c r="G165" s="3229">
        <v>7090</v>
      </c>
    </row>
    <row r="166" spans="1:7" s="3218" customFormat="1" ht="14.25" hidden="1" customHeight="1">
      <c r="A166" s="3229" t="s">
        <v>29</v>
      </c>
      <c r="B166" s="3229" t="s">
        <v>3025</v>
      </c>
      <c r="C166" s="3229">
        <v>11050</v>
      </c>
      <c r="D166" s="3229">
        <v>11010</v>
      </c>
      <c r="E166" s="3229">
        <v>13920</v>
      </c>
      <c r="F166" s="3229">
        <v>2140</v>
      </c>
      <c r="G166" s="3229">
        <v>7080</v>
      </c>
    </row>
    <row r="167" spans="1:7" s="3218" customFormat="1" ht="14.25" hidden="1" customHeight="1">
      <c r="A167" s="3229" t="s">
        <v>29</v>
      </c>
      <c r="B167" s="3229" t="s">
        <v>3029</v>
      </c>
      <c r="C167" s="3229">
        <v>10930</v>
      </c>
      <c r="D167" s="3229">
        <v>10890</v>
      </c>
      <c r="E167" s="3229">
        <v>13790</v>
      </c>
      <c r="F167" s="3229">
        <v>2010</v>
      </c>
      <c r="G167" s="3229">
        <v>7000</v>
      </c>
    </row>
    <row r="168" spans="1:7" s="3218" customFormat="1" ht="14.25" hidden="1" customHeight="1">
      <c r="A168" s="3229" t="s">
        <v>29</v>
      </c>
      <c r="B168" s="3229" t="s">
        <v>3034</v>
      </c>
      <c r="C168" s="3229">
        <v>9420</v>
      </c>
      <c r="D168" s="3229">
        <v>9380</v>
      </c>
      <c r="E168" s="3229">
        <v>11970</v>
      </c>
      <c r="F168" s="3229"/>
      <c r="G168" s="3229">
        <v>6040</v>
      </c>
    </row>
    <row r="169" spans="1:7" s="3218" customFormat="1" ht="14.25" hidden="1" customHeight="1">
      <c r="A169" s="3229" t="s">
        <v>29</v>
      </c>
      <c r="B169" s="3229" t="s">
        <v>3086</v>
      </c>
      <c r="C169" s="3229"/>
      <c r="D169" s="3229"/>
      <c r="E169" s="3229"/>
      <c r="F169" s="3229">
        <v>2880</v>
      </c>
      <c r="G169" s="3229"/>
    </row>
    <row r="170" spans="1:7" s="3218" customFormat="1" ht="14.25" hidden="1" customHeight="1">
      <c r="A170" s="3229" t="s">
        <v>29</v>
      </c>
      <c r="B170" s="3229" t="s">
        <v>3042</v>
      </c>
      <c r="C170" s="3229"/>
      <c r="D170" s="3229"/>
      <c r="E170" s="3229"/>
      <c r="F170" s="3229">
        <v>2880</v>
      </c>
      <c r="G170" s="3229"/>
    </row>
    <row r="171" spans="1:7" s="3218" customFormat="1" ht="14.25" hidden="1" customHeight="1">
      <c r="A171" s="3229" t="s">
        <v>29</v>
      </c>
      <c r="B171" s="3229" t="s">
        <v>3045</v>
      </c>
      <c r="C171" s="3229"/>
      <c r="D171" s="3229"/>
      <c r="E171" s="3229"/>
      <c r="F171" s="3229">
        <v>2880</v>
      </c>
      <c r="G171" s="3229"/>
    </row>
    <row r="172" spans="1:7" s="3218" customFormat="1" ht="14.25" hidden="1" customHeight="1">
      <c r="A172" s="3229" t="s">
        <v>29</v>
      </c>
      <c r="B172" s="3229" t="s">
        <v>3047</v>
      </c>
      <c r="C172" s="3229"/>
      <c r="D172" s="3229"/>
      <c r="E172" s="3229"/>
      <c r="F172" s="3229">
        <v>2880</v>
      </c>
      <c r="G172" s="3229"/>
    </row>
    <row r="173" spans="1:7" s="3218" customFormat="1" ht="14.25" hidden="1" customHeight="1">
      <c r="A173" s="3229" t="s">
        <v>29</v>
      </c>
      <c r="B173" s="3229" t="s">
        <v>3049</v>
      </c>
      <c r="C173" s="3229"/>
      <c r="D173" s="3229"/>
      <c r="E173" s="3229"/>
      <c r="F173" s="3229">
        <v>2150</v>
      </c>
      <c r="G173" s="3229"/>
    </row>
    <row r="174" spans="1:7" s="3218" customFormat="1" ht="14.25" hidden="1" customHeight="1">
      <c r="A174" s="3229" t="s">
        <v>29</v>
      </c>
      <c r="B174" s="3229" t="s">
        <v>3051</v>
      </c>
      <c r="C174" s="3229"/>
      <c r="D174" s="3229"/>
      <c r="E174" s="3229"/>
      <c r="F174" s="3229">
        <v>2030</v>
      </c>
      <c r="G174" s="3229"/>
    </row>
    <row r="175" spans="1:7" s="3218" customFormat="1" ht="14.25" hidden="1" customHeight="1">
      <c r="A175" s="3229" t="s">
        <v>29</v>
      </c>
      <c r="B175" s="3229" t="s">
        <v>3053</v>
      </c>
      <c r="C175" s="3229"/>
      <c r="D175" s="3229"/>
      <c r="E175" s="3229"/>
      <c r="F175" s="3229">
        <v>2780</v>
      </c>
      <c r="G175" s="3229"/>
    </row>
    <row r="176" spans="1:7" s="3218" customFormat="1" ht="14.25" hidden="1" customHeight="1">
      <c r="A176" s="3229" t="s">
        <v>29</v>
      </c>
      <c r="B176" s="3229" t="s">
        <v>3055</v>
      </c>
      <c r="C176" s="3229"/>
      <c r="D176" s="3229"/>
      <c r="E176" s="3229"/>
      <c r="F176" s="3229">
        <v>2780</v>
      </c>
      <c r="G176" s="3229"/>
    </row>
    <row r="177" spans="1:7" s="3218" customFormat="1" ht="14.25" hidden="1" customHeight="1">
      <c r="A177" s="3229" t="s">
        <v>29</v>
      </c>
      <c r="B177" s="3229" t="s">
        <v>3087</v>
      </c>
      <c r="C177" s="3229"/>
      <c r="D177" s="3229"/>
      <c r="E177" s="3229"/>
      <c r="F177" s="3229">
        <v>2780</v>
      </c>
      <c r="G177" s="3229"/>
    </row>
    <row r="178" spans="1:7" s="3218" customFormat="1" ht="14.25" hidden="1" customHeight="1">
      <c r="A178" s="3229" t="s">
        <v>29</v>
      </c>
      <c r="B178" s="3229" t="s">
        <v>3088</v>
      </c>
      <c r="C178" s="3229"/>
      <c r="D178" s="3229"/>
      <c r="E178" s="3229"/>
      <c r="F178" s="3229">
        <v>2060</v>
      </c>
      <c r="G178" s="3229"/>
    </row>
    <row r="179" spans="1:7" s="3218" customFormat="1" ht="14.25" hidden="1" customHeight="1">
      <c r="A179" s="3229" t="s">
        <v>29</v>
      </c>
      <c r="B179" s="3229" t="s">
        <v>3089</v>
      </c>
      <c r="C179" s="3229"/>
      <c r="D179" s="3229"/>
      <c r="E179" s="3229"/>
      <c r="F179" s="3229">
        <v>2120</v>
      </c>
      <c r="G179" s="3229"/>
    </row>
    <row r="180" spans="1:7" s="3218" customFormat="1" ht="14.25" hidden="1" customHeight="1">
      <c r="A180" s="3229" t="s">
        <v>29</v>
      </c>
      <c r="B180" s="3229" t="s">
        <v>3061</v>
      </c>
      <c r="C180" s="3229"/>
      <c r="D180" s="3229"/>
      <c r="E180" s="3229"/>
      <c r="F180" s="3229">
        <v>2340</v>
      </c>
      <c r="G180" s="3229"/>
    </row>
    <row r="181" spans="1:7" s="3218" customFormat="1" ht="14.25" hidden="1" customHeight="1">
      <c r="A181" s="3229" t="s">
        <v>29</v>
      </c>
      <c r="B181" s="3229" t="s">
        <v>3062</v>
      </c>
      <c r="C181" s="3229"/>
      <c r="D181" s="3229"/>
      <c r="E181" s="3229"/>
      <c r="F181" s="3229">
        <v>2340</v>
      </c>
      <c r="G181" s="3229"/>
    </row>
    <row r="182" spans="1:7" s="3218" customFormat="1" ht="14.25" hidden="1" customHeight="1">
      <c r="A182" s="3229" t="s">
        <v>29</v>
      </c>
      <c r="B182" s="3229" t="s">
        <v>3063</v>
      </c>
      <c r="C182" s="3229"/>
      <c r="D182" s="3229"/>
      <c r="E182" s="3229"/>
      <c r="F182" s="3229">
        <v>2340</v>
      </c>
      <c r="G182" s="3229"/>
    </row>
    <row r="183" spans="1:7" s="3218" customFormat="1" ht="14.25" hidden="1" customHeight="1">
      <c r="A183" s="3229" t="s">
        <v>29</v>
      </c>
      <c r="B183" s="3229" t="s">
        <v>3064</v>
      </c>
      <c r="C183" s="3229"/>
      <c r="D183" s="3229"/>
      <c r="E183" s="3229"/>
      <c r="F183" s="3229">
        <v>2340</v>
      </c>
      <c r="G183" s="3229"/>
    </row>
    <row r="184" spans="1:7" s="3218" customFormat="1" ht="14.25" hidden="1" customHeight="1">
      <c r="A184" s="3229" t="s">
        <v>29</v>
      </c>
      <c r="B184" s="3229" t="s">
        <v>3065</v>
      </c>
      <c r="C184" s="3229"/>
      <c r="D184" s="3229"/>
      <c r="E184" s="3229"/>
      <c r="F184" s="3229">
        <v>2340</v>
      </c>
      <c r="G184" s="3229"/>
    </row>
    <row r="185" spans="1:7" s="3218" customFormat="1" ht="14.25" hidden="1" customHeight="1">
      <c r="A185" s="3229" t="s">
        <v>29</v>
      </c>
      <c r="B185" s="3229" t="s">
        <v>3066</v>
      </c>
      <c r="C185" s="3229"/>
      <c r="D185" s="3229"/>
      <c r="E185" s="3229"/>
      <c r="F185" s="3229">
        <v>2530</v>
      </c>
      <c r="G185" s="3229"/>
    </row>
    <row r="186" spans="1:7" s="3218" customFormat="1" ht="14.25" hidden="1" customHeight="1">
      <c r="A186" s="3229" t="s">
        <v>29</v>
      </c>
      <c r="B186" s="3229" t="s">
        <v>3067</v>
      </c>
      <c r="C186" s="3229"/>
      <c r="D186" s="3229"/>
      <c r="E186" s="3229"/>
      <c r="F186" s="3229">
        <v>2550</v>
      </c>
      <c r="G186" s="3229"/>
    </row>
    <row r="187" spans="1:7" s="3218" customFormat="1" ht="14.25" hidden="1" customHeight="1">
      <c r="A187" s="3229" t="s">
        <v>29</v>
      </c>
      <c r="B187" s="3229" t="s">
        <v>3068</v>
      </c>
      <c r="C187" s="3229"/>
      <c r="D187" s="3229"/>
      <c r="E187" s="3229"/>
      <c r="F187" s="3229">
        <v>2070</v>
      </c>
      <c r="G187" s="3229"/>
    </row>
    <row r="188" spans="1:7" s="3218" customFormat="1" ht="14.25" hidden="1" customHeight="1">
      <c r="A188" s="3229" t="s">
        <v>29</v>
      </c>
      <c r="B188" s="3229" t="s">
        <v>3069</v>
      </c>
      <c r="C188" s="3229"/>
      <c r="D188" s="3229"/>
      <c r="E188" s="3229"/>
      <c r="F188" s="3229">
        <v>2340</v>
      </c>
      <c r="G188" s="3229"/>
    </row>
    <row r="189" spans="1:7" s="3218" customFormat="1" ht="14.25" hidden="1"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11" workbookViewId="0">
      <selection activeCell="A190" sqref="A190:G233"/>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7" t="s">
        <v>3184</v>
      </c>
      <c r="B1" s="3777"/>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778" t="s">
        <v>3235</v>
      </c>
      <c r="B1" s="3778"/>
      <c r="C1" s="3778"/>
      <c r="D1" s="3778"/>
      <c r="E1" s="3778"/>
      <c r="F1" s="3779"/>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27" sqref="A27:XFD27"/>
    </sheetView>
  </sheetViews>
  <sheetFormatPr defaultRowHeight="13.5"/>
  <cols>
    <col min="1" max="1" width="13.875" customWidth="1"/>
    <col min="11" max="17" width="0" hidden="1" customWidth="1"/>
    <col min="25" max="30" width="0" hidden="1" customWidth="1"/>
  </cols>
  <sheetData>
    <row r="1" spans="1:30">
      <c r="A1" s="3217">
        <f>基准地价修正!G23</f>
        <v>45189</v>
      </c>
      <c r="B1" s="3206" t="s">
        <v>2841</v>
      </c>
      <c r="C1" s="3207"/>
      <c r="D1" s="3207"/>
      <c r="E1" s="3207"/>
      <c r="F1" s="3207"/>
      <c r="G1" s="3207"/>
      <c r="H1" s="3207"/>
      <c r="I1" s="3207"/>
      <c r="J1" s="3161"/>
      <c r="K1" s="3207" t="s">
        <v>454</v>
      </c>
      <c r="L1" s="3207"/>
      <c r="M1" s="3207"/>
      <c r="N1" s="3207"/>
      <c r="O1" s="3207"/>
      <c r="P1" s="3207"/>
      <c r="Q1" s="3161"/>
      <c r="R1" s="3780" t="s">
        <v>456</v>
      </c>
      <c r="S1" s="3781"/>
      <c r="T1" s="3781"/>
      <c r="U1" s="3781"/>
      <c r="V1" s="3781"/>
      <c r="W1" s="3781"/>
      <c r="X1" s="3161"/>
      <c r="Y1" s="3780" t="s">
        <v>457</v>
      </c>
      <c r="Z1" s="3781"/>
      <c r="AA1" s="3781"/>
      <c r="AB1" s="3781"/>
      <c r="AC1" s="3781"/>
      <c r="AD1" s="3781"/>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3373</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780" t="s">
        <v>2829</v>
      </c>
      <c r="S21" s="3781"/>
      <c r="T21" s="3781"/>
      <c r="U21" s="3781"/>
      <c r="V21" s="3781"/>
      <c r="W21" s="3781"/>
      <c r="X21" s="3161"/>
      <c r="Y21" s="3780" t="s">
        <v>2830</v>
      </c>
      <c r="Z21" s="3781"/>
      <c r="AA21" s="3781"/>
      <c r="AB21" s="3781"/>
      <c r="AC21" s="3781"/>
      <c r="AD21" s="3781"/>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804" customFormat="1" ht="12.75">
      <c r="A27" s="3793" t="s">
        <v>3421</v>
      </c>
      <c r="B27" s="3794">
        <v>2023</v>
      </c>
      <c r="C27" s="3795">
        <v>2</v>
      </c>
      <c r="D27" s="3795"/>
      <c r="E27" s="3795">
        <v>0.5</v>
      </c>
      <c r="F27" s="3795">
        <v>0.45</v>
      </c>
      <c r="G27" s="3795">
        <v>0.89</v>
      </c>
      <c r="H27" s="3796"/>
      <c r="I27" s="3797">
        <f t="shared" si="26"/>
        <v>0.45</v>
      </c>
      <c r="J27" s="3798"/>
      <c r="K27" s="3799"/>
      <c r="L27" s="3800">
        <f t="shared" si="28"/>
        <v>5.0000000000000001E-3</v>
      </c>
      <c r="M27" s="3800">
        <f t="shared" si="29"/>
        <v>4.5000000000000005E-3</v>
      </c>
      <c r="N27" s="3800">
        <f t="shared" si="30"/>
        <v>8.8999999999999999E-3</v>
      </c>
      <c r="O27" s="3800"/>
      <c r="P27" s="3800">
        <f t="shared" si="31"/>
        <v>4.5000000000000005E-3</v>
      </c>
      <c r="Q27" s="3798"/>
      <c r="R27" s="3798"/>
      <c r="S27" s="3798">
        <f>ROUND(IF([3]项目基本情况!$B$8="出让",SUMPRODUCT(PRODUCT(1+L27:L$36)),SUMPRODUCT(PRODUCT(1+L27:L$35))),4)</f>
        <v>1.0396000000000001</v>
      </c>
      <c r="T27" s="3798">
        <f>ROUND(IF([3]项目基本情况!$B$8="出让",SUMPRODUCT(PRODUCT(1+M27:M$36)),SUMPRODUCT(PRODUCT(1+M27:M$35))),4)</f>
        <v>1.0269999999999999</v>
      </c>
      <c r="U27" s="3798">
        <f>ROUND(IF([3]项目基本情况!$B$8="出让",SUMPRODUCT(PRODUCT(1+N27:N$36)),SUMPRODUCT(PRODUCT(1+N27:N$35))),4)</f>
        <v>1.0668</v>
      </c>
      <c r="V27" s="3798"/>
      <c r="W27" s="3798">
        <f t="shared" si="32"/>
        <v>1.0269999999999999</v>
      </c>
      <c r="X27" s="3798"/>
      <c r="Y27" s="3800"/>
      <c r="Z27" s="3801"/>
      <c r="AA27" s="3802"/>
      <c r="AB27" s="3800"/>
      <c r="AC27" s="3803"/>
      <c r="AD27" s="3800"/>
    </row>
    <row r="28" spans="1:30" s="3191" customFormat="1" ht="12.75">
      <c r="A28" s="3182" t="s">
        <v>3373</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8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2311</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房地产</v>
      </c>
      <c r="B4" s="854">
        <f>项目基本情况!C17</f>
        <v>90.08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t="e">
        <f ca="1">结果表!D122</f>
        <v>#REF!</v>
      </c>
      <c r="E8" s="3467"/>
      <c r="F8" s="3467"/>
      <c r="G8" s="3467"/>
      <c r="H8" s="3467"/>
      <c r="I8" s="3467"/>
    </row>
    <row r="9" spans="1:9" ht="15">
      <c r="A9" s="3466" t="s">
        <v>927</v>
      </c>
      <c r="B9" s="3466"/>
      <c r="C9" s="3466"/>
      <c r="D9" s="3466" t="e">
        <f ca="1">结果表!D123</f>
        <v>#REF!</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6" t="str">
        <f>IF(项目基本情况!B8="抵押","3.抵押双方在办理抵押登记手续时，应使用本公司出具的正式《房地产评估报告》，特提醒报告使用者注意。","——")</f>
        <v>——</v>
      </c>
      <c r="B13" s="3477"/>
      <c r="C13" s="3477"/>
      <c r="D13" s="3477"/>
    </row>
    <row r="14" spans="1:4" ht="15.75" customHeight="1">
      <c r="A14" s="3476" t="str">
        <f>IF(项目基本情况!B8="抵押","4.本次评估估价师所知悉的法定优先受偿款情况说明如下：","——")</f>
        <v>——</v>
      </c>
      <c r="B14" s="3477"/>
      <c r="C14" s="3477"/>
      <c r="D14" s="3477"/>
    </row>
    <row r="15" spans="1:4" ht="42" customHeight="1">
      <c r="A15" s="3476" t="str">
        <f>IF(项目基本情况!B8="抵押","（1）"&amp;CONCATENATE(项目基本情况!L20,项目基本情况!L21,项目基本情况!L22),"——")</f>
        <v>——</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45210</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2438</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0"/>
      <c r="E18" s="3492" t="s">
        <v>2162</v>
      </c>
      <c r="F18" s="3491"/>
      <c r="G18" s="3491"/>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2023-10-11T07:15:15Z</dcterms:modified>
</cp:coreProperties>
</file>