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2" i="74" l="1"/>
  <c r="E12" i="74" l="1"/>
  <c r="J5" i="80" l="1"/>
  <c r="J6" i="80"/>
  <c r="J7" i="80"/>
  <c r="J4" i="80"/>
  <c r="E10" i="80" l="1"/>
  <c r="H7" i="80"/>
  <c r="H6" i="80"/>
  <c r="I6" i="80" s="1"/>
  <c r="L6" i="80" s="1"/>
  <c r="I5" i="80"/>
  <c r="L5" i="80" s="1"/>
  <c r="I7" i="80"/>
  <c r="L7" i="80" s="1"/>
  <c r="K5" i="80"/>
  <c r="K6" i="80"/>
  <c r="K7" i="80"/>
  <c r="I4" i="80"/>
  <c r="L4" i="80" s="1"/>
  <c r="K4" i="80"/>
  <c r="F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B13" i="76"/>
  <c r="F6" i="15"/>
  <c r="F9" i="15"/>
  <c r="F7" i="15"/>
  <c r="E7" i="76"/>
  <c r="F3" i="73"/>
  <c r="F6" i="73"/>
  <c r="B7" i="76"/>
  <c r="C19" i="9"/>
  <c r="F13" i="15"/>
  <c r="E10" i="76"/>
  <c r="F40" i="15"/>
  <c r="F7" i="67"/>
  <c r="F38" i="15"/>
  <c r="M28" i="67"/>
  <c r="B12" i="76"/>
  <c r="M28" i="15"/>
  <c r="B8" i="76"/>
  <c r="D19" i="9"/>
  <c r="E2" i="69"/>
  <c r="E13" i="76"/>
  <c r="E11" i="76"/>
  <c r="F16" i="15"/>
  <c r="F4" i="73"/>
  <c r="F6" i="67"/>
  <c r="F5" i="73"/>
  <c r="M26" i="67"/>
  <c r="M6" i="15"/>
  <c r="E12" i="76"/>
  <c r="D34" i="9"/>
  <c r="M29" i="15"/>
  <c r="M24" i="15"/>
  <c r="E8" i="76"/>
  <c r="B9" i="76"/>
  <c r="AO13" i="1"/>
  <c r="L47" i="15"/>
  <c r="D6" i="73"/>
  <c r="F38" i="67"/>
  <c r="B10" i="76"/>
  <c r="D35" i="9"/>
  <c r="C76" i="15"/>
  <c r="F42" i="15"/>
  <c r="F7" i="73"/>
  <c r="B11" i="76"/>
  <c r="C20" i="9"/>
  <c r="L48" i="15"/>
  <c r="F20" i="31"/>
  <c r="E9" i="76"/>
  <c r="F36" i="15"/>
  <c r="D20" i="9"/>
  <c r="M47" i="9" l="1"/>
  <c r="C7" i="35"/>
  <c r="C48" i="35" s="1"/>
  <c r="D48" i="35" s="1"/>
  <c r="C7" i="34"/>
  <c r="C7" i="40"/>
  <c r="C63" i="40" s="1"/>
  <c r="C7" i="37"/>
  <c r="C52" i="37" s="1"/>
  <c r="D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M29" i="67"/>
  <c r="M9" i="67"/>
  <c r="J15" i="67"/>
  <c r="L48" i="67"/>
  <c r="M8" i="67"/>
  <c r="M22" i="67"/>
  <c r="F42" i="67"/>
  <c r="F40" i="67"/>
  <c r="F37" i="67"/>
  <c r="D4" i="73"/>
  <c r="C76" i="67"/>
  <c r="D3" i="73"/>
  <c r="F26" i="15"/>
  <c r="M6" i="67"/>
  <c r="F8" i="15"/>
  <c r="D7" i="73"/>
  <c r="F43" i="15"/>
  <c r="F8" i="67"/>
  <c r="J15" i="15"/>
  <c r="M26" i="15"/>
  <c r="F26" i="67"/>
  <c r="M8" i="15"/>
  <c r="D5" i="73"/>
  <c r="F13" i="67"/>
  <c r="C16" i="15"/>
  <c r="M9" i="15"/>
  <c r="L47" i="67"/>
  <c r="M24" i="67"/>
  <c r="F43" i="67"/>
  <c r="F9" i="67"/>
  <c r="F37" i="15"/>
  <c r="M23" i="67"/>
  <c r="M22" i="15"/>
  <c r="M23" i="15"/>
  <c r="F16" i="67"/>
  <c r="F36" i="67"/>
  <c r="F65" i="15" l="1"/>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G1" i="73"/>
  <c r="F41" i="67"/>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9" i="1"/>
  <c r="AO8" i="1"/>
  <c r="AO12"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s="1"/>
  <c r="G14" i="74" l="1"/>
  <c r="B6" i="74" s="1"/>
  <c r="D6" i="74" s="1"/>
  <c r="F14" i="74"/>
  <c r="B5" i="74"/>
  <c r="D5" i="74" l="1"/>
  <c r="D52" i="9"/>
  <c r="D53" i="9"/>
  <c r="M68" i="9"/>
  <c r="B20" i="72"/>
  <c r="C105" i="9"/>
  <c r="I4" i="52"/>
  <c r="D8" i="52"/>
  <c r="D6" i="53"/>
  <c r="B22" i="72"/>
  <c r="M65" i="9"/>
  <c r="D54" i="9"/>
  <c r="N58" i="9"/>
  <c r="P57" i="9"/>
  <c r="B48" i="72"/>
  <c r="M54" i="9"/>
  <c r="L68" i="9"/>
  <c r="L65" i="9"/>
  <c r="B32" i="72"/>
  <c r="M48" i="9"/>
  <c r="D5" i="53"/>
  <c r="H4" i="52"/>
  <c r="C104" i="9"/>
  <c r="C68" i="9"/>
  <c r="L67" i="9"/>
  <c r="M67" i="9"/>
  <c r="D4" i="52"/>
  <c r="B47" i="72"/>
  <c r="L63" i="9"/>
  <c r="M63" i="9"/>
  <c r="M69" i="9"/>
  <c r="N69" i="9"/>
  <c r="C96" i="9"/>
  <c r="E96" i="9"/>
  <c r="E97" i="9"/>
  <c r="B30" i="72"/>
  <c r="D13" i="53"/>
  <c r="D14" i="53"/>
  <c r="D56" i="9"/>
  <c r="C6" i="74"/>
  <c r="C5" i="74"/>
  <c r="C93" i="9"/>
  <c r="C86" i="9"/>
  <c r="D119" i="9"/>
  <c r="D5" i="52"/>
  <c r="B49" i="72"/>
  <c r="D55" i="9"/>
  <c r="M53" i="9"/>
  <c r="N57" i="9"/>
  <c r="N60" i="9"/>
  <c r="N59" i="9"/>
  <c r="N61" i="9"/>
  <c r="L64" i="9"/>
  <c r="M64" i="9"/>
  <c r="E80" i="9"/>
  <c r="E81" i="9"/>
  <c r="M49" i="9"/>
  <c r="L66" i="9"/>
  <c r="M66" i="9"/>
  <c r="G4" i="52"/>
  <c r="B52" i="72"/>
  <c r="D122" i="9"/>
  <c r="D123" i="9"/>
  <c r="D9" i="52"/>
  <c r="C97" i="9"/>
  <c r="D58" i="9"/>
  <c r="C67" i="9"/>
  <c r="D59" i="9"/>
  <c r="M55" i="9"/>
  <c r="C64" i="9"/>
  <c r="C63" i="9"/>
  <c r="C80" i="9"/>
  <c r="C72" i="9"/>
  <c r="C79" i="9"/>
  <c r="C81" i="9"/>
  <c r="C85" i="9"/>
  <c r="C95" i="9"/>
  <c r="H119" i="9"/>
  <c r="H5" i="52"/>
  <c r="H102" i="9"/>
  <c r="D7" i="53"/>
  <c r="B21" i="72"/>
  <c r="F119" i="9"/>
  <c r="F5" i="52"/>
  <c r="B53" i="72"/>
  <c r="E4" i="52"/>
  <c r="E118" i="9"/>
  <c r="D118" i="9"/>
  <c r="D45" i="9"/>
  <c r="C78" i="9"/>
  <c r="C73" i="9"/>
  <c r="I118" i="9"/>
  <c r="H118" i="9"/>
  <c r="H101" i="9"/>
  <c r="H107" i="9"/>
  <c r="H108" i="9"/>
  <c r="D15" i="53"/>
  <c r="B31" i="72"/>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<sst xmlns="http://schemas.openxmlformats.org/spreadsheetml/2006/main" count="7835" uniqueCount="3428">
  <si>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</si>
  <si>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</si>
  <si>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</si>
  <si>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</si>
  <si>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</si>
  <si>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</si>
  <si>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</si>
  <si>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</si>
  <si>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</si>
  <si>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</si>
  <si>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</si>
  <si>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</si>
  <si>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</si>
  <si>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</si>
  <si>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</si>
  <si>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</si>
  <si>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</si>
  <si>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</si>
  <si>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</si>
  <si>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</si>
  <si>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</si>
  <si>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</si>
  <si>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</si>
  <si>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</si>
  <si>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</si>
  <si>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</si>
  <si>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</si>
  <si>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</si>
  <si>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</si>
  <si>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</si>
  <si>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</si>
  <si>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</si>
  <si>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</si>
  <si>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</si>
  <si>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</si>
  <si>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</si>
  <si>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</si>
  <si>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</si>
  <si>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</si>
  <si>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</si>
  <si>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</si>
  <si>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</si>
  <si>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</si>
  <si>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</si>
  <si>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</si>
  <si>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</si>
  <si>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</si>
  <si>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</si>
  <si>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</si>
  <si>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</si>
  <si>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</si>
  <si>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</si>
  <si>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</si>
  <si>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</si>
  <si>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</si>
  <si>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</si>
  <si>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</si>
  <si>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</si>
  <si>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</si>
  <si>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</si>
  <si>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</si>
  <si>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</si>
  <si>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</si>
  <si>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</si>
  <si>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</si>
  <si>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</si>
  <si>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</si>
  <si>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</si>
  <si>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</si>
  <si>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</si>
  <si>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</si>
  <si>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</si>
  <si>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</si>
  <si>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</si>
  <si>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</si>
  <si>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</si>
  <si>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</si>
  <si>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</si>
  <si>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</si>
  <si>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</si>
  <si>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</si>
  <si>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</si>
  <si>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</si>
  <si>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</si>
  <si>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</si>
  <si>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</si>
  <si>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</si>
  <si>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</si>
  <si>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</si>
  <si>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</si>
  <si>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</si>
  <si>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</si>
  <si>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</si>
  <si>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</si>
  <si>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</si>
  <si>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</si>
  <si>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</si>
  <si>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</si>
  <si>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</si>
  <si>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</si>
  <si>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</si>
  <si>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</si>
  <si>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</si>
  <si>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</si>
  <si>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</si>
  <si>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</si>
  <si>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</si>
  <si>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</si>
  <si>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</si>
  <si>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</si>
  <si>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</si>
  <si>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</si>
  <si>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</si>
  <si>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</si>
  <si>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</si>
  <si>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</si>
  <si>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</si>
  <si>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</si>
  <si>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</si>
  <si>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</si>
  <si>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</si>
  <si>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</si>
  <si>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</si>
  <si>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</si>
  <si>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</si>
  <si>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</si>
  <si>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</si>
  <si>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</si>
  <si>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</si>
  <si>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</si>
  <si>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</si>
  <si>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</si>
  <si>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</si>
  <si>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</si>
  <si>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</si>
  <si>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</si>
  <si>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</si>
  <si>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</si>
  <si>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</si>
  <si>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</si>
  <si>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</si>
  <si>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</si>
  <si>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</si>
  <si>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</si>
  <si>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</si>
  <si>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</si>
  <si>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</si>
  <si>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</si>
  <si>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</si>
  <si>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</si>
  <si>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</si>
  <si>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</si>
  <si>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</si>
  <si>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</si>
  <si>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</si>
  <si>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</si>
  <si>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</si>
  <si>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</si>
  <si>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</si>
  <si>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</si>
  <si>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</si>
  <si>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</si>
  <si>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</si>
  <si>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</si>
  <si>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</si>
  <si>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</si>
  <si>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</si>
  <si>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</si>
  <si>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</si>
  <si>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</si>
  <si>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</si>
  <si>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</si>
  <si>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</si>
  <si>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</si>
  <si>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</si>
  <si>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</si>
  <si>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</si>
  <si>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</si>
  <si>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</si>
  <si>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</si>
  <si>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</si>
  <si>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</si>
  <si>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</si>
  <si>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</si>
  <si>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</si>
  <si>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</si>
  <si>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</si>
  <si>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</si>
  <si>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</si>
  <si>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</si>
  <si>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</si>
  <si>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</si>
  <si>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</si>
  <si>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</si>
  <si>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</si>
  <si>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</si>
  <si>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</si>
  <si>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</si>
  <si>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</si>
  <si>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</si>
  <si>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</si>
  <si>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</si>
  <si>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</si>
  <si>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</si>
  <si>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</si>
  <si>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</si>
  <si>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</si>
  <si>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</si>
  <si>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</si>
  <si>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</si>
  <si>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</si>
  <si>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</si>
  <si>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</si>
  <si>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</si>
  <si>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</si>
  <si>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</si>
  <si>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</si>
  <si>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</si>
  <si>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</si>
  <si>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</si>
  <si>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</si>
  <si>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</si>
  <si>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</si>
  <si>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</si>
  <si>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</si>
  <si>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</si>
  <si>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</si>
  <si>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</si>
  <si>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</si>
  <si>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</si>
  <si>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</si>
  <si>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</si>
  <si>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</si>
  <si>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</si>
  <si>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</si>
  <si>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</si>
  <si>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</si>
  <si>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</si>
  <si>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</si>
  <si>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</si>
  <si>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</si>
  <si>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</si>
  <si>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</si>
  <si>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</si>
  <si>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</si>
  <si>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</si>
  <si>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</si>
  <si>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</si>
  <si>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</si>
  <si>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</si>
  <si>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</si>
  <si>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</si>
  <si>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</si>
  <si>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</si>
  <si>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</si>
  <si>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</si>
  <si>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</si>
  <si>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</si>
  <si>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</si>
  <si>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</si>
  <si>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</si>
  <si>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</si>
  <si>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</si>
  <si>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</si>
  <si>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</si>
  <si>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</si>
  <si>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</si>
  <si>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</si>
  <si>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</si>
  <si>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</si>
  <si>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</si>
  <si>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</si>
  <si>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</si>
  <si>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</si>
  <si>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</si>
  <si>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</si>
  <si>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</si>
  <si>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</si>
  <si>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</si>
  <si>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</si>
  <si>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</si>
  <si>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</si>
  <si>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</si>
  <si>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</si>
  <si>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</si>
  <si>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</si>
  <si>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</si>
  <si>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</si>
  <si>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</si>
  <si>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</si>
  <si>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</si>
  <si>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</si>
  <si>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</si>
  <si>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</si>
  <si>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</si>
  <si>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</si>
  <si>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</si>
  <si>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</si>
  <si>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</si>
  <si>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</si>
  <si>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</si>
  <si>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</si>
  <si>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</si>
  <si>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</si>
  <si>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</si>
  <si>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</si>
  <si>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</si>
  <si>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</si>
  <si>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</si>
  <si>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</si>
  <si>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</si>
  <si>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</si>
  <si>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</si>
  <si>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</si>
  <si>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</si>
  <si>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</si>
  <si>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</si>
  <si>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</si>
  <si>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</si>
  <si>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</si>
  <si>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</si>
  <si>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</si>
  <si>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</si>
  <si>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</si>
  <si>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</si>
  <si>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</si>
  <si>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</si>
  <si>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</si>
  <si>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</si>
  <si>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</si>
  <si>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</si>
  <si>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</si>
  <si>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</si>
  <si>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</si>
  <si>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</si>
  <si>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</si>
  <si>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</si>
  <si>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</si>
  <si>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</si>
  <si>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</si>
  <si>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</si>
  <si>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</si>
  <si>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</si>
  <si>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</si>
  <si>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</si>
  <si>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</si>
  <si>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</si>
  <si>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</si>
  <si>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</si>
  <si>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</si>
  <si>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</si>
  <si>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</si>
  <si>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</si>
  <si>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</si>
  <si>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</si>
  <si>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</si>
  <si>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</si>
  <si>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</si>
  <si>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</si>
  <si>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</si>
  <si>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</si>
  <si>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</si>
  <si>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</si>
  <si>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</si>
  <si>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</si>
  <si>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</si>
  <si>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</si>
  <si>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</si>
  <si>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</si>
  <si>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</si>
  <si>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</si>
  <si>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</si>
  <si>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</si>
  <si>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</si>
  <si>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</si>
  <si>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</si>
  <si>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</si>
  <si>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</si>
  <si>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</si>
  <si>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</si>
  <si>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</si>
  <si>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</si>
  <si>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</si>
  <si>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</si>
  <si>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</si>
  <si>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</si>
  <si>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</si>
  <si>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</si>
  <si>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</si>
  <si>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</si>
  <si>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</si>
  <si>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</si>
  <si>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</si>
  <si>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</si>
  <si>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</si>
  <si>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</si>
  <si>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</si>
  <si>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</si>
  <si>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</si>
  <si>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</si>
  <si>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</si>
  <si>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</si>
  <si>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</si>
  <si>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</si>
  <si>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</si>
  <si>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</si>
  <si>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</si>
  <si>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</si>
  <si>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</si>
  <si>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</si>
  <si>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</si>
  <si>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</si>
  <si>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</si>
  <si>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</si>
  <si>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</si>
  <si>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</si>
  <si>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</si>
  <si>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</si>
  <si>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</si>
  <si>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</si>
  <si>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</si>
  <si>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</si>
  <si>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</si>
  <si>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</si>
  <si>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</si>
  <si>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</si>
  <si>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</si>
  <si>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</si>
  <si>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</si>
  <si>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</si>
  <si>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</si>
  <si>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</si>
  <si>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</si>
  <si>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</si>
  <si>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</si>
  <si>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</si>
  <si>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</si>
  <si>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</si>
  <si>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</si>
  <si>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</si>
  <si>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</si>
  <si>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</si>
  <si>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</si>
  <si>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</si>
  <si>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</si>
  <si>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</si>
  <si>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</si>
  <si>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</si>
  <si>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</si>
  <si>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</si>
  <si>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</si>
  <si>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</si>
  <si>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</si>
  <si>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</si>
  <si>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</si>
  <si>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</si>
  <si>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</si>
  <si>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</si>
  <si>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</si>
  <si>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</si>
  <si>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</si>
  <si>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</si>
  <si>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</si>
  <si>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</si>
  <si>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</si>
  <si>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</si>
  <si>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</si>
  <si>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</si>
  <si>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</si>
  <si>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</si>
  <si>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</si>
  <si>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</si>
  <si>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</si>
  <si>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</si>
  <si>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</si>
  <si>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</si>
  <si>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</si>
  <si>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</si>
  <si>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</si>
  <si>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</si>
  <si>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</si>
  <si>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</si>
  <si>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</si>
  <si>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</si>
  <si>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</si>
  <si>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</si>
  <si>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</si>
  <si>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</si>
  <si>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</si>
  <si>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</si>
  <si>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</si>
  <si>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</si>
  <si>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</si>
  <si>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</si>
  <si>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</si>
  <si>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</si>
  <si>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</si>
  <si>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</si>
  <si>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</si>
  <si>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</si>
  <si>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</si>
  <si>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</si>
  <si>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</si>
  <si>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</si>
  <si>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</si>
  <si>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</si>
  <si>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</si>
  <si>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</si>
  <si>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</si>
  <si>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</si>
  <si>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</si>
  <si>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</si>
  <si>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</si>
  <si>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</si>
  <si>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</si>
  <si>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</si>
  <si>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</si>
  <si>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</si>
  <si>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</si>
  <si>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</si>
  <si>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</si>
  <si>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</si>
  <si>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</si>
  <si>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</si>
  <si>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</si>
  <si>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</si>
  <si>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</si>
  <si>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</si>
  <si>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</si>
  <si>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</si>
  <si>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</si>
  <si>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</si>
  <si>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</si>
  <si>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</si>
  <si>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</si>
  <si>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</si>
  <si>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</si>
  <si>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</si>
  <si>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</si>
  <si>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</si>
  <si>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</si>
  <si>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</si>
  <si>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</si>
  <si>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</si>
  <si>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</si>
  <si>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</si>
  <si>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</si>
  <si>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</si>
  <si>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</si>
  <si>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</si>
  <si>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</si>
  <si>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</si>
  <si>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</si>
  <si>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</si>
  <si>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</si>
  <si>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</si>
  <si>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</si>
  <si>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</si>
  <si>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</si>
  <si>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</si>
  <si>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</si>
  <si>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</si>
  <si>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</si>
  <si>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</si>
  <si>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</si>
  <si>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</si>
  <si>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</si>
  <si>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</si>
  <si>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</si>
  <si>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</si>
  <si>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</si>
  <si>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</si>
  <si>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</si>
  <si>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</si>
  <si>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</si>
  <si>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</si>
  <si>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</si>
  <si>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</si>
  <si>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</si>
  <si>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</si>
  <si>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</si>
  <si>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</si>
  <si>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</si>
  <si>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</si>
  <si>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</si>
  <si>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</si>
  <si>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</si>
  <si>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</si>
  <si>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</si>
  <si>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</si>
  <si>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</si>
  <si>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</si>
  <si>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</si>
  <si>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</si>
  <si>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</si>
  <si>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</si>
  <si>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</si>
  <si>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</si>
  <si>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</si>
  <si>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</si>
  <si>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</si>
  <si>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</si>
  <si>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</si>
  <si>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</si>
  <si>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</si>
  <si>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</si>
  <si>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</si>
  <si>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</si>
  <si>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</si>
  <si>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</si>
  <si>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</si>
  <si>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</si>
  <si>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</si>
  <si>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</si>
  <si>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</si>
  <si>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</si>
  <si>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</si>
  <si>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</si>
  <si>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</si>
  <si>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</si>
  <si>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</si>
  <si>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</si>
  <si>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</si>
  <si>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</si>
  <si>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</si>
  <si>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</si>
  <si>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</si>
  <si>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</si>
  <si>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</si>
  <si>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</si>
  <si>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</si>
  <si>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</si>
  <si>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</si>
  <si>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</si>
  <si>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</si>
  <si>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</si>
  <si>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</si>
  <si>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</si>
  <si>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</si>
  <si>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</si>
  <si>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</si>
  <si>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</si>
  <si>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</si>
  <si>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</si>
  <si>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</si>
  <si>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</si>
  <si>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</si>
  <si>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</si>
  <si>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</si>
  <si>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</si>
  <si>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</si>
  <si>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</si>
  <si>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</si>
  <si>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</si>
  <si>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</si>
  <si>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</si>
  <si>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</si>
  <si>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</si>
  <si>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</si>
  <si>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</si>
  <si>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</si>
  <si>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</si>
  <si>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</si>
  <si>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</si>
  <si>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</si>
  <si>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</si>
  <si>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</si>
  <si>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</si>
  <si>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</si>
  <si>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</si>
  <si>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</si>
  <si>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</si>
  <si>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</si>
  <si>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</si>
  <si>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</si>
  <si>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</si>
  <si>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</si>
  <si>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</si>
  <si>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</si>
  <si>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</si>
  <si>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</si>
  <si>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</si>
  <si>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</si>
  <si>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</si>
  <si>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</si>
  <si>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</si>
  <si>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</si>
  <si>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</si>
  <si>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</si>
  <si>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</si>
  <si>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</si>
  <si>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</si>
  <si>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</si>
  <si>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</si>
  <si>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</si>
  <si>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</si>
  <si>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</si>
  <si>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</si>
  <si>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</si>
  <si>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</si>
  <si>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</si>
  <si>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</si>
  <si>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</si>
  <si>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</si>
  <si>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</si>
  <si>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</si>
  <si>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</si>
  <si>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</si>
  <si>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</si>
  <si>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</si>
  <si>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</si>
  <si>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</si>
  <si>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</si>
  <si>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</si>
  <si>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</si>
  <si>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</si>
  <si>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</si>
  <si>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</si>
  <si>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</si>
  <si>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</si>
  <si>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</si>
  <si>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</si>
  <si>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</si>
  <si>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</si>
  <si>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</si>
  <si>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</si>
  <si>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</si>
  <si>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</si>
  <si>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</si>
  <si>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</si>
  <si>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</si>
  <si>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</si>
  <si>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</si>
  <si>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</si>
  <si>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</si>
  <si>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</si>
  <si>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</si>
  <si>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</si>
  <si>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</si>
  <si>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</si>
  <si>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</si>
  <si>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</si>
  <si>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</si>
  <si>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</si>
  <si>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</si>
  <si>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</si>
  <si>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</si>
  <si>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</si>
  <si>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</si>
  <si>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</si>
  <si>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</si>
  <si>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</si>
  <si>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</si>
  <si>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</si>
  <si>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</si>
  <si>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</si>
  <si>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</si>
  <si>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</si>
  <si>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</si>
  <si>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</si>
  <si>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</si>
  <si>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</si>
  <si>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</si>
  <si>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</si>
  <si>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</si>
  <si>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</si>
  <si>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</si>
  <si>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</si>
  <si>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</si>
  <si>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</si>
  <si>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</si>
  <si>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</si>
  <si>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</si>
  <si>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</si>
  <si>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</si>
  <si>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</si>
  <si>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</si>
  <si>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</si>
  <si>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</si>
  <si>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</si>
  <si>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</si>
  <si>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</si>
  <si>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</si>
  <si>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</si>
  <si>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</si>
  <si>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</si>
  <si>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</si>
  <si>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</si>
  <si>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</si>
  <si>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</si>
  <si>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</si>
  <si>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</si>
  <si>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</si>
  <si>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</si>
  <si>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</si>
  <si>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</si>
  <si>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</si>
  <si>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</si>
  <si>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</si>
  <si>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</si>
  <si>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</si>
  <si>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</si>
  <si>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</si>
  <si>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</si>
  <si>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</si>
  <si>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</si>
  <si>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</si>
  <si>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</si>
  <si>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</si>
  <si>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</si>
  <si>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</si>
  <si>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</si>
  <si>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</si>
  <si>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</si>
  <si>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</si>
  <si>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</si>
  <si>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</si>
  <si>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</si>
  <si>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</si>
  <si>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</si>
  <si>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</si>
  <si>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</si>
  <si>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</si>
  <si>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</si>
  <si>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</si>
  <si>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</si>
  <si>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</si>
  <si>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</si>
  <si>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</si>
  <si>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</si>
  <si>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</si>
  <si>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</si>
  <si>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</si>
  <si>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</si>
  <si>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</si>
  <si>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</si>
  <si>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</si>
  <si>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</si>
  <si>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</si>
  <si>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</si>
  <si>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</si>
  <si>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</si>
  <si>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</si>
  <si>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</si>
  <si>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</si>
  <si>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</si>
  <si>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</si>
  <si>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</si>
  <si>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</si>
  <si>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</si>
  <si>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</si>
  <si>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</si>
  <si>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</si>
  <si>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</si>
  <si>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</si>
  <si>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</si>
  <si>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</si>
  <si>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</si>
  <si>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</si>
  <si>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</si>
  <si>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</si>
  <si>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</si>
  <si>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</si>
  <si>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</si>
  <si>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</si>
  <si>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</si>
  <si>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</si>
  <si>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</si>
  <si>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</si>
  <si>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</si>
  <si>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</si>
  <si>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</si>
  <si>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</si>
  <si>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</si>
  <si>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</si>
  <si>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</si>
  <si>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</si>
  <si>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</si>
  <si>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</si>
  <si>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</si>
  <si>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</si>
  <si>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</si>
  <si>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</si>
  <si>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</si>
  <si>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</si>
  <si>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</si>
  <si>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</si>
  <si>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</si>
  <si>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</si>
  <si>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</si>
  <si>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</si>
  <si>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</si>
  <si>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</si>
  <si>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</si>
  <si>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</si>
  <si>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</si>
  <si>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</si>
  <si>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</si>
  <si>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</si>
  <si>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</si>
  <si>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</si>
  <si>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</si>
  <si>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</si>
  <si>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</si>
  <si>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</si>
  <si>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</si>
  <si>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</si>
  <si>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</si>
  <si>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</si>
  <si>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</si>
  <si>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</si>
  <si>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</si>
  <si>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</si>
  <si>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</si>
  <si>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</si>
  <si>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</si>
  <si>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</si>
  <si>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</si>
  <si>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</si>
  <si>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</si>
  <si>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</si>
  <si>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</si>
  <si>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</si>
  <si>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</si>
  <si>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</si>
  <si>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</si>
  <si>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</si>
  <si>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</si>
  <si>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</si>
  <si>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</si>
  <si>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</si>
  <si>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</si>
  <si>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</si>
  <si>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</si>
  <si>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</si>
  <si>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</si>
  <si>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</si>
  <si>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</si>
  <si>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</si>
  <si>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</si>
  <si>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</si>
  <si>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</si>
  <si>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</si>
  <si>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</si>
  <si>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</si>
  <si>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</si>
  <si>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</si>
  <si>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</si>
  <si>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</si>
  <si>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</si>
  <si>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</si>
  <si>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</si>
  <si>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</si>
  <si>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</si>
  <si>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</si>
  <si>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</si>
  <si>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</si>
  <si>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</si>
  <si>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</si>
  <si>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</si>
  <si>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</si>
  <si>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</si>
  <si>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</si>
  <si>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</si>
  <si>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</si>
  <si>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</si>
  <si>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</si>
  <si>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</si>
  <si>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</si>
  <si>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</si>
  <si>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</si>
  <si>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</si>
  <si>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</si>
  <si>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</si>
  <si>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</si>
  <si>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</si>
  <si>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</si>
  <si>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</si>
  <si>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</si>
  <si>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</si>
  <si>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</si>
  <si>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</si>
  <si>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</si>
  <si>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</si>
  <si>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</si>
  <si>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</si>
  <si>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</si>
  <si>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</si>
  <si>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</si>
  <si>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</si>
  <si>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</si>
  <si>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</si>
  <si>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</si>
  <si>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</si>
  <si>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</si>
  <si>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</si>
  <si>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</si>
  <si>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</si>
  <si>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</si>
  <si>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</si>
  <si>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</si>
  <si>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</si>
  <si>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</si>
  <si>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</si>
  <si>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</si>
  <si>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</si>
  <si>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</si>
  <si>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</si>
  <si>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</si>
  <si>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</si>
  <si>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</si>
  <si>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</si>
  <si>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</si>
  <si>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</si>
  <si>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</si>
  <si>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</si>
  <si>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</si>
  <si>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</si>
  <si>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</si>
  <si>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</si>
  <si>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</si>
  <si>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</si>
  <si>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</si>
  <si>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</si>
  <si>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</si>
  <si>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</si>
  <si>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</si>
  <si>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</si>
  <si>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</si>
  <si>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</si>
  <si>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</si>
  <si>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</si>
  <si>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</si>
  <si>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</si>
  <si>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</si>
  <si>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</si>
  <si>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</si>
  <si>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</si>
  <si>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</si>
  <si>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</si>
  <si>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</si>
  <si>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</si>
  <si>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</si>
  <si>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</si>
  <si>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</si>
  <si>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</si>
  <si>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</si>
  <si>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</si>
  <si>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</si>
  <si>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</si>
  <si>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</si>
  <si>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</si>
  <si>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</si>
  <si>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</si>
  <si>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</si>
  <si>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</si>
  <si>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</si>
  <si>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</si>
  <si>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</si>
  <si>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</si>
  <si>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</si>
  <si>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</si>
  <si>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</si>
  <si>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</si>
  <si>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</si>
  <si>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</si>
  <si>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</si>
  <si>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</si>
  <si>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</si>
  <si>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</si>
  <si>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</si>
  <si>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</si>
  <si>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</si>
  <si>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</si>
  <si>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</si>
  <si>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</si>
  <si>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</si>
  <si>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</si>
  <si>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</si>
  <si>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</si>
  <si>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</si>
  <si>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</si>
  <si>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</si>
  <si>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</si>
  <si>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</si>
  <si>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</si>
  <si>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</si>
  <si>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</si>
  <si>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</si>
  <si>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</si>
  <si>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</si>
  <si>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</si>
  <si>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</si>
  <si>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</si>
  <si>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</si>
  <si>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</si>
  <si>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</si>
  <si>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</si>
  <si>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</si>
  <si>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</si>
  <si>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</si>
  <si>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</si>
  <si>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</si>
  <si>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</si>
  <si>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</si>
  <si>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</si>
  <si>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</si>
  <si>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</si>
  <si>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</si>
  <si>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</si>
  <si>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</si>
  <si>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</si>
  <si>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</si>
  <si>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</si>
  <si>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</si>
  <si>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</si>
  <si>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</si>
  <si>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</si>
  <si>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</si>
  <si>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</si>
  <si>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</si>
  <si>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</si>
  <si>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</si>
  <si>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</si>
  <si>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</si>
  <si>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</si>
  <si>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</si>
  <si>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</si>
  <si>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</si>
  <si>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</si>
  <si>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</si>
  <si>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</si>
  <si>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</si>
  <si>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</si>
  <si>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</si>
  <si>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</si>
  <si>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</si>
  <si>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</si>
  <si>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</si>
  <si>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</si>
  <si>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</si>
  <si>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</si>
  <si>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</si>
  <si>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</si>
  <si>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</si>
  <si>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</si>
  <si>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</si>
  <si>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</si>
  <si>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</si>
  <si>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</si>
  <si>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</si>
  <si>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</si>
  <si>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</si>
  <si>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</si>
  <si>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</si>
  <si>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</si>
  <si>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</si>
  <si>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</si>
  <si>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</si>
  <si>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</si>
  <si>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</si>
  <si>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</si>
  <si>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</si>
  <si>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</si>
  <si>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</si>
  <si>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</si>
  <si>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</si>
  <si>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</si>
  <si>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</si>
  <si>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</si>
  <si>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</si>
  <si>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</si>
  <si>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</si>
  <si>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</si>
  <si>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</si>
  <si>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</si>
  <si>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</si>
  <si>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</si>
  <si>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</si>
  <si>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</si>
  <si>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</si>
  <si>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</si>
  <si>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</si>
  <si>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</si>
  <si>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</si>
  <si>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</si>
  <si>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</si>
  <si>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</si>
  <si>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</si>
  <si>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</si>
  <si>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</si>
  <si>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</si>
  <si>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</si>
  <si>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</si>
  <si>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</si>
  <si>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</si>
  <si>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</si>
  <si>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</si>
  <si>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</si>
  <si>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</si>
  <si>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</si>
  <si>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</si>
  <si>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</si>
  <si>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</si>
  <si>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</si>
  <si>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</si>
  <si>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</si>
  <si>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</si>
  <si>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</si>
  <si>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</si>
  <si>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</si>
  <si>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</si>
  <si>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</si>
  <si>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</si>
  <si>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</si>
  <si>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</si>
  <si>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</si>
  <si>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</si>
  <si>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</si>
  <si>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</si>
  <si>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</si>
  <si>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</si>
  <si>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</si>
  <si>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</si>
  <si>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</si>
  <si>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</si>
  <si>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</si>
  <si>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</si>
  <si>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</si>
  <si>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</si>
  <si>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</si>
  <si>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</si>
  <si>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</si>
  <si>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</si>
  <si>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</si>
  <si>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</si>
  <si>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</si>
  <si>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</si>
  <si>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</si>
  <si>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</si>
  <si>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</si>
  <si>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</si>
  <si>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</si>
  <si>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</si>
  <si>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</si>
  <si>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</si>
  <si>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</si>
  <si>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</si>
  <si>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</si>
  <si>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</si>
  <si>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</si>
  <si>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</si>
  <si>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</si>
  <si>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</si>
  <si>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</si>
  <si>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</si>
  <si>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</si>
  <si>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</si>
  <si>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</si>
  <si>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</si>
  <si>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</si>
  <si>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</si>
  <si>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</si>
  <si>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</si>
  <si>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</si>
  <si>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</si>
  <si>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</si>
  <si>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</si>
  <si>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</si>
  <si>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</si>
  <si>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</si>
  <si>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</si>
  <si>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</si>
  <si>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</si>
  <si>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</si>
  <si>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</si>
  <si>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</si>
  <si>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</si>
  <si>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</si>
  <si>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</si>
  <si>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</si>
  <si>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</si>
  <si>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</si>
  <si>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</si>
  <si>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</si>
  <si>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</si>
  <si>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</si>
  <si>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</si>
  <si>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</si>
  <si>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</si>
  <si>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</si>
  <si>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</si>
  <si>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</si>
  <si>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</si>
  <si>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</si>
  <si>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</si>
  <si>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</si>
  <si>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</si>
  <si>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</si>
  <si>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</si>
  <si>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</si>
  <si>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</si>
  <si>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</si>
  <si>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</si>
  <si>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</si>
  <si>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</si>
  <si>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</si>
  <si>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</si>
  <si>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</si>
  <si>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</si>
  <si>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</si>
  <si>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</si>
  <si>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</si>
  <si>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</si>
  <si>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</si>
  <si>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</si>
  <si>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</si>
  <si>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</si>
  <si>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</si>
  <si>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</si>
  <si>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</si>
  <si>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</si>
  <si>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</si>
  <si>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</si>
  <si>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</si>
  <si>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</si>
  <si>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</si>
  <si>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</si>
  <si>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</si>
  <si>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</si>
  <si>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</si>
  <si>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</si>
  <si>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</si>
  <si>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</si>
  <si>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</si>
  <si>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</si>
  <si>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</si>
  <si>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</si>
  <si>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</si>
  <si>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</si>
  <si>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</si>
  <si>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</si>
  <si>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</si>
  <si>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</si>
  <si>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</si>
  <si>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</si>
  <si>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</si>
  <si>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</si>
  <si>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</si>
  <si>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</si>
  <si>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</si>
  <si>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</si>
  <si>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</si>
  <si>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</si>
  <si>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</si>
  <si>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</si>
  <si>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</si>
  <si>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</si>
  <si>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</si>
  <si>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</si>
  <si>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</si>
  <si>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</si>
  <si>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</si>
  <si>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</si>
  <si>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</si>
  <si>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</si>
  <si>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</si>
  <si>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</si>
  <si>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</si>
  <si>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</si>
  <si>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</si>
  <si>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</si>
  <si>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</si>
  <si>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</si>
  <si>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</si>
  <si>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</si>
  <si>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</si>
  <si>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</si>
  <si>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</si>
  <si>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</si>
  <si>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</si>
  <si>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</si>
  <si>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</si>
  <si>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</si>
  <si>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</si>
  <si>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</si>
  <si>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</si>
  <si>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</si>
  <si>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</si>
  <si>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</si>
  <si>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</si>
  <si>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</si>
  <si>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</si>
  <si>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</si>
  <si>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</si>
  <si>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</si>
  <si>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</si>
  <si>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</si>
  <si>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</si>
  <si>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</si>
  <si>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</si>
  <si>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</si>
  <si>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</si>
  <si>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</si>
  <si>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</si>
  <si>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</si>
  <si>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</si>
  <si>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</si>
  <si>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</si>
  <si>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</si>
  <si>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</si>
  <si>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</si>
  <si>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</si>
  <si>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</si>
  <si>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</si>
  <si>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</si>
  <si>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</si>
  <si>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</si>
  <si>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</si>
  <si>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</si>
  <si>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</si>
  <si>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</si>
  <si>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</si>
  <si>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</si>
  <si>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</si>
  <si>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</si>
  <si>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</si>
  <si>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</si>
  <si>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</si>
  <si>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</si>
  <si>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</si>
  <si>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</si>
  <si>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</si>
  <si>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</si>
  <si>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</si>
  <si>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</si>
  <si>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</si>
  <si>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</si>
  <si>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</si>
  <si>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</si>
  <si>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</si>
  <si>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</si>
  <si>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</si>
  <si>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</si>
  <si>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</si>
  <si>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</si>
  <si>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</si>
  <si>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</si>
  <si>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</si>
  <si>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</si>
  <si>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</si>
  <si>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</si>
  <si>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</si>
  <si>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</si>
  <si>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</si>
  <si>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</si>
  <si>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</si>
  <si>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</si>
  <si>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</si>
  <si>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</si>
  <si>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</si>
  <si>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</si>
  <si>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</si>
  <si>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</si>
  <si>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</si>
  <si>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</si>
  <si>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</si>
  <si>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</si>
  <si>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</si>
  <si>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</si>
  <si>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</si>
  <si>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</si>
  <si>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</si>
  <si>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</si>
  <si>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</si>
  <si>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</si>
  <si>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</si>
  <si>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</si>
  <si>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</si>
  <si>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</si>
  <si>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</si>
  <si>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</si>
  <si>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</si>
  <si>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</si>
  <si>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</si>
  <si>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</si>
  <si>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</si>
  <si>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</si>
  <si>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</si>
  <si>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</si>
  <si>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</si>
  <si>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</si>
  <si>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</si>
  <si>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</si>
  <si>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</si>
  <si>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</si>
  <si>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</si>
  <si>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</si>
  <si>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</si>
  <si>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</si>
  <si>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</si>
  <si>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</si>
  <si>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</si>
  <si>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</si>
  <si>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</si>
  <si>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</si>
  <si>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</si>
  <si>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</si>
  <si>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</si>
  <si>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</si>
  <si>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</si>
  <si>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</si>
  <si>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</si>
  <si>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</si>
  <si>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</si>
  <si>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</si>
  <si>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</si>
  <si>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</si>
  <si>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</si>
  <si>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</si>
  <si>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</si>
  <si>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</si>
  <si>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</si>
  <si>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</si>
  <si>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</si>
  <si>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</si>
  <si>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</si>
  <si>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</si>
  <si>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</si>
  <si>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</si>
  <si>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</si>
  <si>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</si>
  <si>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</si>
  <si>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</si>
  <si>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</si>
  <si>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</si>
  <si>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</si>
  <si>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</si>
  <si>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</si>
  <si>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</si>
  <si>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</si>
  <si>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</si>
  <si>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</si>
  <si>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</si>
  <si>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</si>
  <si>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</si>
  <si>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</si>
  <si>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</si>
  <si>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</si>
  <si>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</si>
  <si>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</si>
  <si>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</si>
  <si>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</si>
  <si>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</si>
  <si>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</si>
  <si>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</si>
  <si>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</si>
  <si>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</si>
  <si>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</si>
  <si>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</si>
  <si>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</si>
  <si>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</si>
  <si>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</si>
  <si>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</si>
  <si>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</si>
  <si>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</si>
  <si>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</si>
  <si>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</si>
  <si>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</si>
  <si>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</si>
  <si>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</si>
  <si>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</si>
  <si>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</si>
  <si>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</si>
  <si>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</si>
  <si>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</si>
  <si>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</si>
  <si>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</si>
  <si>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</si>
  <si>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</si>
  <si>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</si>
  <si>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</si>
  <si>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</si>
  <si>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</si>
  <si>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</si>
  <si>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</si>
  <si>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</si>
  <si>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</si>
  <si>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</si>
  <si>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</si>
  <si>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</si>
  <si>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</si>
  <si>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</si>
  <si>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</si>
  <si>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</si>
  <si>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</si>
  <si>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</si>
  <si>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</si>
  <si>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</si>
  <si>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</si>
  <si>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</si>
  <si>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</si>
  <si>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</si>
  <si>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</si>
  <si>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</si>
  <si>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</si>
  <si>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</si>
  <si>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</si>
  <si>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</si>
  <si>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</si>
  <si>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</si>
  <si>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</si>
  <si>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</si>
  <si>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</si>
  <si>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</si>
  <si>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</si>
  <si>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</si>
  <si>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</si>
  <si>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</si>
  <si>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</si>
  <si>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</si>
  <si>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</si>
  <si>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</si>
  <si>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</si>
  <si>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</si>
  <si>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</si>
  <si>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</si>
  <si>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</si>
  <si>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</si>
  <si>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</si>
  <si>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</si>
  <si>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</si>
  <si>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</si>
  <si>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</si>
  <si>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</si>
  <si>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</si>
  <si>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</si>
  <si>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</si>
  <si>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</si>
  <si>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</si>
  <si>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</si>
  <si>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</si>
  <si>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</si>
  <si>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</si>
  <si>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</si>
  <si>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</si>
  <si>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</si>
  <si>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</si>
  <si>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</si>
  <si>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</si>
  <si>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</si>
  <si>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</si>
  <si>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</si>
  <si>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</si>
  <si>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</si>
  <si>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</si>
  <si>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</si>
  <si>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</si>
  <si>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</si>
  <si>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</si>
  <si>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</si>
  <si>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</si>
  <si>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</si>
  <si>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</si>
  <si>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</si>
  <si>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</si>
  <si>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</si>
  <si>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</si>
  <si>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</si>
  <si>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</si>
  <si>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</si>
  <si>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</si>
  <si>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</si>
  <si>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</si>
  <si>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</si>
  <si>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</si>
  <si>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</si>
  <si>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</si>
  <si>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</si>
  <si>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</si>
  <si>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</si>
  <si>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</si>
  <si>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</si>
  <si>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</si>
  <si>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</si>
  <si>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</si>
  <si>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</si>
  <si>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</si>
  <si>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</si>
  <si>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</si>
  <si>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</si>
  <si>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</si>
  <si>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</si>
  <si>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</si>
  <si>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</si>
  <si>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</si>
  <si>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</si>
  <si>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</si>
  <si>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</si>
  <si>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</si>
  <si>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</si>
  <si>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</si>
  <si>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</si>
  <si>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</si>
  <si>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</si>
  <si>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</si>
  <si>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</si>
  <si>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</si>
  <si>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</si>
  <si>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</si>
  <si>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</si>
  <si>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</si>
  <si>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</si>
  <si>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</si>
  <si>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</si>
  <si>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</si>
  <si>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</si>
  <si>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</si>
  <si>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</si>
  <si>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</si>
  <si>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</si>
  <si>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</si>
  <si>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</si>
  <si>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</si>
  <si>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</si>
  <si>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</si>
  <si>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</si>
  <si>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</si>
  <si>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</si>
  <si>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</si>
  <si>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</si>
  <si>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</si>
  <si>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</si>
  <si>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</si>
  <si>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</si>
  <si>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</si>
  <si>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</si>
  <si>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</si>
  <si>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</si>
  <si>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</si>
  <si>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</si>
  <si>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</si>
  <si>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</si>
  <si>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</si>
  <si>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</si>
  <si>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</si>
  <si>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</si>
  <si>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</si>
  <si>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</si>
  <si>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</si>
  <si>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</si>
  <si>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</si>
  <si>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</si>
  <si>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</si>
  <si>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</si>
  <si>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</si>
  <si>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</si>
  <si>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</si>
  <si>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</si>
  <si>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</si>
  <si>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</si>
  <si>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</si>
  <si>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</si>
  <si>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</si>
  <si>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</si>
  <si>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</si>
  <si>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</si>
  <si>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</si>
  <si>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</si>
  <si>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</si>
  <si>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</si>
  <si>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</si>
  <si>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</si>
  <si>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</si>
  <si>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</si>
  <si>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</si>
  <si>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</si>
  <si>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</si>
  <si>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</si>
  <si>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</si>
  <si>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</si>
  <si>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</si>
  <si>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</si>
  <si>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</si>
  <si>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</si>
  <si>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</si>
  <si>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</si>
  <si>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</si>
  <si>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</si>
  <si>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</si>
  <si>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</si>
  <si>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</si>
  <si>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</si>
  <si>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</si>
  <si>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</si>
  <si>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</si>
  <si>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</si>
  <si>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</si>
  <si>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</si>
  <si>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</si>
  <si>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</si>
  <si>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</si>
  <si>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</si>
  <si>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</si>
  <si>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</si>
  <si>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</si>
  <si>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</si>
  <si>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</si>
  <si>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</si>
  <si>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</si>
  <si>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</si>
  <si>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</si>
  <si>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</si>
  <si>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</si>
  <si>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</si>
  <si>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</si>
  <si>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</si>
  <si>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</si>
  <si>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</si>
  <si>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</si>
  <si>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</si>
  <si>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</si>
  <si>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</si>
  <si>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</si>
  <si>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</si>
  <si>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</si>
  <si>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</si>
  <si>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</si>
  <si>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</si>
  <si>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</si>
  <si>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</si>
  <si>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</si>
  <si>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</si>
  <si>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</si>
  <si>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</si>
  <si>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</si>
  <si>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</si>
  <si>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</si>
  <si>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</si>
  <si>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</si>
  <si>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</si>
  <si>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</si>
  <si>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</si>
  <si>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</si>
  <si>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</si>
  <si>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</si>
  <si>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</si>
  <si>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</si>
  <si>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</si>
  <si>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</si>
  <si>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</si>
  <si>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</si>
  <si>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</si>
  <si>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</si>
  <si>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</si>
  <si>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</si>
  <si>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</si>
  <si>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</si>
  <si>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</si>
  <si>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</si>
  <si>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</si>
  <si>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</si>
  <si>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</si>
  <si>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</si>
  <si>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</si>
  <si>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</si>
  <si>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</si>
  <si>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</si>
  <si>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</si>
  <si>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</si>
  <si>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</si>
  <si>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</si>
  <si>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</si>
  <si>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</si>
  <si>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</si>
  <si>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</si>
  <si>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</si>
  <si>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</si>
  <si>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</si>
  <si>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</si>
  <si>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</si>
  <si>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</si>
  <si>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</si>
  <si>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</si>
  <si>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</si>
  <si>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</si>
  <si>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</si>
  <si>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</si>
  <si>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</si>
  <si>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</si>
  <si>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</si>
  <si>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</si>
  <si>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</si>
  <si>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</si>
  <si>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</si>
  <si>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</si>
  <si>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</si>
  <si>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</si>
  <si>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</si>
  <si>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</si>
  <si>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</si>
  <si>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</si>
  <si>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</si>
  <si>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</si>
  <si>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</si>
  <si>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</si>
  <si>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</si>
  <si>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</si>
  <si>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</si>
  <si>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</si>
  <si>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</si>
  <si>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</si>
  <si>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</si>
  <si>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</si>
  <si>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</si>
  <si>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</si>
  <si>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</si>
  <si>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</si>
  <si>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</si>
  <si>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</si>
  <si>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</si>
  <si>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</si>
  <si>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</si>
  <si>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</si>
  <si>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</si>
  <si>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</si>
  <si>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</si>
  <si>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</si>
  <si>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</si>
  <si>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</si>
  <si>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</si>
  <si>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</si>
  <si>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</si>
  <si>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</si>
  <si>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</si>
  <si>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</si>
  <si>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</si>
  <si>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</si>
  <si>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</si>
  <si>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</si>
  <si>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</si>
  <si>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</si>
  <si>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</si>
  <si>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</si>
  <si>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</si>
  <si>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</si>
  <si>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</si>
  <si>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</si>
  <si>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</si>
  <si>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</si>
  <si>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</si>
  <si>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</si>
  <si>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</si>
  <si>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</si>
  <si>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</si>
  <si>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</si>
  <si>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</si>
  <si>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</si>
  <si>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</si>
  <si>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</si>
  <si>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</si>
  <si>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</si>
  <si>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</si>
  <si>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</si>
  <si>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</si>
  <si>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</si>
  <si>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</si>
  <si>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</si>
  <si>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</si>
  <si>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</si>
  <si>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</si>
  <si>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</si>
  <si>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</si>
  <si>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</si>
  <si>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</si>
  <si>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</si>
  <si>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</si>
  <si>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</si>
  <si>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</si>
  <si>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</si>
  <si>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</si>
  <si>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</si>
  <si>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</si>
  <si>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</si>
  <si>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</si>
  <si>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</si>
  <si>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</si>
  <si>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</si>
  <si>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</si>
  <si>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</si>
  <si>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</si>
  <si>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</si>
  <si>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</si>
  <si>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</si>
  <si>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</si>
  <si>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</si>
  <si>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</si>
  <si>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</si>
  <si>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</si>
  <si>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</si>
  <si>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</si>
  <si>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</si>
  <si>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</si>
  <si>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</si>
  <si>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</si>
  <si>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</si>
  <si>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</si>
  <si>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</si>
  <si>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</si>
  <si>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</si>
  <si>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</si>
  <si>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</si>
  <si>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</si>
  <si>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</si>
  <si>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</si>
  <si>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</si>
  <si>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</si>
  <si>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</si>
  <si>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</si>
  <si>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</si>
  <si>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</si>
  <si>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</si>
  <si>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</si>
  <si>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</si>
  <si>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</si>
  <si>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</si>
  <si>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</si>
  <si>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</si>
  <si>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</si>
  <si>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</si>
  <si>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</si>
  <si>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</si>
  <si>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</si>
  <si>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</si>
  <si>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</si>
  <si>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</si>
  <si>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</si>
  <si>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</si>
  <si>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</si>
  <si>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</si>
  <si>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</si>
  <si>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</si>
  <si>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</si>
  <si>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</si>
  <si>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</si>
  <si>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</si>
  <si>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</si>
  <si>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</si>
  <si>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</si>
  <si>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</si>
  <si>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</si>
  <si>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</si>
  <si>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</si>
  <si>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</si>
  <si>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</si>
  <si>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</si>
  <si>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</si>
  <si>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</si>
  <si>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</si>
  <si>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</si>
  <si>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</si>
  <si>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</si>
  <si>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</si>
  <si>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</si>
  <si>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</si>
  <si>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</si>
  <si>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</si>
  <si>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</si>
  <si>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</si>
  <si>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</si>
  <si>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</si>
  <si>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</si>
  <si>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</si>
  <si>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</si>
  <si>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</si>
  <si>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</si>
  <si>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</si>
  <si>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</si>
  <si>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</si>
  <si>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</si>
  <si>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</si>
  <si>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</si>
  <si>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</si>
  <si>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</si>
  <si>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</si>
  <si>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</si>
  <si>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</si>
  <si>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</si>
  <si>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</si>
  <si>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</si>
  <si>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</si>
  <si>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</si>
  <si>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</si>
  <si>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</si>
  <si>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</si>
  <si>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</si>
  <si>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</si>
  <si>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</si>
  <si>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</si>
  <si>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</si>
  <si>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</si>
  <si>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</si>
  <si>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</si>
  <si>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</si>
  <si>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</si>
  <si>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</si>
  <si>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</si>
  <si>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</si>
  <si>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</si>
  <si>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</si>
  <si>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</si>
  <si>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</si>
  <si>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</si>
  <si>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</si>
  <si>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</si>
  <si>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</si>
  <si>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</si>
  <si>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</si>
  <si>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</si>
  <si>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</si>
  <si>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</si>
  <si>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</si>
  <si>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</si>
  <si>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</si>
  <si>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</si>
  <si>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</si>
  <si>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</si>
  <si>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</si>
  <si>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</si>
  <si>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</si>
  <si>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</si>
  <si>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</si>
  <si>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</si>
  <si>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</si>
  <si>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</si>
  <si>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</si>
  <si>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</si>
  <si>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</si>
  <si>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</si>
  <si>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</si>
  <si>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</si>
  <si>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</si>
  <si>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</si>
  <si>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</si>
  <si>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</si>
  <si>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</si>
  <si>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</si>
  <si>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</si>
  <si>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</si>
  <si>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</si>
  <si>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</si>
  <si>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</si>
  <si>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</si>
  <si>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</si>
  <si>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</si>
  <si>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</si>
  <si>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</si>
  <si>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</si>
  <si>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</si>
  <si>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</si>
  <si>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</si>
  <si>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</si>
  <si>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</si>
  <si>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</si>
  <si>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</si>
  <si>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</si>
  <si>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</si>
  <si>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</si>
  <si>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</si>
  <si>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</si>
  <si>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</si>
  <si>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</si>
  <si>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</si>
  <si>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</si>
  <si>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</si>
  <si>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</si>
  <si>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</si>
  <si>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</si>
  <si>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</si>
  <si>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</si>
  <si>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</si>
  <si>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</si>
  <si>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</si>
  <si>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</si>
  <si>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</si>
  <si>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</si>
  <si>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</si>
  <si>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</si>
  <si>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</si>
  <si>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</si>
  <si>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</si>
  <si>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</si>
  <si>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</si>
  <si>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</si>
  <si>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</si>
  <si>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</si>
  <si>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</si>
  <si>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</si>
  <si>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</si>
  <si>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</si>
  <si>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</si>
  <si>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</si>
  <si>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</si>
  <si>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</si>
  <si>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</si>
  <si>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</si>
  <si>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</si>
  <si>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</si>
  <si>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</si>
  <si>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</si>
  <si>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</si>
  <si>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</si>
  <si>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</si>
  <si>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</si>
  <si>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</si>
  <si>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</si>
  <si>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</si>
  <si>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</si>
  <si>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</si>
  <si>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</si>
  <si>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</si>
  <si>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</si>
  <si>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</si>
  <si>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</si>
  <si>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</si>
  <si>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</si>
  <si>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</si>
  <si>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</si>
  <si>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</si>
  <si>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</si>
  <si>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</si>
  <si>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</si>
  <si>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</si>
  <si>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</si>
  <si>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</si>
  <si>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</si>
  <si>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</si>
  <si>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</si>
  <si>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</si>
  <si>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</si>
  <si>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</si>
  <si>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</si>
  <si>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</si>
  <si>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</si>
  <si>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</si>
  <si>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</si>
  <si>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</si>
  <si>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</si>
  <si>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</si>
  <si>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</si>
  <si>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</si>
  <si>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</si>
  <si>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</si>
  <si>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</si>
  <si>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</si>
  <si>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</si>
  <si>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</si>
  <si>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</si>
  <si>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</si>
  <si>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</si>
  <si>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</si>
  <si>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</si>
  <si>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</si>
  <si>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</si>
  <si>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</si>
  <si>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</si>
  <si>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</si>
  <si>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</si>
  <si>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</si>
  <si>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</si>
  <si>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</si>
  <si>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</si>
  <si>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</si>
  <si>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</si>
  <si>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</si>
  <si>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</si>
  <si>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</si>
  <si>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</si>
  <si>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</si>
  <si>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</si>
  <si>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</si>
  <si>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</si>
  <si>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</si>
  <si>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</si>
  <si>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</si>
  <si>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</si>
  <si>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</si>
  <si>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</si>
  <si>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</si>
  <si>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</si>
  <si>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</si>
  <si>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</si>
  <si>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</si>
  <si>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</si>
  <si>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</si>
  <si>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</si>
  <si>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</si>
  <si>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</si>
  <si>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</si>
  <si>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</si>
  <si>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</si>
  <si>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</si>
  <si>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</si>
  <si>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</si>
  <si>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</si>
  <si>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</si>
  <si>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</si>
  <si>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</si>
  <si>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</si>
  <si>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</si>
  <si>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</si>
  <si>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</si>
  <si>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</si>
  <si>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</si>
  <si>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</si>
  <si>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</si>
  <si>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</si>
  <si>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</si>
  <si>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</si>
  <si>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</si>
  <si>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</si>
  <si>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</si>
  <si>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</si>
  <si>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</si>
  <si>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</si>
  <si>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</si>
  <si>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</si>
  <si>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</si>
  <si>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</si>
  <si>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</si>
  <si>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</si>
  <si>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</si>
  <si>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</si>
  <si>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</si>
  <si>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</si>
  <si>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</si>
  <si>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</si>
  <si>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</si>
  <si>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</si>
  <si>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</si>
  <si>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</si>
  <si>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</si>
  <si>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</si>
  <si>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</si>
  <si>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</si>
  <si>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</si>
  <si>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</si>
  <si>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</si>
  <si>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</si>
  <si>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</si>
  <si>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</si>
  <si>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</si>
  <si>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</si>
  <si>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</si>
  <si>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</si>
  <si>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</si>
  <si>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</si>
  <si>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</si>
  <si>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</si>
  <si>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</si>
  <si>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</si>
  <si>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</si>
  <si>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</si>
  <si>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</si>
  <si>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</si>
  <si>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</si>
  <si>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</si>
  <si>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</si>
  <si>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</si>
  <si>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</si>
  <si>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</si>
  <si>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</si>
  <si>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</si>
  <si>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</si>
  <si>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</si>
  <si>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</si>
  <si>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</si>
  <si>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</si>
  <si>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</si>
  <si>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</si>
  <si>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</si>
  <si>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</si>
  <si>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</si>
  <si>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</si>
  <si>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</si>
  <si>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</si>
  <si>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</si>
  <si>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</si>
  <si>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</si>
  <si>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</si>
  <si>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</si>
  <si>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</si>
  <si>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</si>
  <si>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</si>
  <si>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</si>
  <si>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</si>
  <si>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</si>
  <si>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</si>
  <si>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</si>
  <si>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</si>
  <si>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</si>
  <si>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</si>
  <si>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</si>
  <si>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</si>
  <si>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</si>
  <si>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</si>
  <si>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</si>
  <si>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</si>
  <si>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</si>
  <si>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</si>
  <si>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</si>
  <si>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</si>
  <si>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</si>
  <si>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</si>
  <si>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</si>
  <si>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</si>
  <si>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</si>
  <si>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</si>
  <si>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</si>
  <si>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</si>
  <si>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</si>
  <si>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</si>
  <si>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</si>
  <si>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</si>
  <si>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</si>
  <si>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</si>
  <si>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</si>
  <si>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</si>
  <si>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</si>
  <si>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</si>
  <si>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</si>
  <si>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</si>
  <si>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</si>
  <si>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</si>
  <si>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</si>
  <si>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</si>
  <si>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</si>
  <si>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</si>
  <si>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</si>
  <si>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</si>
  <si>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</si>
  <si>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</si>
  <si>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</si>
  <si>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</si>
  <si>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</si>
  <si>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</si>
  <si>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</si>
  <si>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</si>
  <si>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</si>
  <si>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</si>
  <si>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</si>
  <si>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</si>
  <si>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</si>
  <si>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</si>
  <si>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</si>
  <si>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</si>
  <si>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</si>
  <si>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</si>
  <si>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</si>
  <si>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</si>
  <si>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</si>
  <si>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</si>
  <si>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</si>
  <si>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</si>
  <si>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</si>
  <si>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</si>
  <si>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</si>
  <si>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</si>
  <si>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</si>
  <si>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</si>
  <si>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</si>
  <si>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</si>
  <si>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</si>
  <si>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</si>
  <si>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</si>
  <si>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</si>
  <si>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</si>
  <si>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</si>
  <si>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</si>
  <si>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</si>
  <si>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</si>
  <si>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</si>
  <si>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</si>
  <si>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</si>
  <si>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</si>
  <si>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</si>
  <si>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</si>
  <si>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</si>
  <si>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</si>
  <si>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</si>
  <si>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</si>
  <si>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</si>
  <si>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</si>
  <si>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</si>
  <si>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</si>
  <si>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</si>
  <si>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</si>
  <si>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</si>
  <si>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</si>
  <si>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</si>
  <si>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</si>
  <si>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</si>
  <si>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</si>
  <si>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</si>
  <si>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</si>
  <si>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</si>
  <si>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</si>
  <si>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</si>
  <si>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</si>
  <si>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</si>
  <si>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</si>
  <si>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</si>
  <si>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</si>
  <si>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</si>
  <si>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</si>
  <si>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</si>
  <si>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</si>
  <si>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</si>
  <si>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</si>
  <si>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</si>
  <si>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</si>
  <si>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</si>
  <si>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</si>
  <si>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</si>
  <si>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</si>
  <si>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</si>
  <si>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</si>
  <si>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</si>
  <si>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</si>
  <si>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</si>
  <si>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</si>
  <si>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</si>
  <si>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</si>
  <si>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</si>
  <si>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</si>
  <si>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</si>
  <si>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</si>
  <si>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</si>
  <si>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</si>
  <si>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</si>
  <si>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</si>
  <si>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</si>
  <si>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</si>
  <si>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</si>
  <si>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</si>
  <si>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</si>
  <si>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</si>
  <si>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</si>
  <si>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</si>
  <si>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</si>
  <si>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</si>
  <si>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</si>
  <si>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</si>
  <si>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</si>
  <si>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</si>
  <si>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</si>
  <si>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</si>
  <si>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</si>
  <si>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</si>
  <si>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</si>
  <si>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</si>
  <si>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</si>
  <si>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</si>
  <si>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</si>
  <si>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</si>
  <si>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</si>
  <si>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</si>
  <si>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</si>
  <si>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</si>
  <si>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</si>
  <si>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</si>
  <si>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</si>
  <si>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</si>
  <si>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</si>
  <si>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</si>
  <si>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</si>
  <si>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</si>
  <si>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</si>
  <si>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</si>
  <si>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</si>
  <si>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</si>
  <si>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</si>
  <si>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</si>
  <si>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</si>
  <si>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</si>
  <si>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</si>
  <si>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</si>
  <si>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</si>
  <si>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</si>
  <si>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</si>
  <si>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</si>
  <si>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</si>
  <si>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</si>
  <si>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</si>
  <si>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</si>
  <si>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</si>
  <si>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</si>
  <si>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</si>
  <si>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</si>
  <si>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</si>
  <si>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</si>
  <si>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</si>
  <si>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</si>
  <si>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</si>
  <si>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</si>
  <si>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</si>
  <si>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</si>
  <si>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</si>
  <si>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</si>
  <si>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</si>
  <si>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</si>
  <si>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</si>
  <si>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</si>
  <si>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</si>
  <si>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</si>
  <si>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</si>
  <si>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</si>
  <si>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</si>
  <si>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</si>
  <si>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</si>
  <si>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</si>
  <si>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</si>
  <si>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</si>
  <si>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</si>
  <si>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</si>
  <si>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</si>
  <si>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</si>
  <si>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</si>
  <si>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</si>
  <si>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</si>
  <si>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</si>
  <si>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</si>
  <si>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</si>
  <si>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</si>
  <si>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</si>
  <si>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</si>
  <si>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</si>
  <si>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</si>
  <si>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</si>
  <si>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</si>
  <si>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</si>
  <si>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</si>
  <si>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</si>
  <si>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</si>
  <si>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</si>
  <si>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</si>
  <si>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</si>
  <si>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</si>
  <si>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</si>
  <si>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</si>
  <si>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</si>
  <si>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</si>
  <si>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</si>
  <si>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</si>
  <si>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</si>
  <si>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</si>
  <si>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</si>
  <si>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</si>
  <si>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</si>
  <si>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</si>
  <si>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</si>
  <si>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</si>
  <si>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</si>
  <si>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</si>
  <si>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</si>
  <si>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</si>
  <si>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</si>
  <si>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</si>
  <si>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</si>
  <si>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</si>
  <si>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</si>
  <si>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</si>
  <si>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</si>
  <si>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</si>
  <si>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</si>
  <si>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</si>
  <si>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</si>
  <si>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</si>
  <si>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</si>
  <si>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</si>
  <si>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</si>
  <si>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</si>
  <si>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</si>
  <si>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</si>
  <si>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</si>
  <si>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</si>
  <si>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</si>
  <si>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</si>
  <si>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</si>
  <si>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</si>
  <si>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</si>
  <si>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</si>
  <si>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</si>
  <si>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</si>
  <si>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</si>
  <si>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</si>
  <si>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</si>
  <si>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</si>
  <si>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</si>
  <si>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</si>
  <si>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</si>
  <si>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</si>
  <si>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</si>
  <si>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</si>
  <si>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</si>
  <si>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</si>
  <si>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</si>
  <si>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</si>
  <si>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</si>
  <si>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</si>
  <si>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</si>
  <si>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</si>
  <si>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</si>
  <si>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</si>
  <si>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</si>
  <si>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</si>
  <si>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</si>
  <si>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</si>
  <si>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</si>
  <si>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</si>
  <si>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</si>
  <si>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</si>
  <si>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</si>
  <si>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</si>
  <si>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</si>
  <si>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</si>
  <si>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</si>
  <si>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</si>
  <si>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</si>
  <si>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</si>
  <si>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</si>
  <si>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</si>
  <si>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</si>
  <si>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</si>
  <si>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</si>
  <si>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</si>
  <si>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</si>
  <si>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</si>
  <si>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</si>
  <si>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</si>
  <si>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</si>
  <si>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</si>
  <si>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</si>
  <si>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</si>
  <si>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</si>
  <si>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</si>
  <si>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</si>
  <si>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</si>
  <si>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</si>
  <si>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</si>
  <si>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</si>
  <si>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</si>
  <si>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</si>
  <si>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</si>
  <si>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</si>
  <si>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</si>
  <si>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</si>
  <si>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</si>
  <si>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</si>
  <si>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</si>
  <si>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</si>
  <si>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</si>
  <si>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</si>
  <si>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</si>
  <si>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</si>
  <si>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</si>
  <si>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</si>
  <si>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</si>
  <si>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</si>
  <si>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</si>
  <si>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</si>
  <si>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</si>
  <si>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</si>
  <si>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</si>
  <si>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</si>
  <si>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</si>
  <si>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</si>
  <si>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</si>
  <si>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</si>
  <si>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</si>
  <si>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</si>
  <si>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</si>
  <si>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</si>
  <si>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</si>
  <si>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</si>
  <si>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</si>
  <si>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</si>
  <si>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</si>
  <si>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</si>
  <si>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</si>
  <si>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</si>
  <si>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</si>
  <si>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</si>
  <si>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</si>
  <si>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</si>
  <si>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</si>
  <si>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</si>
  <si>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</si>
  <si>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</si>
  <si>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</si>
  <si>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</si>
  <si>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</si>
  <si>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</si>
  <si>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</si>
  <si>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</si>
  <si>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</si>
  <si>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</si>
  <si>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</si>
  <si>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</si>
  <si>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</si>
  <si>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</si>
  <si>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</si>
  <si>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</si>
  <si>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</si>
  <si>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</si>
  <si>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</si>
  <si>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</si>
  <si>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</si>
  <si>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</si>
  <si>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</si>
  <si>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</si>
  <si>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</si>
  <si>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</si>
  <si>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</si>
  <si>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</si>
  <si>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</si>
  <si>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</si>
  <si>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</si>
  <si>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</si>
  <si>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</si>
  <si>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</si>
  <si>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</si>
  <si>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</si>
  <si>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</si>
  <si>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</si>
  <si>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</si>
  <si>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</si>
  <si>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</si>
  <si>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</si>
  <si>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</si>
  <si>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</si>
  <si>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</si>
  <si>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</si>
  <si>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</si>
  <si>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</si>
  <si>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</si>
  <si>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</si>
  <si>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</si>
  <si>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</si>
  <si>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</si>
  <si>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</si>
  <si>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</si>
  <si>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</si>
  <si>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</si>
  <si>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</si>
  <si>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</si>
  <si>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</si>
  <si>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</si>
  <si>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</si>
  <si>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</si>
  <si>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</si>
  <si>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</si>
  <si>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</si>
  <si>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</si>
  <si>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</si>
  <si>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</si>
  <si>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</si>
  <si>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</si>
  <si>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</si>
  <si>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</si>
  <si>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</si>
  <si>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</si>
  <si>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</si>
  <si>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</si>
  <si>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</si>
  <si>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</si>
  <si>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</si>
  <si>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</si>
  <si>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</si>
  <si>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</si>
  <si>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</si>
  <si>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</si>
  <si>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</si>
  <si>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</si>
  <si>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</si>
  <si>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</si>
  <si>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</si>
  <si>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</si>
  <si>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</si>
  <si>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</si>
  <si>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</si>
  <si>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</si>
  <si>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</si>
  <si>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</si>
  <si>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</si>
  <si>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</si>
  <si>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</si>
  <si>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</si>
  <si>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</si>
  <si>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</si>
  <si>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</si>
  <si>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</si>
  <si>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</si>
  <si>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</si>
  <si>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</si>
  <si>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</si>
  <si>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</si>
  <si>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</si>
  <si>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</si>
  <si>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</si>
  <si>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</si>
  <si>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</si>
  <si>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</si>
  <si>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</si>
  <si>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</si>
  <si>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</si>
  <si>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</si>
  <si>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</si>
  <si>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</si>
  <si>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</si>
  <si>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</si>
  <si>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</si>
  <si>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</si>
  <si>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</si>
  <si>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</si>
  <si>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</si>
  <si>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</si>
  <si>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</si>
  <si>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</si>
  <si>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</si>
  <si>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</si>
  <si>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</si>
  <si>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</si>
  <si>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</si>
  <si>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</si>
  <si>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</si>
  <si>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</si>
  <si>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</si>
  <si>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</si>
  <si>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</si>
  <si>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</si>
  <si>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</si>
  <si>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</si>
  <si>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</si>
  <si>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</si>
  <si>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</si>
  <si>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</si>
  <si>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</si>
  <si>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</si>
  <si>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</si>
  <si>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</si>
  <si>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</si>
  <si>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</si>
  <si>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</si>
  <si>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</si>
  <si>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</si>
  <si>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</si>
  <si>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</si>
  <si>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</si>
  <si>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</si>
  <si>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</si>
  <si>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</si>
  <si>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</si>
  <si>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</si>
  <si>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</si>
  <si>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</si>
  <si>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</si>
  <si>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</si>
  <si>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</si>
  <si>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</si>
  <si>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</si>
  <si>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</si>
  <si>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</si>
  <si>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</si>
  <si>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</si>
  <si>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</si>
  <si>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</si>
  <si>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</si>
  <si>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</si>
  <si>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</si>
  <si>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</si>
  <si>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</si>
  <si>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</si>
  <si>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</si>
  <si>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</si>
  <si>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</si>
  <si>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</si>
  <si>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</si>
  <si>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</si>
  <si>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</si>
  <si>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</si>
  <si>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</si>
  <si>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</si>
  <si>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</si>
  <si>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</si>
  <si>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</si>
  <si>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</si>
  <si>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</si>
  <si>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</si>
  <si>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</si>
  <si>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</si>
  <si>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</si>
  <si>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</si>
  <si>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</si>
  <si>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</si>
  <si>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</si>
  <si>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</si>
  <si>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</si>
  <si>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</si>
  <si>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</si>
  <si>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</si>
  <si>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</si>
  <si>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</si>
  <si>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</si>
  <si>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</si>
  <si>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</si>
  <si>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</si>
  <si>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</si>
  <si>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</si>
  <si>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</si>
  <si>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</si>
  <si>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</si>
  <si>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</si>
  <si>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</si>
  <si>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</si>
  <si>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</si>
  <si>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</si>
  <si>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</si>
  <si>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</si>
  <si>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</si>
  <si>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</si>
  <si>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</si>
  <si>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</si>
  <si>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</si>
  <si>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</si>
  <si>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</si>
  <si>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</si>
  <si>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</si>
  <si>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</si>
  <si>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</si>
  <si>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</si>
  <si>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</si>
  <si>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</si>
  <si>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</si>
  <si>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</si>
  <si>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</si>
  <si>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</si>
  <si>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</si>
  <si>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</si>
  <si>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</si>
  <si>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</si>
  <si>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</si>
  <si>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</si>
  <si>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</si>
  <si>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</si>
  <si>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</si>
  <si>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</si>
  <si>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</si>
  <si>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</si>
  <si>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</si>
  <si>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</si>
  <si>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</si>
  <si>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</si>
  <si>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</si>
  <si>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</si>
  <si>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</si>
  <si>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</si>
  <si>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</si>
  <si>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</si>
  <si>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</si>
  <si>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</si>
  <si>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</si>
  <si>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</si>
  <si>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</si>
  <si>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</si>
  <si>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</si>
  <si>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</si>
  <si>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</si>
  <si>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</si>
  <si>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</si>
  <si>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</si>
  <si>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</si>
  <si>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</si>
  <si>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</si>
  <si>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</si>
  <si>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</si>
  <si>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</si>
  <si>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</si>
  <si>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</si>
  <si>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</si>
  <si>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</si>
  <si>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</si>
  <si>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</si>
  <si>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</si>
  <si>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</si>
  <si>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</si>
  <si>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</si>
  <si>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</si>
  <si>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</si>
  <si>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</si>
  <si>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</si>
  <si>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</si>
  <si>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</si>
  <si>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</si>
  <si>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</si>
  <si>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</si>
  <si>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</si>
  <si>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</si>
  <si>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</si>
  <si>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</si>
  <si>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</si>
  <si>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</si>
  <si>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</si>
  <si>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</si>
  <si>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</si>
  <si>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</si>
  <si>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</si>
  <si>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</si>
  <si>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</si>
  <si>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</si>
  <si>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</si>
  <si>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</si>
  <si>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</si>
  <si>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</si>
  <si>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</si>
  <si>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</si>
  <si>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</si>
  <si>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</si>
  <si>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</si>
  <si>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</si>
  <si>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</si>
  <si>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</si>
  <si>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</si>
  <si>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</si>
  <si>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</si>
  <si>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</si>
  <si>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</si>
  <si>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</si>
  <si>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</si>
  <si>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</si>
  <si>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</si>
  <si>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</si>
  <si>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</si>
  <si>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</si>
  <si>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</si>
  <si>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</si>
  <si>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</si>
  <si>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</si>
  <si>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</si>
  <si>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</si>
  <si>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</si>
  <si>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</si>
  <si>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</si>
  <si>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</si>
  <si>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</si>
  <si>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</si>
  <si>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</si>
  <si>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</si>
  <si>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</si>
  <si>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</si>
  <si>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</si>
  <si>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</si>
  <si>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</si>
  <si>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</si>
  <si>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</si>
  <si>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</si>
  <si>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</si>
  <si>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</si>
  <si>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</si>
  <si>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</si>
  <si>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</si>
  <si>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</si>
  <si>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</si>
  <si>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</si>
  <si>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</si>
  <si>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</si>
  <si>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</si>
  <si>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</si>
  <si>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</si>
  <si>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</si>
  <si>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</si>
  <si>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</si>
  <si>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</si>
  <si>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</si>
  <si>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</si>
  <si>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</si>
  <si>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</si>
  <si>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</si>
  <si>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</si>
  <si>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</si>
  <si>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</si>
  <si>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</si>
  <si>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</si>
  <si>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</si>
  <si>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</si>
  <si>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</si>
  <si>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</si>
  <si>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</si>
  <si>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</si>
  <si>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</si>
  <si>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</si>
  <si>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</si>
  <si>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</si>
  <si>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</si>
  <si>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</si>
  <si>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</si>
  <si>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</si>
  <si>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</si>
  <si>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</si>
  <si>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</si>
  <si>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</si>
  <si>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</si>
  <si>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</si>
  <si>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</si>
  <si>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</si>
  <si>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</si>
  <si>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</si>
  <si>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</si>
  <si>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</si>
  <si>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</si>
  <si>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</si>
  <si>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</si>
  <si>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</si>
  <si>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</si>
  <si>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</si>
  <si>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</si>
  <si>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</si>
  <si>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</si>
  <si>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</si>
  <si>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</si>
  <si>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</si>
  <si>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</si>
  <si>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</si>
  <si>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</si>
  <si>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</si>
  <si>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</si>
  <si>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</si>
  <si>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</si>
  <si>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</si>
  <si>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</si>
  <si>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</si>
  <si>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</si>
  <si>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</si>
  <si>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</si>
  <si>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</si>
  <si>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</si>
  <si>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</si>
  <si>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</si>
  <si>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</si>
  <si>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</si>
  <si>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</si>
  <si>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</si>
  <si>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</si>
  <si>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</si>
  <si>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</si>
  <si>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</si>
  <si>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</si>
  <si>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</si>
  <si>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</si>
  <si>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</si>
  <si>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</si>
  <si>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</si>
  <si>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</si>
  <si>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</si>
  <si>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</si>
  <si>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</si>
  <si>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</si>
  <si>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</si>
  <si>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</si>
  <si>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</si>
  <si>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</si>
  <si>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</si>
  <si>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</si>
  <si>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</si>
  <si>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</si>
  <si>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</si>
  <si>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</si>
  <si>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</si>
  <si>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</si>
  <si>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</si>
  <si>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</si>
  <si>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</si>
  <si>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</si>
  <si>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</si>
  <si>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</si>
  <si>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</si>
  <si>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</si>
  <si>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</si>
  <si>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</si>
  <si>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</si>
  <si>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</si>
  <si>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</si>
  <si>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</si>
  <si>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</si>
  <si>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</si>
  <si>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</si>
  <si>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</si>
  <si>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</si>
  <si>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</si>
  <si>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</si>
  <si>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</si>
  <si>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</si>
  <si>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</si>
  <si>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</si>
  <si>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</si>
  <si>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</si>
  <si>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</si>
  <si>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</si>
  <si>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</si>
  <si>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</si>
  <si>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</si>
  <si>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</si>
  <si>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</si>
  <si>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</si>
  <si>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</si>
  <si>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</si>
  <si>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</si>
  <si>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</si>
  <si>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</si>
  <si>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</si>
  <si>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</si>
  <si>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</si>
  <si>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</si>
  <si>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</si>
  <si>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</si>
  <si>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</si>
  <si>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</si>
  <si>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</si>
  <si>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</si>
  <si>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</si>
  <si>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</si>
  <si>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</si>
  <si>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</si>
  <si>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</si>
  <si>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</si>
  <si>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</si>
  <si>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</si>
  <si>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</si>
  <si>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</si>
  <si>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</si>
  <si>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</si>
  <si>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</si>
  <si>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</si>
  <si>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</si>
  <si>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</si>
  <si>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</si>
  <si>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</si>
  <si>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</si>
  <si>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</si>
  <si>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</si>
  <si>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</si>
  <si>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</si>
  <si>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</si>
  <si>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</si>
  <si>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</si>
  <si>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</si>
  <si>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</si>
  <si>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</si>
  <si>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</si>
  <si>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</si>
  <si>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</si>
  <si>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</si>
  <si>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</si>
  <si>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</si>
  <si>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</si>
  <si>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</si>
  <si>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</si>
  <si>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</si>
  <si>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</si>
  <si>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</si>
  <si>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</si>
  <si>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</si>
  <si>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</si>
  <si>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</si>
  <si>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</si>
  <si>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</si>
  <si>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</si>
  <si>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</si>
  <si>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</si>
  <si>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</si>
  <si>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</si>
  <si>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</si>
  <si>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</si>
  <si>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</si>
  <si>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</si>
  <si>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</si>
  <si>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</si>
  <si>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</si>
  <si>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</si>
  <si>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</si>
  <si>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</si>
  <si>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</si>
  <si>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</si>
  <si>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</si>
  <si>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</si>
  <si>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</si>
  <si>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</si>
  <si>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</si>
  <si>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</si>
  <si>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</si>
  <si>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</si>
  <si>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</si>
  <si>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</si>
  <si>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</si>
  <si>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</si>
  <si>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</si>
  <si>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</si>
  <si>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</si>
  <si>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</si>
  <si>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</si>
  <si>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</si>
  <si>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</si>
  <si>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</si>
  <si>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</si>
  <si>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</si>
  <si>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</si>
  <si>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</si>
  <si>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昌平区双营西路78号院2号楼17层1714办公用房</t>
    <phoneticPr fontId="6" type="noConversion"/>
  </si>
  <si>
    <t>估价对象</t>
    <phoneticPr fontId="134" type="noConversion"/>
  </si>
  <si>
    <t>5月正式报告</t>
    <phoneticPr fontId="134" type="noConversion"/>
  </si>
  <si>
    <t>单价</t>
    <phoneticPr fontId="134" type="noConversion"/>
  </si>
  <si>
    <t>总价</t>
    <phoneticPr fontId="134" type="noConversion"/>
  </si>
  <si>
    <t>建筑面积</t>
    <phoneticPr fontId="134" type="noConversion"/>
  </si>
  <si>
    <t>中行复估</t>
    <phoneticPr fontId="134" type="noConversion"/>
  </si>
  <si>
    <t>复估价值*1.1</t>
    <phoneticPr fontId="134" type="noConversion"/>
  </si>
  <si>
    <t>中行今天要出的报告</t>
    <phoneticPr fontId="134" type="noConversion"/>
  </si>
  <si>
    <t>与5月份对比</t>
    <phoneticPr fontId="134" type="noConversion"/>
  </si>
  <si>
    <t>仁达8月正评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</si>
</sst>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5" fillId="0" borderId="1" xfId="0" applyFont="1" applyBorder="1" applyAlignment="1">
      <alignment horizontal="center" vertical="center"/>
    </xf>
    <xf numFmtId="0" fontId="95" fillId="22" borderId="1" xfId="0" applyFont="1" applyFill="1" applyBorder="1" applyAlignment="1">
      <alignment horizontal="center" vertical="center"/>
    </xf>
    <xf numFmtId="0" fontId="0" fillId="22" borderId="1" xfId="0" applyFill="1" applyBorder="1" applyAlignment="1">
      <alignment horizontal="center" vertical="center"/>
    </xf>
    <xf numFmtId="0" fontId="273" fillId="0" borderId="1" xfId="0" applyFont="1" applyBorder="1" applyAlignment="1">
      <alignment horizontal="center" vertical="center"/>
    </xf>
    <xf numFmtId="0" fontId="95" fillId="0" borderId="0" xfId="0" applyFont="1" applyBorder="1" applyAlignment="1">
      <alignment horizontal="center" vertical="center"/>
    </xf>
    <xf numFmtId="2" fontId="0" fillId="0" borderId="0" xfId="0" applyNumberForma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22" borderId="1" xfId="0" applyFont="1" applyFill="1" applyBorder="1" applyAlignment="1">
      <alignment horizontal="center" vertical="center"/>
    </xf>
    <xf numFmtId="0" fontId="95" fillId="0" borderId="1" xfId="0" applyFont="1" applyBorder="1" applyAlignment="1">
      <alignment horizontal="center" vertical="center"/>
    </xf>
    <xf numFmtId="0" fontId="273" fillId="0" borderId="1" xfId="0" applyFont="1" applyBorder="1" applyAlignment="1">
      <alignment horizontal="center" vertical="center"/>
    </xf>
    <xf numFmtId="0" fontId="95" fillId="0" borderId="0" xfId="0" applyFont="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北京市昌平区双营西路78号院2号楼17层1714办公用房房地产抵押价值预评估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受贵公司委托，我公司对北京市昌平区双营西路78号院2号楼17层1714办公用房房地产抵押价值进行了预评估。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2025年6月9日（评估专业人员实地查勘之日）</v>
      </c>
    </row>
    <row r="13" spans="1:2" s="1203" customFormat="1">
      <c r="A13" s="1201" t="s">
        <v>529</v>
      </c>
      <c r="B13" s="1202"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北京市昌平区双营西路78号院2号楼17层1714办公用房房地产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8" t="s">
        <v>2580</v>
      </c>
      <c r="J2" s="3518"/>
      <c r="K2" s="3518"/>
      <c r="L2" s="3518"/>
      <c r="M2" s="3518"/>
      <c r="N2" s="3518"/>
      <c r="O2" s="3518"/>
      <c r="P2" s="3518"/>
      <c r="Q2" s="3518"/>
      <c r="R2" s="3518"/>
    </row>
    <row r="3" spans="1:18">
      <c r="A3" s="3019" t="s">
        <v>2501</v>
      </c>
      <c r="B3" s="3020">
        <f>项目基本情况!D3</f>
        <v>45817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31.55</v>
      </c>
      <c r="D7" s="3024">
        <f>IF(ISERROR(ROUND(POWER(1+E7,A7-C7)*(POWER(1+E7,C7)-1)/(POWER(1+E7,A7)-1),3)),0,ROUND(POWER(1+E7,A7-C7)*(POWER(1+E7,C7)-1)/(POWER(1+E7,A7)-1),4))</f>
        <v>0.75860000000000005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7" t="str">
        <f>IF(B10="北京市","北京市",C10)&amp;F10&amp;IF(结果表!G1="在建","出让国有建设用地使用权及在建建筑物",IF(结果表!G1="土地","出让国有建设用地使用权",))&amp;B9&amp;"预评估"</f>
        <v>北京市昌平区双营西路78号院2号楼17层1714办公用房房地产抵押价值预评估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北京市昌平区双营西路78号院2号楼17层1714办公用房房地产抵押价值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北京市昌平区双营西路78号院2号楼17层1714办公用房房地产</v>
      </c>
      <c r="T2" s="1745"/>
      <c r="U2" s="1745"/>
      <c r="V2" s="1745"/>
      <c r="W2" s="1745"/>
      <c r="X2" s="1745"/>
      <c r="Y2" s="1745"/>
      <c r="Z2" s="1745"/>
      <c r="AA2" s="1745"/>
      <c r="AB2" s="1745"/>
    </row>
    <row r="3" spans="1:30">
      <c r="A3" s="302" t="s">
        <v>2170</v>
      </c>
      <c r="B3" s="2373">
        <v>45817</v>
      </c>
      <c r="C3" s="2374" t="s">
        <v>2171</v>
      </c>
      <c r="D3" s="2373">
        <f>B3</f>
        <v>45817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0"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1"/>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7"/>
      <c r="C16" s="3538"/>
      <c r="D16" s="3539"/>
      <c r="E16" s="2413" t="s">
        <v>2194</v>
      </c>
      <c r="F16" s="3540"/>
      <c r="G16" s="3541"/>
      <c r="H16" s="3541"/>
      <c r="I16" s="3542"/>
      <c r="J16" s="2439"/>
      <c r="K16" s="2617"/>
      <c r="L16" s="2451"/>
      <c r="M16" s="2451"/>
      <c r="N16" s="2509"/>
      <c r="O16" s="2451"/>
      <c r="P16" s="2509"/>
      <c r="Q16" s="2439"/>
      <c r="R16" s="2439"/>
    </row>
    <row r="17" spans="1:28">
      <c r="A17" s="313" t="s">
        <v>2195</v>
      </c>
      <c r="B17" s="302" t="s">
        <v>2196</v>
      </c>
      <c r="C17" s="8">
        <f>'数据-汇总表'!E3</f>
        <v>0</v>
      </c>
      <c r="D17" s="2322" t="s">
        <v>2197</v>
      </c>
      <c r="E17" s="3543" t="s">
        <v>2198</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6" t="s">
        <v>2202</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3" t="s">
        <v>2206</v>
      </c>
      <c r="C20" s="3534"/>
      <c r="D20" s="3535" t="s">
        <v>2207</v>
      </c>
      <c r="E20" s="3536"/>
      <c r="F20" s="2647" t="s">
        <v>1056</v>
      </c>
      <c r="G20" s="2664"/>
      <c r="H20" s="2664"/>
      <c r="I20" s="2664"/>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2286</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
  <sheetViews>
    <sheetView workbookViewId="0">
      <selection activeCell="J19" sqref="J19"/>
    </sheetView>
  </sheetViews>
  <sheetFormatPr defaultRowHeight="13.5"/>
  <cols>
    <col min="1" max="9" width="9" style="3469"/>
    <col min="10" max="10" width="13" style="3469" customWidth="1"/>
    <col min="11" max="16384" width="9" style="3469"/>
  </cols>
  <sheetData>
    <row r="2" spans="2:12">
      <c r="B2" s="3470"/>
      <c r="C2" s="3470"/>
      <c r="D2" s="3566" t="s">
        <v>3419</v>
      </c>
      <c r="E2" s="3566"/>
      <c r="F2" s="3567" t="s">
        <v>3427</v>
      </c>
      <c r="G2" s="3567"/>
      <c r="H2" s="3568" t="s">
        <v>3423</v>
      </c>
      <c r="I2" s="3568"/>
      <c r="K2" s="3569" t="s">
        <v>3424</v>
      </c>
      <c r="L2" s="3569"/>
    </row>
    <row r="3" spans="2:12">
      <c r="B3" s="3471" t="s">
        <v>3418</v>
      </c>
      <c r="C3" s="3471" t="s">
        <v>3422</v>
      </c>
      <c r="D3" s="3472" t="s">
        <v>3420</v>
      </c>
      <c r="E3" s="3472" t="s">
        <v>3421</v>
      </c>
      <c r="F3" s="3471" t="s">
        <v>3420</v>
      </c>
      <c r="G3" s="3471" t="s">
        <v>3421</v>
      </c>
      <c r="H3" s="3474" t="s">
        <v>3420</v>
      </c>
      <c r="I3" s="3474" t="s">
        <v>3421</v>
      </c>
      <c r="J3" s="3468" t="s">
        <v>3426</v>
      </c>
      <c r="K3" s="3475" t="s">
        <v>3420</v>
      </c>
      <c r="L3" s="3475" t="s">
        <v>3421</v>
      </c>
    </row>
    <row r="4" spans="2:12">
      <c r="B4" s="3470">
        <v>101</v>
      </c>
      <c r="C4" s="3470">
        <v>491.32</v>
      </c>
      <c r="D4" s="3473">
        <v>11252</v>
      </c>
      <c r="E4" s="3473">
        <v>553</v>
      </c>
      <c r="F4" s="3470">
        <v>14250</v>
      </c>
      <c r="G4" s="3470">
        <v>700</v>
      </c>
      <c r="H4" s="3474">
        <v>12980</v>
      </c>
      <c r="I4" s="3474">
        <f>ROUND(H4*C4/10000,0)</f>
        <v>638</v>
      </c>
      <c r="J4" s="3476">
        <f>H4/D4</f>
        <v>1.1535726981869889</v>
      </c>
      <c r="K4" s="3469">
        <f>ROUND(H4*1.1,0)</f>
        <v>14278</v>
      </c>
      <c r="L4" s="3469">
        <f>ROUND(I4*1.1,0)</f>
        <v>702</v>
      </c>
    </row>
    <row r="5" spans="2:12">
      <c r="B5" s="3470">
        <v>201</v>
      </c>
      <c r="C5" s="3470">
        <v>309.42</v>
      </c>
      <c r="D5" s="3473">
        <v>8527</v>
      </c>
      <c r="E5" s="3472">
        <v>264</v>
      </c>
      <c r="F5" s="3470">
        <v>9558</v>
      </c>
      <c r="G5" s="3470">
        <v>296</v>
      </c>
      <c r="H5" s="3474">
        <v>8750</v>
      </c>
      <c r="I5" s="3474">
        <f t="shared" ref="I5:I7" si="0">ROUND(H5*C5/10000,0)</f>
        <v>271</v>
      </c>
      <c r="J5" s="3476">
        <f t="shared" ref="J5:J7" si="1">H5/D5</f>
        <v>1.0261522223525272</v>
      </c>
      <c r="K5" s="3469">
        <f t="shared" ref="K5:K7" si="2">ROUND(H5*1.1,0)</f>
        <v>9625</v>
      </c>
      <c r="L5" s="3469">
        <f t="shared" ref="L5:L7" si="3">ROUND(I5*1.1,0)</f>
        <v>298</v>
      </c>
    </row>
    <row r="6" spans="2:12">
      <c r="B6" s="3470">
        <v>202</v>
      </c>
      <c r="C6" s="3470">
        <v>320.33</v>
      </c>
      <c r="D6" s="3473">
        <v>8527</v>
      </c>
      <c r="E6" s="3473">
        <v>273</v>
      </c>
      <c r="F6" s="3470">
        <v>9558</v>
      </c>
      <c r="G6" s="3470">
        <v>306</v>
      </c>
      <c r="H6" s="3474">
        <f>H5</f>
        <v>8750</v>
      </c>
      <c r="I6" s="3474">
        <f t="shared" si="0"/>
        <v>280</v>
      </c>
      <c r="J6" s="3476">
        <f t="shared" si="1"/>
        <v>1.0261522223525272</v>
      </c>
      <c r="K6" s="3469">
        <f t="shared" si="2"/>
        <v>9625</v>
      </c>
      <c r="L6" s="3469">
        <f t="shared" si="3"/>
        <v>308</v>
      </c>
    </row>
    <row r="7" spans="2:12">
      <c r="B7" s="3470">
        <v>203</v>
      </c>
      <c r="C7" s="3470">
        <v>312.41000000000003</v>
      </c>
      <c r="D7" s="3473">
        <v>8527</v>
      </c>
      <c r="E7" s="3472">
        <v>266</v>
      </c>
      <c r="F7" s="3470">
        <v>9558</v>
      </c>
      <c r="G7" s="3470">
        <v>299</v>
      </c>
      <c r="H7" s="3474">
        <f>H5</f>
        <v>8750</v>
      </c>
      <c r="I7" s="3474">
        <f t="shared" si="0"/>
        <v>273</v>
      </c>
      <c r="J7" s="3476">
        <f t="shared" si="1"/>
        <v>1.0261522223525272</v>
      </c>
      <c r="K7" s="3469">
        <f t="shared" si="2"/>
        <v>9625</v>
      </c>
      <c r="L7" s="3469">
        <f t="shared" si="3"/>
        <v>300</v>
      </c>
    </row>
    <row r="9" spans="2:12">
      <c r="B9" s="3468" t="s">
        <v>3425</v>
      </c>
      <c r="E9" s="3468"/>
    </row>
    <row r="10" spans="2:12">
      <c r="B10" s="3469">
        <v>301</v>
      </c>
      <c r="C10" s="3469">
        <v>309.42</v>
      </c>
      <c r="D10" s="3469">
        <v>8465</v>
      </c>
      <c r="E10" s="3469">
        <f>D10*C10/10000</f>
        <v>261.92403000000002</v>
      </c>
    </row>
    <row r="11" spans="2:12">
      <c r="E11" s="3468"/>
    </row>
  </sheetData>
  <mergeCells count="4">
    <mergeCell ref="D2:E2"/>
    <mergeCell ref="F2:G2"/>
    <mergeCell ref="H2:I2"/>
    <mergeCell ref="K2:L2"/>
  </mergeCells>
  <phoneticPr fontId="134"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312.41000000000003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273</v>
      </c>
      <c r="C5" s="2512">
        <f ca="1">IF(B5=D14,结果表!H102,ROUND(B5*10000/$B$1,0))</f>
        <v>0</v>
      </c>
      <c r="D5" s="2512" t="e">
        <f>ROUND(B5*10000/$B$2,0)</f>
        <v>#DIV/0!</v>
      </c>
      <c r="E5" s="2685"/>
      <c r="F5" s="2686"/>
      <c r="G5" s="2686"/>
      <c r="H5" s="2687"/>
      <c r="I5" s="2687"/>
      <c r="J5" s="2687"/>
      <c r="K5" s="2687"/>
    </row>
    <row r="6" spans="1:11" ht="16.5">
      <c r="A6" s="2512" t="s">
        <v>656</v>
      </c>
      <c r="B6" s="2512">
        <f>SUM(G14:G23)</f>
        <v>273</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300</v>
      </c>
      <c r="E11" s="2685"/>
      <c r="F11" s="2686"/>
      <c r="G11" s="2686"/>
      <c r="H11" s="2687"/>
      <c r="I11" s="2687"/>
      <c r="J11" s="2687"/>
      <c r="K11" s="2687"/>
    </row>
    <row r="12" spans="1:11" ht="16.5">
      <c r="A12" s="2685"/>
      <c r="B12" s="2685"/>
      <c r="C12" s="3467" t="s">
        <v>3415</v>
      </c>
      <c r="D12" s="3467">
        <f>Sheet1!G7</f>
        <v>299</v>
      </c>
      <c r="E12" s="3467">
        <f>Sheet1!F6</f>
        <v>9558</v>
      </c>
      <c r="F12" s="2686">
        <f>ROUND(E14*1.1,0)</f>
        <v>9625</v>
      </c>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312.41000000000003</v>
      </c>
      <c r="C14" s="2518"/>
      <c r="D14" s="2518">
        <f>ROUND(E14*B14/10000,0)</f>
        <v>273</v>
      </c>
      <c r="E14" s="2518">
        <v>8750</v>
      </c>
      <c r="F14" s="2518" t="e">
        <f>ROUND(D14*10000/C14,0)</f>
        <v>#DIV/0!</v>
      </c>
      <c r="G14" s="2518">
        <f>D14</f>
        <v>273</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北京市昌平区双营西路78号院2号楼17层1714办公用房房地产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c r="D4" s="1756"/>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571">
        <v>25</v>
      </c>
      <c r="C5" s="3587"/>
      <c r="D5" s="3607"/>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c r="D14" s="3607"/>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4" t="s">
        <v>2131</v>
      </c>
      <c r="F18" s="3595"/>
      <c r="G18" s="3595"/>
      <c r="H18" s="3595"/>
      <c r="I18" s="3595"/>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45817</v>
      </c>
      <c r="N47" s="3655"/>
      <c r="O47" s="3655"/>
    </row>
    <row r="48" spans="1:15" ht="25.5">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房地产抵押价值</v>
      </c>
      <c r="L49" s="3634"/>
      <c r="M49" s="3656" t="str">
        <f ca="1">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45"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0</v>
      </c>
      <c r="G52" s="2555"/>
      <c r="H52" s="2544"/>
      <c r="I52" s="1807"/>
      <c r="J52" s="2523">
        <v>1</v>
      </c>
      <c r="K52" s="3635" t="s">
        <v>1355</v>
      </c>
      <c r="L52" s="3635"/>
      <c r="M52" s="2525" t="b">
        <f>D48</f>
        <v>0</v>
      </c>
      <c r="N52" s="2523" t="str">
        <f>E48</f>
        <v>销售额×税（费）率</v>
      </c>
      <c r="O52" s="2526">
        <f>F48</f>
        <v>0</v>
      </c>
    </row>
    <row r="53" spans="1:35" ht="12" customHeight="1">
      <c r="A53" s="2335" t="s">
        <v>1356</v>
      </c>
      <c r="B53" s="3596" t="s">
        <v>2291</v>
      </c>
      <c r="C53" s="3597"/>
      <c r="D53" s="1087" t="e">
        <f ca="1">ROUND(D45*'数据-取费表'!B41/(1+'数据-取费表'!C42),0)</f>
        <v>#REF!</v>
      </c>
      <c r="E53" s="2334" t="s">
        <v>1354</v>
      </c>
      <c r="F53" s="2554">
        <f>'数据-取费表'!B41</f>
        <v>0</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0</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0</v>
      </c>
      <c r="J55" s="2523">
        <f>IF(H59="非个人房产","",4)</f>
        <v>4</v>
      </c>
      <c r="K55" s="3635" t="str">
        <f>IF(H59="非个人房产","——","个人所得税")</f>
        <v>个人所得税</v>
      </c>
      <c r="L55" s="3635"/>
      <c r="M55" s="2528" t="e">
        <f ca="1">D59</f>
        <v>#REF!</v>
      </c>
      <c r="N55" s="2040" t="str">
        <f>E59</f>
        <v>差额计税</v>
      </c>
      <c r="O55" s="2529">
        <f>F59</f>
        <v>0.01</v>
      </c>
    </row>
    <row r="56" spans="1:35" ht="24.75">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89" t="e">
        <f ca="1">N57/M49</f>
        <v>#VALUE!</v>
      </c>
    </row>
    <row r="58" spans="1:35" ht="24.75">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75"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5"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82"/>
      <c r="E100" s="3561" t="s">
        <v>1429</v>
      </c>
      <c r="F100" s="3561"/>
      <c r="G100" s="3561"/>
      <c r="H100" s="3582"/>
      <c r="I100" s="129"/>
    </row>
    <row r="101" spans="1:35" ht="18.75" customHeight="1">
      <c r="A101" s="3643" t="s">
        <v>1430</v>
      </c>
      <c r="B101" s="3644"/>
      <c r="C101" s="2585">
        <f>C4</f>
        <v>0</v>
      </c>
      <c r="D101" s="2586">
        <f>D4</f>
        <v>0</v>
      </c>
      <c r="E101" s="3657" t="s">
        <v>1431</v>
      </c>
      <c r="F101" s="3614"/>
      <c r="G101" s="1827" t="s">
        <v>1432</v>
      </c>
      <c r="H101" s="2595" t="e">
        <f ca="1">H118</f>
        <v>#REF!</v>
      </c>
      <c r="I101" s="129"/>
    </row>
    <row r="102" spans="1:35" ht="18.75" customHeight="1">
      <c r="A102" s="3616" t="s">
        <v>1433</v>
      </c>
      <c r="B102" s="2584" t="s">
        <v>1432</v>
      </c>
      <c r="C102" s="2585" t="e">
        <f ca="1">IF(D32="楼面单价",ROUND(C19,0),C19)</f>
        <v>#REF!</v>
      </c>
      <c r="D102" s="2586" t="e">
        <f ca="1">IF(D32="楼面单价",ROUND(D19,0),D19)</f>
        <v>#REF!</v>
      </c>
      <c r="E102" s="3657"/>
      <c r="F102" s="3614"/>
      <c r="G102" s="1827" t="s">
        <v>1434</v>
      </c>
      <c r="H102" s="2555" t="e">
        <f ca="1">I118</f>
        <v>#REF!</v>
      </c>
      <c r="I102" s="129"/>
    </row>
    <row r="103" spans="1:35" ht="42.75" customHeight="1">
      <c r="A103" s="3616"/>
      <c r="B103" s="2584" t="s">
        <v>1434</v>
      </c>
      <c r="C103" s="2587" t="e">
        <f ca="1">C20</f>
        <v>#REF!</v>
      </c>
      <c r="D103" s="2588" t="e">
        <f ca="1">D20</f>
        <v>#REF!</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北京市昌平区双营西路78号院2号楼17层1714办公用房房地产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北京市昌平区双营西路78号院2号楼17层1714办公用房房地产抵押价值预评估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4" t="s">
        <v>1544</v>
      </c>
    </row>
    <row r="43" spans="1:7" ht="13.5" customHeight="1">
      <c r="A43" s="780" t="s">
        <v>347</v>
      </c>
      <c r="B43" s="215" t="s">
        <v>1545</v>
      </c>
      <c r="C43" s="238" t="e">
        <f ca="1">ROUND(IF('数据-取费表'!B22&lt;=1,C39*F22*'数据-取费表'!B21/2,C39*(POWER((1+F22),'数据-取费表'!B21/2)-1)),0)</f>
        <v>#VALUE!</v>
      </c>
      <c r="D43" s="238"/>
      <c r="E43" s="238"/>
      <c r="F43" s="239"/>
      <c r="G43" s="3665"/>
    </row>
    <row r="44" spans="1:7" ht="13.5" customHeight="1">
      <c r="A44" s="780" t="s">
        <v>348</v>
      </c>
      <c r="B44" s="215" t="s">
        <v>1546</v>
      </c>
      <c r="C44" s="238" t="e">
        <f ca="1">ROUND(IF('数据-取费表'!B22&lt;=1,C40*F22*'数据-取费表'!B21/2,C40*(POWER((1+F22),'数据-取费表'!B21/2)-1)),4)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4" t="s">
        <v>1591</v>
      </c>
    </row>
    <row r="43" spans="1:7" ht="13.5" customHeight="1">
      <c r="A43" s="780" t="s">
        <v>347</v>
      </c>
      <c r="B43" s="215" t="s">
        <v>1545</v>
      </c>
      <c r="C43" s="238" t="e">
        <f ca="1">ROUND(IF('数据-取费表'!B22&lt;=1,C39*F22*'数据-取费表'!B20/2,C39*(POWER((1+F22),'数据-取费表'!B20/2)-1)),0)</f>
        <v>#VALUE!</v>
      </c>
      <c r="D43" s="238"/>
      <c r="E43" s="238"/>
      <c r="F43" s="239"/>
      <c r="G43" s="3665"/>
    </row>
    <row r="44" spans="1:7" ht="13.5" customHeight="1">
      <c r="A44" s="780" t="s">
        <v>348</v>
      </c>
      <c r="B44" s="215" t="s">
        <v>1546</v>
      </c>
      <c r="C44" s="238" t="e">
        <f ca="1">ROUND(IF('数据-取费表'!B22&lt;=1,C40*F22*'数据-取费表'!B20/2,C40*(POWER((1+F22),'数据-取费表'!B20/2)-1)),4)</f>
        <v>#VALUE!</v>
      </c>
      <c r="D44" s="238"/>
      <c r="E44" s="238"/>
      <c r="F44" s="239"/>
      <c r="G44" s="366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78" t="s">
        <v>2317</v>
      </c>
      <c r="K2" s="367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0" t="s">
        <v>2327</v>
      </c>
      <c r="K3" s="368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0" t="s">
        <v>2329</v>
      </c>
      <c r="K4" s="368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6" t="s">
        <v>2333</v>
      </c>
      <c r="B6" s="3687"/>
      <c r="C6" s="3688"/>
      <c r="D6" s="2869"/>
      <c r="E6" s="2870"/>
      <c r="F6" s="2871"/>
      <c r="G6" s="2872"/>
      <c r="H6" s="2847"/>
      <c r="I6" s="2848"/>
      <c r="J6" s="3672">
        <v>1</v>
      </c>
      <c r="K6" s="367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2"/>
      <c r="K7" s="367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9" t="s">
        <v>2347</v>
      </c>
      <c r="C8" s="3690"/>
      <c r="D8" s="2888" t="s">
        <v>2348</v>
      </c>
      <c r="E8" s="2889" t="s">
        <v>2349</v>
      </c>
      <c r="F8" s="2890" t="s">
        <v>2350</v>
      </c>
      <c r="G8" s="2891"/>
      <c r="H8" s="2847"/>
      <c r="I8" s="2848"/>
      <c r="J8" s="3672"/>
      <c r="K8" s="367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9" t="s">
        <v>2353</v>
      </c>
      <c r="C9" s="3690"/>
      <c r="D9" s="2888">
        <f>ROUND(D6*E9,0)</f>
        <v>0</v>
      </c>
      <c r="E9" s="2892"/>
      <c r="F9" s="2893" t="s">
        <v>2354</v>
      </c>
      <c r="G9" s="2872"/>
      <c r="H9" s="2847"/>
      <c r="I9" s="2848"/>
      <c r="J9" s="3672"/>
      <c r="K9" s="3674"/>
      <c r="L9" s="2882" t="s">
        <v>2355</v>
      </c>
      <c r="M9" s="2883"/>
      <c r="N9" s="2859"/>
      <c r="O9" s="2884"/>
      <c r="P9" s="2884"/>
      <c r="Q9" s="2885">
        <v>365</v>
      </c>
      <c r="R9" s="2886">
        <f t="shared" si="0"/>
        <v>0</v>
      </c>
      <c r="S9" s="2840"/>
      <c r="T9" s="2840"/>
      <c r="U9" s="2840"/>
      <c r="V9" s="2848"/>
    </row>
    <row r="10" spans="1:22" s="2852" customFormat="1" ht="13.15" customHeight="1">
      <c r="A10" s="2887">
        <v>2</v>
      </c>
      <c r="B10" s="3689" t="s">
        <v>2356</v>
      </c>
      <c r="C10" s="3690"/>
      <c r="D10" s="2888">
        <f>ROUND(D6*E10,0)</f>
        <v>0</v>
      </c>
      <c r="E10" s="2892"/>
      <c r="F10" s="2893" t="s">
        <v>2357</v>
      </c>
      <c r="G10" s="2872"/>
      <c r="H10" s="2847"/>
      <c r="I10" s="2848"/>
      <c r="J10" s="3672"/>
      <c r="K10" s="3674"/>
      <c r="L10" s="2882" t="s">
        <v>2358</v>
      </c>
      <c r="M10" s="2883"/>
      <c r="N10" s="2859"/>
      <c r="O10" s="2884"/>
      <c r="P10" s="2884"/>
      <c r="Q10" s="2885">
        <v>365</v>
      </c>
      <c r="R10" s="2886">
        <f t="shared" si="0"/>
        <v>0</v>
      </c>
      <c r="S10" s="2840"/>
      <c r="T10" s="2840"/>
      <c r="U10" s="2840"/>
      <c r="V10" s="2848"/>
    </row>
    <row r="11" spans="1:22" s="2852" customFormat="1" ht="13.15" customHeight="1">
      <c r="A11" s="2887">
        <v>3</v>
      </c>
      <c r="B11" s="3689" t="s">
        <v>2359</v>
      </c>
      <c r="C11" s="3690"/>
      <c r="D11" s="2888">
        <f>D12+D14+D15+D16</f>
        <v>0</v>
      </c>
      <c r="E11" s="2894" t="e">
        <f>D11/D6</f>
        <v>#DIV/0!</v>
      </c>
      <c r="F11" s="2890"/>
      <c r="G11" s="2891"/>
      <c r="H11" s="2847"/>
      <c r="I11" s="2848"/>
      <c r="J11" s="3672"/>
      <c r="K11" s="367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2" t="s">
        <v>2362</v>
      </c>
      <c r="C12" s="3683"/>
      <c r="D12" s="2896">
        <f>ROUND(D13*1.2%*(1-30%),0)</f>
        <v>0</v>
      </c>
      <c r="E12" s="2897">
        <v>1.2E-2</v>
      </c>
      <c r="F12" s="2890" t="s">
        <v>2363</v>
      </c>
      <c r="G12" s="2891"/>
      <c r="H12" s="2847"/>
      <c r="I12" s="2848"/>
      <c r="J12" s="3672"/>
      <c r="K12" s="367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2"/>
      <c r="K13" s="367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2" t="s">
        <v>2368</v>
      </c>
      <c r="C14" s="3683"/>
      <c r="D14" s="2896">
        <f>ROUND(E14*B5/10000,0)</f>
        <v>0</v>
      </c>
      <c r="E14" s="2885"/>
      <c r="F14" s="2890" t="s">
        <v>2369</v>
      </c>
      <c r="G14" s="2891"/>
      <c r="H14" s="2847"/>
      <c r="I14" s="2848"/>
      <c r="J14" s="3672"/>
      <c r="K14" s="367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2" t="s">
        <v>2372</v>
      </c>
      <c r="C15" s="3683"/>
      <c r="D15" s="2896">
        <f>ROUND(D6*E15,0)</f>
        <v>0</v>
      </c>
      <c r="E15" s="2897">
        <v>5.5E-2</v>
      </c>
      <c r="F15" s="2890" t="s">
        <v>2373</v>
      </c>
      <c r="G15" s="2872"/>
      <c r="H15" s="2847"/>
      <c r="I15" s="2848"/>
      <c r="J15" s="3672">
        <v>2</v>
      </c>
      <c r="K15" s="367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2" t="s">
        <v>2381</v>
      </c>
      <c r="C16" s="3683"/>
      <c r="D16" s="2907">
        <f>D6*E16</f>
        <v>0</v>
      </c>
      <c r="E16" s="2908"/>
      <c r="F16" s="2893" t="s">
        <v>2382</v>
      </c>
      <c r="G16" s="2872"/>
      <c r="H16" s="2847"/>
      <c r="I16" s="2848"/>
      <c r="J16" s="3672"/>
      <c r="K16" s="367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4" t="s">
        <v>2384</v>
      </c>
      <c r="C17" s="3685"/>
      <c r="D17" s="2910">
        <f>ROUND(D6*E17,0)</f>
        <v>0</v>
      </c>
      <c r="E17" s="2911"/>
      <c r="F17" s="2912" t="s">
        <v>2385</v>
      </c>
      <c r="G17" s="2872"/>
      <c r="H17" s="2847"/>
      <c r="I17" s="2848"/>
      <c r="J17" s="3672"/>
      <c r="K17" s="367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2"/>
      <c r="K18" s="367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2"/>
      <c r="K19" s="367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2">
        <v>3</v>
      </c>
      <c r="K20" s="367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2"/>
      <c r="K21" s="367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2"/>
      <c r="K22" s="367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2"/>
      <c r="K23" s="367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2"/>
      <c r="K24" s="367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8" t="s">
        <v>2317</v>
      </c>
      <c r="K32" s="367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0" t="s">
        <v>2327</v>
      </c>
      <c r="K33" s="368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0" t="s">
        <v>2329</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2">
        <v>1</v>
      </c>
      <c r="K36" s="367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2"/>
      <c r="K37" s="367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2"/>
      <c r="K38" s="367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2"/>
      <c r="K39" s="367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2"/>
      <c r="K40" s="367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1" t="s">
        <v>1654</v>
      </c>
      <c r="C5" s="3692"/>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4"/>
      <c r="M4" s="2715"/>
      <c r="N4" s="2715"/>
      <c r="O4" s="2715"/>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45817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45" t="s">
        <v>1775</v>
      </c>
      <c r="Q4" s="3746"/>
      <c r="R4" s="3749" t="s">
        <v>1771</v>
      </c>
      <c r="S4" s="3750"/>
      <c r="T4" s="3749" t="s">
        <v>1772</v>
      </c>
      <c r="U4" s="3750"/>
      <c r="V4" s="3751" t="s">
        <v>1773</v>
      </c>
      <c r="W4" s="3751"/>
      <c r="X4" s="1958"/>
      <c r="Y4" s="3749" t="s">
        <v>1775</v>
      </c>
      <c r="Z4" s="3750"/>
      <c r="AA4" s="3753" t="s">
        <v>1771</v>
      </c>
      <c r="AB4" s="3753" t="s">
        <v>1772</v>
      </c>
      <c r="AC4" s="3742" t="s">
        <v>1773</v>
      </c>
    </row>
    <row r="5" spans="1:29" ht="15">
      <c r="A5" s="358"/>
      <c r="B5" s="359"/>
      <c r="C5" s="3730" t="s">
        <v>1673</v>
      </c>
      <c r="D5" s="3731"/>
      <c r="E5" s="3737" t="s">
        <v>1674</v>
      </c>
      <c r="F5" s="3738"/>
      <c r="G5" s="3730" t="s">
        <v>1675</v>
      </c>
      <c r="H5" s="3731"/>
      <c r="I5" s="3730" t="s">
        <v>1676</v>
      </c>
      <c r="J5" s="3731"/>
      <c r="K5" s="559"/>
      <c r="L5" s="2714"/>
      <c r="M5" s="2715"/>
      <c r="N5" s="2715"/>
      <c r="O5" s="2715"/>
      <c r="P5" s="3747"/>
      <c r="Q5" s="3718"/>
      <c r="R5" s="3723"/>
      <c r="S5" s="3724"/>
      <c r="T5" s="3723"/>
      <c r="U5" s="3724"/>
      <c r="V5" s="3727"/>
      <c r="W5" s="3727"/>
      <c r="X5" s="1355"/>
      <c r="Y5" s="3723"/>
      <c r="Z5" s="3724"/>
      <c r="AA5" s="3709"/>
      <c r="AB5" s="3709"/>
      <c r="AC5" s="3743"/>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48"/>
      <c r="Q6" s="3720"/>
      <c r="R6" s="3723"/>
      <c r="S6" s="3724"/>
      <c r="T6" s="3725"/>
      <c r="U6" s="3726"/>
      <c r="V6" s="3727"/>
      <c r="W6" s="3727"/>
      <c r="X6" s="1355"/>
      <c r="Y6" s="3725"/>
      <c r="Z6" s="3726"/>
      <c r="AA6" s="3710"/>
      <c r="AB6" s="3710"/>
      <c r="AC6" s="3744"/>
    </row>
    <row r="7" spans="1:29" s="108" customFormat="1" ht="15.75" thickBot="1">
      <c r="A7" s="362" t="s">
        <v>1679</v>
      </c>
      <c r="B7" s="363"/>
      <c r="C7" s="364">
        <f>'数据-取费表'!B2</f>
        <v>45817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2"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受贵公司委托，我公司对北京市昌平区双营西路78号院2号楼17层1714办公用房房地产抵押价值进行了预评估。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双营西路78号院2号楼17层1714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4"/>
      <c r="M6" s="2715"/>
      <c r="N6" s="2715"/>
      <c r="O6" s="2715"/>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45817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57" t="e">
        <f>ROUND(IF(D47="简单平均",AVERAGE(R47:W47),R47*F47+T47*H47+V47*J47),0)</f>
        <v>#DIV/0!</v>
      </c>
      <c r="S48" s="3757"/>
      <c r="T48" s="3757"/>
      <c r="U48" s="3757"/>
      <c r="V48" s="3757"/>
      <c r="W48" s="375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707"/>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4"/>
      <c r="M4" s="2715"/>
      <c r="N4" s="2715"/>
      <c r="O4" s="2715"/>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4"/>
      <c r="M5" s="2715"/>
      <c r="N5" s="2715"/>
      <c r="O5" s="2715"/>
      <c r="P5" s="3717"/>
      <c r="Q5" s="3718"/>
      <c r="R5" s="3723"/>
      <c r="S5" s="3724"/>
      <c r="T5" s="3723"/>
      <c r="U5" s="3724"/>
      <c r="V5" s="3727"/>
      <c r="W5" s="3727"/>
      <c r="X5" s="1355"/>
      <c r="Y5" s="3723"/>
      <c r="Z5" s="3724"/>
      <c r="AA5" s="3709"/>
      <c r="AB5" s="3709"/>
      <c r="AC5" s="3709"/>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45817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57" t="e">
        <f>ROUND(IF(D42="简单平均",AVERAGE(R42:W42),R42*F42+T42*H42+V42*J42),0)</f>
        <v>#DIV/0!</v>
      </c>
      <c r="S43" s="3757"/>
      <c r="T43" s="3757"/>
      <c r="U43" s="3757"/>
      <c r="V43" s="3757"/>
      <c r="W43" s="375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707"/>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5"/>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0" t="s">
        <v>3254</v>
      </c>
      <c r="B20" s="167" t="s">
        <v>1994</v>
      </c>
      <c r="C20" s="3324" t="e">
        <f>ROUND(IF(F21="与级别开发程度一致",0,(G21-E21)/C21),0)</f>
        <v>#DIV/0!</v>
      </c>
      <c r="D20" s="3340" t="s">
        <v>1998</v>
      </c>
      <c r="E20" s="3341"/>
      <c r="F20" s="3786" t="s">
        <v>1995</v>
      </c>
      <c r="G20" s="378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2" t="s">
        <v>3294</v>
      </c>
      <c r="B103" s="3782"/>
      <c r="C103" s="3782"/>
      <c r="D103" s="3782"/>
      <c r="E103" s="3782"/>
      <c r="F103" s="3782"/>
      <c r="G103" s="3782"/>
      <c r="H103" s="3782"/>
      <c r="I103" s="3782"/>
      <c r="J103" s="3782"/>
      <c r="K103" s="3389"/>
      <c r="L103" s="3389"/>
      <c r="M103" s="3389"/>
      <c r="N103" s="3389"/>
    </row>
    <row r="104" spans="1:14">
      <c r="A104" s="3783" t="s">
        <v>3295</v>
      </c>
      <c r="B104" s="3783" t="s">
        <v>3296</v>
      </c>
      <c r="C104" s="3390" t="s">
        <v>3297</v>
      </c>
      <c r="D104" s="3391"/>
      <c r="E104" s="3391"/>
      <c r="F104" s="3391"/>
      <c r="G104" s="3391"/>
      <c r="H104" s="3391"/>
      <c r="I104" s="3391"/>
      <c r="J104" s="3392"/>
      <c r="K104" s="3393"/>
      <c r="L104" s="3393"/>
      <c r="M104" s="3393"/>
      <c r="N104" s="3393"/>
    </row>
    <row r="105" spans="1:14">
      <c r="A105" s="3783"/>
      <c r="B105" s="3783"/>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9"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2" t="s">
        <v>3311</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7" t="s">
        <v>2607</v>
      </c>
      <c r="B20" s="3792" t="s">
        <v>2628</v>
      </c>
      <c r="C20" s="3102" t="s">
        <v>2439</v>
      </c>
      <c r="D20" s="3103"/>
      <c r="E20" s="3104">
        <v>1</v>
      </c>
      <c r="F20" s="3105" t="s">
        <v>2440</v>
      </c>
      <c r="G20" s="3105"/>
    </row>
    <row r="21" spans="1:13" ht="19.5" customHeight="1">
      <c r="A21" s="3798"/>
      <c r="B21" s="3791"/>
      <c r="C21" s="3106" t="s">
        <v>2441</v>
      </c>
      <c r="D21" s="3107"/>
      <c r="E21" s="3108">
        <v>1</v>
      </c>
      <c r="F21" s="3105" t="s">
        <v>2442</v>
      </c>
      <c r="G21" s="3105"/>
    </row>
    <row r="22" spans="1:13" ht="19.5" customHeight="1">
      <c r="A22" s="3798"/>
      <c r="B22" s="3791"/>
      <c r="C22" s="3106" t="s">
        <v>2443</v>
      </c>
      <c r="D22" s="3107"/>
      <c r="E22" s="3108">
        <v>0.9</v>
      </c>
      <c r="F22" s="3105" t="s">
        <v>2444</v>
      </c>
      <c r="G22" s="3105"/>
    </row>
    <row r="23" spans="1:13" ht="19.5" customHeight="1">
      <c r="A23" s="3798"/>
      <c r="B23" s="3791"/>
      <c r="C23" s="3106" t="s">
        <v>2445</v>
      </c>
      <c r="D23" s="3107"/>
      <c r="E23" s="3108">
        <v>0.9</v>
      </c>
      <c r="F23" s="3105" t="s">
        <v>2446</v>
      </c>
      <c r="G23" s="3105"/>
    </row>
    <row r="24" spans="1:13" ht="19.5" customHeight="1">
      <c r="A24" s="3798"/>
      <c r="B24" s="3791"/>
      <c r="C24" s="3106" t="s">
        <v>2447</v>
      </c>
      <c r="D24" s="3107"/>
      <c r="E24" s="3108">
        <v>0.8</v>
      </c>
      <c r="F24" s="3105" t="s">
        <v>2448</v>
      </c>
      <c r="G24" s="3105"/>
    </row>
    <row r="25" spans="1:13" ht="19.5" customHeight="1" thickBot="1">
      <c r="A25" s="3799"/>
      <c r="B25" s="379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4" t="s">
        <v>2631</v>
      </c>
      <c r="B27" s="3792" t="s">
        <v>2612</v>
      </c>
      <c r="C27" s="3102" t="s">
        <v>2452</v>
      </c>
      <c r="D27" s="3103"/>
      <c r="E27" s="3104">
        <v>1</v>
      </c>
      <c r="F27" s="3105" t="s">
        <v>2453</v>
      </c>
      <c r="G27" s="3105"/>
    </row>
    <row r="28" spans="1:13" ht="19.5" customHeight="1">
      <c r="A28" s="3795"/>
      <c r="B28" s="3791"/>
      <c r="C28" s="3106" t="s">
        <v>2454</v>
      </c>
      <c r="D28" s="3107"/>
      <c r="E28" s="3108">
        <v>1</v>
      </c>
      <c r="F28" s="3105" t="s">
        <v>2455</v>
      </c>
      <c r="G28" s="3105"/>
    </row>
    <row r="29" spans="1:13" ht="19.5" customHeight="1">
      <c r="A29" s="3795"/>
      <c r="B29" s="3791"/>
      <c r="C29" s="3106" t="s">
        <v>2456</v>
      </c>
      <c r="D29" s="3107"/>
      <c r="E29" s="3108">
        <v>0.8</v>
      </c>
      <c r="F29" s="3105" t="s">
        <v>2457</v>
      </c>
      <c r="G29" s="3105"/>
    </row>
    <row r="30" spans="1:13" ht="19.5" customHeight="1">
      <c r="A30" s="3795"/>
      <c r="B30" s="3791"/>
      <c r="C30" s="3106" t="s">
        <v>2458</v>
      </c>
      <c r="D30" s="3107"/>
      <c r="E30" s="3108">
        <v>0.8</v>
      </c>
      <c r="F30" s="3105" t="s">
        <v>2459</v>
      </c>
      <c r="G30" s="3105"/>
    </row>
    <row r="31" spans="1:13" ht="19.5" customHeight="1">
      <c r="A31" s="3795"/>
      <c r="B31" s="3791"/>
      <c r="C31" s="3106" t="s">
        <v>2460</v>
      </c>
      <c r="D31" s="3107"/>
      <c r="E31" s="3108">
        <v>0.8</v>
      </c>
      <c r="F31" s="3105" t="s">
        <v>2461</v>
      </c>
      <c r="G31" s="3105"/>
    </row>
    <row r="32" spans="1:13" ht="19.5" customHeight="1">
      <c r="A32" s="3795"/>
      <c r="B32" s="3791"/>
      <c r="C32" s="3106" t="s">
        <v>2462</v>
      </c>
      <c r="D32" s="3107"/>
      <c r="E32" s="3108">
        <v>0.7</v>
      </c>
      <c r="F32" s="3105" t="s">
        <v>2463</v>
      </c>
      <c r="G32" s="3105"/>
    </row>
    <row r="33" spans="1:7" ht="19.5" customHeight="1">
      <c r="A33" s="3795"/>
      <c r="B33" s="3791"/>
      <c r="C33" s="3106" t="s">
        <v>2464</v>
      </c>
      <c r="D33" s="3107"/>
      <c r="E33" s="3108">
        <v>0.8</v>
      </c>
      <c r="F33" s="3105" t="s">
        <v>2465</v>
      </c>
      <c r="G33" s="3105"/>
    </row>
    <row r="34" spans="1:7" ht="19.5" customHeight="1">
      <c r="A34" s="3795"/>
      <c r="B34" s="3791"/>
      <c r="C34" s="3106" t="s">
        <v>2466</v>
      </c>
      <c r="D34" s="3107"/>
      <c r="E34" s="3108">
        <v>0.6</v>
      </c>
      <c r="F34" s="3105" t="s">
        <v>2467</v>
      </c>
      <c r="G34" s="3105"/>
    </row>
    <row r="35" spans="1:7" ht="19.5" customHeight="1">
      <c r="A35" s="3795"/>
      <c r="B35" s="3791"/>
      <c r="C35" s="3106" t="s">
        <v>2468</v>
      </c>
      <c r="D35" s="3107"/>
      <c r="E35" s="3108">
        <v>0.2</v>
      </c>
      <c r="F35" s="3105" t="s">
        <v>2469</v>
      </c>
      <c r="G35" s="3105"/>
    </row>
    <row r="36" spans="1:7" ht="19.5" customHeight="1">
      <c r="A36" s="3795"/>
      <c r="B36" s="3791"/>
      <c r="C36" s="3106" t="s">
        <v>2470</v>
      </c>
      <c r="D36" s="3107"/>
      <c r="E36" s="3108">
        <v>0.2</v>
      </c>
      <c r="F36" s="3105" t="s">
        <v>2471</v>
      </c>
      <c r="G36" s="3105"/>
    </row>
    <row r="37" spans="1:7" ht="19.5" customHeight="1">
      <c r="A37" s="3795"/>
      <c r="B37" s="3789" t="s">
        <v>2632</v>
      </c>
      <c r="C37" s="3106" t="s">
        <v>2472</v>
      </c>
      <c r="D37" s="3107"/>
      <c r="E37" s="3108">
        <v>0.6</v>
      </c>
      <c r="F37" s="3105" t="s">
        <v>2473</v>
      </c>
      <c r="G37" s="3105"/>
    </row>
    <row r="38" spans="1:7" ht="19.5" customHeight="1">
      <c r="A38" s="3795"/>
      <c r="B38" s="3791"/>
      <c r="C38" s="3106" t="s">
        <v>2474</v>
      </c>
      <c r="D38" s="3107"/>
      <c r="E38" s="3108">
        <v>0.6</v>
      </c>
      <c r="F38" s="3105" t="s">
        <v>2475</v>
      </c>
      <c r="G38" s="3105"/>
    </row>
    <row r="39" spans="1:7" ht="19.5" customHeight="1" thickBot="1">
      <c r="A39" s="3796"/>
      <c r="B39" s="379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7" t="s">
        <v>2610</v>
      </c>
      <c r="B41" s="3792" t="s">
        <v>2634</v>
      </c>
      <c r="C41" s="3102" t="s">
        <v>2479</v>
      </c>
      <c r="D41" s="3103"/>
      <c r="E41" s="3104">
        <v>1</v>
      </c>
      <c r="F41" s="3105" t="s">
        <v>2480</v>
      </c>
      <c r="G41" s="3105"/>
    </row>
    <row r="42" spans="1:7" ht="19.5" customHeight="1">
      <c r="A42" s="3798"/>
      <c r="B42" s="3791"/>
      <c r="C42" s="3106" t="s">
        <v>2481</v>
      </c>
      <c r="D42" s="3107"/>
      <c r="E42" s="3108">
        <v>1</v>
      </c>
      <c r="F42" s="3105" t="s">
        <v>2482</v>
      </c>
      <c r="G42" s="3105"/>
    </row>
    <row r="43" spans="1:7" ht="19.5" customHeight="1">
      <c r="A43" s="3798"/>
      <c r="B43" s="3790"/>
      <c r="C43" s="3106" t="s">
        <v>2483</v>
      </c>
      <c r="D43" s="3107"/>
      <c r="E43" s="3108">
        <v>1.5</v>
      </c>
      <c r="F43" s="3105" t="s">
        <v>2484</v>
      </c>
      <c r="G43" s="3105"/>
    </row>
    <row r="44" spans="1:7" ht="19.5" customHeight="1">
      <c r="A44" s="3798"/>
      <c r="B44" s="3117" t="s">
        <v>2635</v>
      </c>
      <c r="C44" s="3106" t="s">
        <v>2636</v>
      </c>
      <c r="D44" s="3107"/>
      <c r="E44" s="3108">
        <v>2</v>
      </c>
      <c r="F44" s="3105" t="s">
        <v>2485</v>
      </c>
      <c r="G44" s="3105"/>
    </row>
    <row r="45" spans="1:7" ht="19.5" customHeight="1">
      <c r="A45" s="3798"/>
      <c r="B45" s="3789" t="s">
        <v>2637</v>
      </c>
      <c r="C45" s="3106" t="s">
        <v>2486</v>
      </c>
      <c r="D45" s="3107"/>
      <c r="E45" s="3108">
        <v>1</v>
      </c>
      <c r="F45" s="3105" t="s">
        <v>2487</v>
      </c>
      <c r="G45" s="3105"/>
    </row>
    <row r="46" spans="1:7" ht="19.5" customHeight="1">
      <c r="A46" s="3798"/>
      <c r="B46" s="3791"/>
      <c r="C46" s="3106" t="s">
        <v>2488</v>
      </c>
      <c r="D46" s="3107"/>
      <c r="E46" s="3108">
        <v>1</v>
      </c>
      <c r="F46" s="3105" t="s">
        <v>2489</v>
      </c>
      <c r="G46" s="3105"/>
    </row>
    <row r="47" spans="1:7" ht="19.5" customHeight="1">
      <c r="A47" s="3798"/>
      <c r="B47" s="3791"/>
      <c r="C47" s="3106" t="s">
        <v>2490</v>
      </c>
      <c r="D47" s="3107"/>
      <c r="E47" s="3108">
        <v>1</v>
      </c>
      <c r="F47" s="3105" t="s">
        <v>2491</v>
      </c>
      <c r="G47" s="3105"/>
    </row>
    <row r="48" spans="1:7" ht="19.5" customHeight="1">
      <c r="A48" s="3798"/>
      <c r="B48" s="3791"/>
      <c r="C48" s="3106" t="s">
        <v>2492</v>
      </c>
      <c r="D48" s="3107"/>
      <c r="E48" s="3108">
        <v>1</v>
      </c>
      <c r="F48" s="3105" t="s">
        <v>2493</v>
      </c>
      <c r="G48" s="3105"/>
    </row>
    <row r="49" spans="1:7" ht="19.5" customHeight="1">
      <c r="A49" s="3798"/>
      <c r="B49" s="3791"/>
      <c r="C49" s="3106" t="s">
        <v>2494</v>
      </c>
      <c r="D49" s="3107"/>
      <c r="E49" s="3108">
        <v>1</v>
      </c>
      <c r="F49" s="3105" t="s">
        <v>2495</v>
      </c>
      <c r="G49" s="3105"/>
    </row>
    <row r="50" spans="1:7" ht="19.5" customHeight="1">
      <c r="A50" s="3798"/>
      <c r="B50" s="3791"/>
      <c r="C50" s="3106" t="s">
        <v>2496</v>
      </c>
      <c r="D50" s="3107"/>
      <c r="E50" s="3108">
        <v>1</v>
      </c>
      <c r="F50" s="3105" t="s">
        <v>2497</v>
      </c>
      <c r="G50" s="3105"/>
    </row>
    <row r="51" spans="1:7" ht="19.5" customHeight="1" thickBot="1">
      <c r="A51" s="3799"/>
      <c r="B51" s="379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9" t="s">
        <v>2651</v>
      </c>
      <c r="C73" s="3091" t="s">
        <v>2652</v>
      </c>
      <c r="D73" s="3091" t="s">
        <v>2653</v>
      </c>
      <c r="E73" s="3117">
        <v>0.2</v>
      </c>
      <c r="F73" s="3117">
        <v>25</v>
      </c>
    </row>
    <row r="74" spans="1:7" ht="24">
      <c r="A74" s="3117">
        <v>2</v>
      </c>
      <c r="B74" s="3791"/>
      <c r="C74" s="3091" t="s">
        <v>2654</v>
      </c>
      <c r="D74" s="3091" t="s">
        <v>2655</v>
      </c>
      <c r="E74" s="3117">
        <v>0.2</v>
      </c>
      <c r="F74" s="3117">
        <v>25</v>
      </c>
    </row>
    <row r="75" spans="1:7" ht="24">
      <c r="A75" s="3117">
        <v>3</v>
      </c>
      <c r="B75" s="3791"/>
      <c r="C75" s="3091" t="s">
        <v>2656</v>
      </c>
      <c r="D75" s="3091" t="s">
        <v>2657</v>
      </c>
      <c r="E75" s="3117">
        <v>0.2</v>
      </c>
      <c r="F75" s="3117">
        <v>25</v>
      </c>
    </row>
    <row r="76" spans="1:7" ht="13.5">
      <c r="A76" s="3117">
        <v>4</v>
      </c>
      <c r="B76" s="3791"/>
      <c r="C76" s="3091" t="s">
        <v>2658</v>
      </c>
      <c r="D76" s="3091" t="s">
        <v>2659</v>
      </c>
      <c r="E76" s="3117">
        <v>0.15</v>
      </c>
      <c r="F76" s="3117">
        <v>20</v>
      </c>
    </row>
    <row r="77" spans="1:7" ht="24">
      <c r="A77" s="3117">
        <v>5</v>
      </c>
      <c r="B77" s="3791"/>
      <c r="C77" s="3091" t="s">
        <v>2660</v>
      </c>
      <c r="D77" s="3091" t="s">
        <v>2661</v>
      </c>
      <c r="E77" s="3117">
        <v>0.15</v>
      </c>
      <c r="F77" s="3117">
        <v>20</v>
      </c>
    </row>
    <row r="78" spans="1:7" ht="24">
      <c r="A78" s="3117">
        <v>6</v>
      </c>
      <c r="B78" s="3791"/>
      <c r="C78" s="3091" t="s">
        <v>2662</v>
      </c>
      <c r="D78" s="3091" t="s">
        <v>2663</v>
      </c>
      <c r="E78" s="3117">
        <v>0.15</v>
      </c>
      <c r="F78" s="3117">
        <v>20</v>
      </c>
    </row>
    <row r="79" spans="1:7" ht="24">
      <c r="A79" s="3117">
        <v>7</v>
      </c>
      <c r="B79" s="3791"/>
      <c r="C79" s="3091" t="s">
        <v>2664</v>
      </c>
      <c r="D79" s="3091" t="s">
        <v>2665</v>
      </c>
      <c r="E79" s="3117">
        <v>0.15</v>
      </c>
      <c r="F79" s="3117">
        <v>20</v>
      </c>
    </row>
    <row r="80" spans="1:7" ht="24">
      <c r="A80" s="3117">
        <v>8</v>
      </c>
      <c r="B80" s="3791"/>
      <c r="C80" s="3091" t="s">
        <v>2666</v>
      </c>
      <c r="D80" s="3091" t="s">
        <v>2667</v>
      </c>
      <c r="E80" s="3117">
        <v>0.1</v>
      </c>
      <c r="F80" s="3117">
        <v>15</v>
      </c>
    </row>
    <row r="81" spans="1:6" ht="24">
      <c r="A81" s="3117">
        <v>9</v>
      </c>
      <c r="B81" s="3791"/>
      <c r="C81" s="3091" t="s">
        <v>2668</v>
      </c>
      <c r="D81" s="3091" t="s">
        <v>2669</v>
      </c>
      <c r="E81" s="3117">
        <v>0.1</v>
      </c>
      <c r="F81" s="3117">
        <v>15</v>
      </c>
    </row>
    <row r="82" spans="1:6" ht="24">
      <c r="A82" s="3117">
        <v>10</v>
      </c>
      <c r="B82" s="3791"/>
      <c r="C82" s="3091" t="s">
        <v>2670</v>
      </c>
      <c r="D82" s="3091" t="s">
        <v>2671</v>
      </c>
      <c r="E82" s="3117">
        <v>0.1</v>
      </c>
      <c r="F82" s="3117">
        <v>15</v>
      </c>
    </row>
    <row r="83" spans="1:6" ht="24">
      <c r="A83" s="3117">
        <v>11</v>
      </c>
      <c r="B83" s="3791"/>
      <c r="C83" s="3091" t="s">
        <v>2672</v>
      </c>
      <c r="D83" s="3091" t="s">
        <v>2673</v>
      </c>
      <c r="E83" s="3117">
        <v>0.1</v>
      </c>
      <c r="F83" s="3117">
        <v>15</v>
      </c>
    </row>
    <row r="84" spans="1:6" ht="24">
      <c r="A84" s="3117">
        <v>12</v>
      </c>
      <c r="B84" s="3791"/>
      <c r="C84" s="3091" t="s">
        <v>2674</v>
      </c>
      <c r="D84" s="3091" t="s">
        <v>2675</v>
      </c>
      <c r="E84" s="3117">
        <v>0.1</v>
      </c>
      <c r="F84" s="3117">
        <v>15</v>
      </c>
    </row>
    <row r="85" spans="1:6" ht="13.5">
      <c r="A85" s="3117">
        <v>13</v>
      </c>
      <c r="B85" s="3791"/>
      <c r="C85" s="3091" t="s">
        <v>2676</v>
      </c>
      <c r="D85" s="3091" t="s">
        <v>2677</v>
      </c>
      <c r="E85" s="3117">
        <v>0.1</v>
      </c>
      <c r="F85" s="3117">
        <v>15</v>
      </c>
    </row>
    <row r="86" spans="1:6" ht="13.5">
      <c r="A86" s="3117">
        <v>14</v>
      </c>
      <c r="B86" s="3791"/>
      <c r="C86" s="3091" t="s">
        <v>2678</v>
      </c>
      <c r="D86" s="3091" t="s">
        <v>2679</v>
      </c>
      <c r="E86" s="3117">
        <v>0.1</v>
      </c>
      <c r="F86" s="3117">
        <v>15</v>
      </c>
    </row>
    <row r="87" spans="1:6" ht="13.5">
      <c r="A87" s="3117">
        <v>15</v>
      </c>
      <c r="B87" s="3791"/>
      <c r="C87" s="3091" t="s">
        <v>2680</v>
      </c>
      <c r="D87" s="3091" t="s">
        <v>2681</v>
      </c>
      <c r="E87" s="3117">
        <v>0.1</v>
      </c>
      <c r="F87" s="3117">
        <v>15</v>
      </c>
    </row>
    <row r="88" spans="1:6" ht="24">
      <c r="A88" s="3117">
        <v>16</v>
      </c>
      <c r="B88" s="3791"/>
      <c r="C88" s="3091" t="s">
        <v>2682</v>
      </c>
      <c r="D88" s="3091" t="s">
        <v>2683</v>
      </c>
      <c r="E88" s="3117">
        <v>0.1</v>
      </c>
      <c r="F88" s="3117">
        <v>15</v>
      </c>
    </row>
    <row r="89" spans="1:6" ht="24">
      <c r="A89" s="3117">
        <v>17</v>
      </c>
      <c r="B89" s="3790"/>
      <c r="C89" s="3091" t="s">
        <v>2684</v>
      </c>
      <c r="D89" s="3091" t="s">
        <v>2685</v>
      </c>
      <c r="E89" s="3117">
        <v>0.1</v>
      </c>
      <c r="F89" s="3117">
        <v>15</v>
      </c>
    </row>
    <row r="90" spans="1:6" ht="13.5">
      <c r="A90" s="3117">
        <v>18</v>
      </c>
      <c r="B90" s="3789" t="s">
        <v>2686</v>
      </c>
      <c r="C90" s="3091" t="s">
        <v>2687</v>
      </c>
      <c r="D90" s="3091" t="s">
        <v>2688</v>
      </c>
      <c r="E90" s="3117">
        <v>0.2</v>
      </c>
      <c r="F90" s="3117">
        <v>25</v>
      </c>
    </row>
    <row r="91" spans="1:6" ht="24">
      <c r="A91" s="3117">
        <v>19</v>
      </c>
      <c r="B91" s="3791"/>
      <c r="C91" s="3091" t="s">
        <v>2689</v>
      </c>
      <c r="D91" s="3091" t="s">
        <v>2690</v>
      </c>
      <c r="E91" s="3117">
        <v>0.2</v>
      </c>
      <c r="F91" s="3117">
        <v>25</v>
      </c>
    </row>
    <row r="92" spans="1:6" ht="13.5">
      <c r="A92" s="3117">
        <v>20</v>
      </c>
      <c r="B92" s="3791"/>
      <c r="C92" s="3091" t="s">
        <v>2691</v>
      </c>
      <c r="D92" s="3091" t="s">
        <v>2692</v>
      </c>
      <c r="E92" s="3117">
        <v>0.15</v>
      </c>
      <c r="F92" s="3117">
        <v>20</v>
      </c>
    </row>
    <row r="93" spans="1:6" ht="13.5">
      <c r="A93" s="3117">
        <v>21</v>
      </c>
      <c r="B93" s="3791"/>
      <c r="C93" s="3091" t="s">
        <v>2693</v>
      </c>
      <c r="D93" s="3091" t="s">
        <v>2694</v>
      </c>
      <c r="E93" s="3117">
        <v>0.15</v>
      </c>
      <c r="F93" s="3117">
        <v>20</v>
      </c>
    </row>
    <row r="94" spans="1:6" ht="13.5">
      <c r="A94" s="3117">
        <v>22</v>
      </c>
      <c r="B94" s="3791"/>
      <c r="C94" s="3091" t="s">
        <v>2695</v>
      </c>
      <c r="D94" s="3091" t="s">
        <v>2696</v>
      </c>
      <c r="E94" s="3117">
        <v>0.15</v>
      </c>
      <c r="F94" s="3117">
        <v>20</v>
      </c>
    </row>
    <row r="95" spans="1:6" ht="36">
      <c r="A95" s="3117">
        <v>23</v>
      </c>
      <c r="B95" s="3791"/>
      <c r="C95" s="3091" t="s">
        <v>2697</v>
      </c>
      <c r="D95" s="3091" t="s">
        <v>2698</v>
      </c>
      <c r="E95" s="3117">
        <v>0.15</v>
      </c>
      <c r="F95" s="3117">
        <v>20</v>
      </c>
    </row>
    <row r="96" spans="1:6" ht="13.5">
      <c r="A96" s="3117">
        <v>24</v>
      </c>
      <c r="B96" s="3791"/>
      <c r="C96" s="3091" t="s">
        <v>2699</v>
      </c>
      <c r="D96" s="3091" t="s">
        <v>2700</v>
      </c>
      <c r="E96" s="3117">
        <v>0.1</v>
      </c>
      <c r="F96" s="3117">
        <v>15</v>
      </c>
    </row>
    <row r="97" spans="1:6" ht="13.5">
      <c r="A97" s="3117">
        <v>25</v>
      </c>
      <c r="B97" s="3791"/>
      <c r="C97" s="3091" t="s">
        <v>2701</v>
      </c>
      <c r="D97" s="3091" t="s">
        <v>2702</v>
      </c>
      <c r="E97" s="3117">
        <v>0.1</v>
      </c>
      <c r="F97" s="3117">
        <v>15</v>
      </c>
    </row>
    <row r="98" spans="1:6" ht="24">
      <c r="A98" s="3117">
        <v>26</v>
      </c>
      <c r="B98" s="3791"/>
      <c r="C98" s="3091" t="s">
        <v>2703</v>
      </c>
      <c r="D98" s="3091" t="s">
        <v>2704</v>
      </c>
      <c r="E98" s="3117">
        <v>0.1</v>
      </c>
      <c r="F98" s="3117">
        <v>15</v>
      </c>
    </row>
    <row r="99" spans="1:6" ht="24">
      <c r="A99" s="3117">
        <v>27</v>
      </c>
      <c r="B99" s="3791"/>
      <c r="C99" s="3091" t="s">
        <v>2705</v>
      </c>
      <c r="D99" s="3091" t="s">
        <v>2706</v>
      </c>
      <c r="E99" s="3117">
        <v>0.1</v>
      </c>
      <c r="F99" s="3117">
        <v>15</v>
      </c>
    </row>
    <row r="100" spans="1:6" ht="13.5">
      <c r="A100" s="3117">
        <v>28</v>
      </c>
      <c r="B100" s="3791"/>
      <c r="C100" s="3091" t="s">
        <v>2707</v>
      </c>
      <c r="D100" s="3091" t="s">
        <v>2708</v>
      </c>
      <c r="E100" s="3117">
        <v>0.1</v>
      </c>
      <c r="F100" s="3117">
        <v>15</v>
      </c>
    </row>
    <row r="101" spans="1:6" ht="13.5">
      <c r="A101" s="3117">
        <v>29</v>
      </c>
      <c r="B101" s="3791"/>
      <c r="C101" s="3091" t="s">
        <v>2709</v>
      </c>
      <c r="D101" s="3091" t="s">
        <v>2710</v>
      </c>
      <c r="E101" s="3117">
        <v>0.1</v>
      </c>
      <c r="F101" s="3117">
        <v>15</v>
      </c>
    </row>
    <row r="102" spans="1:6" ht="13.5">
      <c r="A102" s="3117">
        <v>30</v>
      </c>
      <c r="B102" s="3791"/>
      <c r="C102" s="3091" t="s">
        <v>2711</v>
      </c>
      <c r="D102" s="3091" t="s">
        <v>2712</v>
      </c>
      <c r="E102" s="3117">
        <v>0.1</v>
      </c>
      <c r="F102" s="3117">
        <v>15</v>
      </c>
    </row>
    <row r="103" spans="1:6" ht="24">
      <c r="A103" s="3117">
        <v>31</v>
      </c>
      <c r="B103" s="3791"/>
      <c r="C103" s="3091" t="s">
        <v>2713</v>
      </c>
      <c r="D103" s="3091" t="s">
        <v>2714</v>
      </c>
      <c r="E103" s="3117">
        <v>0.1</v>
      </c>
      <c r="F103" s="3117">
        <v>15</v>
      </c>
    </row>
    <row r="104" spans="1:6" ht="24">
      <c r="A104" s="3117">
        <v>32</v>
      </c>
      <c r="B104" s="3791"/>
      <c r="C104" s="3091" t="s">
        <v>2715</v>
      </c>
      <c r="D104" s="3091" t="s">
        <v>2716</v>
      </c>
      <c r="E104" s="3117">
        <v>0.1</v>
      </c>
      <c r="F104" s="3117">
        <v>15</v>
      </c>
    </row>
    <row r="105" spans="1:6" ht="24">
      <c r="A105" s="3117">
        <v>33</v>
      </c>
      <c r="B105" s="3791"/>
      <c r="C105" s="3091" t="s">
        <v>2717</v>
      </c>
      <c r="D105" s="3091" t="s">
        <v>2718</v>
      </c>
      <c r="E105" s="3117">
        <v>0.1</v>
      </c>
      <c r="F105" s="3117">
        <v>15</v>
      </c>
    </row>
    <row r="106" spans="1:6" ht="24">
      <c r="A106" s="3117">
        <v>34</v>
      </c>
      <c r="B106" s="3790"/>
      <c r="C106" s="3091" t="s">
        <v>2719</v>
      </c>
      <c r="D106" s="3091" t="s">
        <v>2720</v>
      </c>
      <c r="E106" s="3117">
        <v>0.1</v>
      </c>
      <c r="F106" s="3117">
        <v>15</v>
      </c>
    </row>
    <row r="107" spans="1:6" ht="24">
      <c r="A107" s="3117">
        <v>35</v>
      </c>
      <c r="B107" s="3789" t="s">
        <v>2721</v>
      </c>
      <c r="C107" s="3117" t="s">
        <v>2722</v>
      </c>
      <c r="D107" s="3091" t="s">
        <v>2723</v>
      </c>
      <c r="E107" s="3117">
        <v>0.15</v>
      </c>
      <c r="F107" s="3117">
        <v>20</v>
      </c>
    </row>
    <row r="108" spans="1:6" ht="13.5">
      <c r="A108" s="3117">
        <v>36</v>
      </c>
      <c r="B108" s="3791"/>
      <c r="C108" s="3117" t="s">
        <v>2724</v>
      </c>
      <c r="D108" s="3091" t="s">
        <v>2725</v>
      </c>
      <c r="E108" s="3117">
        <v>0.15</v>
      </c>
      <c r="F108" s="3117">
        <v>20</v>
      </c>
    </row>
    <row r="109" spans="1:6" ht="13.5">
      <c r="A109" s="3117">
        <v>37</v>
      </c>
      <c r="B109" s="3791"/>
      <c r="C109" s="3117" t="s">
        <v>2726</v>
      </c>
      <c r="D109" s="3091" t="s">
        <v>2727</v>
      </c>
      <c r="E109" s="3117">
        <v>0.15</v>
      </c>
      <c r="F109" s="3117">
        <v>20</v>
      </c>
    </row>
    <row r="110" spans="1:6" ht="13.5">
      <c r="A110" s="3117">
        <v>38</v>
      </c>
      <c r="B110" s="3791"/>
      <c r="C110" s="3117" t="s">
        <v>2728</v>
      </c>
      <c r="D110" s="3091" t="s">
        <v>2729</v>
      </c>
      <c r="E110" s="3117">
        <v>0.1</v>
      </c>
      <c r="F110" s="3117">
        <v>15</v>
      </c>
    </row>
    <row r="111" spans="1:6" ht="24">
      <c r="A111" s="3117">
        <v>39</v>
      </c>
      <c r="B111" s="3791"/>
      <c r="C111" s="3117" t="s">
        <v>2730</v>
      </c>
      <c r="D111" s="3091" t="s">
        <v>2731</v>
      </c>
      <c r="E111" s="3117">
        <v>0.1</v>
      </c>
      <c r="F111" s="3117">
        <v>15</v>
      </c>
    </row>
    <row r="112" spans="1:6" ht="24">
      <c r="A112" s="3117">
        <v>40</v>
      </c>
      <c r="B112" s="3790"/>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9" t="s">
        <v>2741</v>
      </c>
      <c r="C116" s="3117" t="s">
        <v>2742</v>
      </c>
      <c r="D116" s="3091" t="s">
        <v>2743</v>
      </c>
      <c r="E116" s="3117">
        <v>0.1</v>
      </c>
      <c r="F116" s="3117">
        <v>15</v>
      </c>
    </row>
    <row r="117" spans="1:6" ht="24">
      <c r="A117" s="3117">
        <v>45</v>
      </c>
      <c r="B117" s="3790"/>
      <c r="C117" s="3091" t="s">
        <v>2744</v>
      </c>
      <c r="D117" s="3091" t="s">
        <v>2745</v>
      </c>
      <c r="E117" s="3117">
        <v>0.1</v>
      </c>
      <c r="F117" s="3117">
        <v>15</v>
      </c>
    </row>
    <row r="118" spans="1:6" ht="24">
      <c r="A118" s="3117">
        <v>46</v>
      </c>
      <c r="B118" s="3789" t="s">
        <v>2746</v>
      </c>
      <c r="C118" s="3117" t="s">
        <v>2747</v>
      </c>
      <c r="D118" s="3091" t="s">
        <v>2748</v>
      </c>
      <c r="E118" s="3117">
        <v>0.1</v>
      </c>
      <c r="F118" s="3117">
        <v>15</v>
      </c>
    </row>
    <row r="119" spans="1:6" ht="24">
      <c r="A119" s="3117">
        <v>47</v>
      </c>
      <c r="B119" s="3790"/>
      <c r="C119" s="3117" t="s">
        <v>2749</v>
      </c>
      <c r="D119" s="3091" t="s">
        <v>2750</v>
      </c>
      <c r="E119" s="3117">
        <v>0.1</v>
      </c>
      <c r="F119" s="3117">
        <v>15</v>
      </c>
    </row>
    <row r="120" spans="1:6" ht="13.5">
      <c r="A120" s="3117">
        <v>48</v>
      </c>
      <c r="B120" s="3789" t="s">
        <v>2751</v>
      </c>
      <c r="C120" s="3117" t="s">
        <v>2752</v>
      </c>
      <c r="D120" s="3091" t="s">
        <v>2753</v>
      </c>
      <c r="E120" s="3117">
        <v>0.1</v>
      </c>
      <c r="F120" s="3117">
        <v>15</v>
      </c>
    </row>
    <row r="121" spans="1:6" ht="13.5">
      <c r="A121" s="3117">
        <v>49</v>
      </c>
      <c r="B121" s="3790"/>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9" t="s">
        <v>2781</v>
      </c>
      <c r="C132" s="3117" t="s">
        <v>2782</v>
      </c>
      <c r="D132" s="3091" t="s">
        <v>2783</v>
      </c>
      <c r="E132" s="3117">
        <v>0.1</v>
      </c>
      <c r="F132" s="3117">
        <v>15</v>
      </c>
    </row>
    <row r="133" spans="1:6" ht="13.5">
      <c r="A133" s="3117">
        <v>61</v>
      </c>
      <c r="B133" s="379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t="e">
        <f ca="1">结果表!H101</f>
        <v>#REF!</v>
      </c>
      <c r="E5" s="1491"/>
    </row>
    <row r="6" spans="1:5" ht="15.75">
      <c r="A6" s="1491"/>
      <c r="B6" s="3479"/>
      <c r="C6" s="1494" t="s">
        <v>911</v>
      </c>
      <c r="D6" s="850" t="e">
        <f ca="1">NUMBERSTRING(INT(D5*10000),2)&amp;"元整"</f>
        <v>#REF!</v>
      </c>
      <c r="E6" s="1491"/>
    </row>
    <row r="7" spans="1:5" ht="15.75">
      <c r="A7" s="1491"/>
      <c r="B7" s="3484"/>
      <c r="C7" s="1495" t="s">
        <v>912</v>
      </c>
      <c r="D7" s="851" t="e">
        <f ca="1">结果表!H102</f>
        <v>#REF!</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t="e">
        <f ca="1">结果表!H107</f>
        <v>#REF!</v>
      </c>
      <c r="E13" s="1491"/>
    </row>
    <row r="14" spans="1:5" ht="15.75">
      <c r="A14" s="1491"/>
      <c r="B14" s="3479"/>
      <c r="C14" s="1494" t="s">
        <v>911</v>
      </c>
      <c r="D14" s="850" t="e">
        <f ca="1">NUMBERSTRING(INT(D13*10000),2)&amp;"元整"</f>
        <v>#REF!</v>
      </c>
      <c r="E14" s="1491"/>
    </row>
    <row r="15" spans="1:5" ht="15">
      <c r="A15" s="1491"/>
      <c r="B15" s="3484"/>
      <c r="C15" s="1495" t="s">
        <v>921</v>
      </c>
      <c r="D15" s="859" t="e">
        <f ca="1">结果表!H108</f>
        <v>#REF!</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4" t="s">
        <v>94</v>
      </c>
    </row>
    <row r="43" spans="1:7" ht="13.5" customHeight="1">
      <c r="A43" s="780" t="s">
        <v>347</v>
      </c>
      <c r="B43" s="215" t="s">
        <v>426</v>
      </c>
      <c r="C43" s="238" t="e">
        <f ca="1">ROUND(IF('数据-取费表'!B22&lt;=1,C39*F22*'数据-取费表'!B21/2,C39*(POWER((1+F22),'数据-取费表'!B21/2)-1)),0)</f>
        <v>#VALUE!</v>
      </c>
      <c r="D43" s="238"/>
      <c r="E43" s="238"/>
      <c r="F43" s="239"/>
      <c r="G43" s="3665"/>
    </row>
    <row r="44" spans="1:7" ht="13.5" customHeight="1">
      <c r="A44" s="780" t="s">
        <v>348</v>
      </c>
      <c r="B44" s="215" t="s">
        <v>428</v>
      </c>
      <c r="C44" s="238" t="e">
        <f ca="1">ROUND(IF('数据-取费表'!B22&lt;=1,C40*F22*'数据-取费表'!B21/2,C40*(POWER((1+F22),'数据-取费表'!B21/2)-1)),4)</f>
        <v>#VALUE!</v>
      </c>
      <c r="D44" s="238"/>
      <c r="E44" s="238"/>
      <c r="F44" s="239"/>
      <c r="G44" s="366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3181</v>
      </c>
      <c r="B1" s="3800"/>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3232</v>
      </c>
      <c r="B1" s="3801"/>
      <c r="C1" s="3801"/>
      <c r="D1" s="3801"/>
      <c r="E1" s="3801"/>
      <c r="F1" s="3802"/>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45817</v>
      </c>
      <c r="B1" s="3209" t="s">
        <v>3378</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3" t="s">
        <v>2827</v>
      </c>
      <c r="S29" s="3804"/>
      <c r="T29" s="3804"/>
      <c r="U29" s="3804"/>
      <c r="V29" s="3804"/>
      <c r="W29" s="3804"/>
      <c r="X29" s="3164"/>
      <c r="Y29" s="3803" t="s">
        <v>2828</v>
      </c>
      <c r="Z29" s="3804"/>
      <c r="AA29" s="3804"/>
      <c r="AB29" s="3804"/>
      <c r="AC29" s="3804"/>
      <c r="AD29" s="3804"/>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2839</v>
      </c>
      <c r="B1" s="3818"/>
      <c r="C1" s="3818"/>
      <c r="D1" s="3818"/>
      <c r="E1" s="3818"/>
      <c r="F1" s="3818"/>
      <c r="G1" s="3819"/>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6"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7"/>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4" t="s">
        <v>925</v>
      </c>
      <c r="E3" s="854" t="s">
        <v>931</v>
      </c>
      <c r="F3" s="854" t="s">
        <v>925</v>
      </c>
      <c r="G3" s="854" t="s">
        <v>926</v>
      </c>
      <c r="H3" s="854" t="s">
        <v>925</v>
      </c>
      <c r="I3" s="854" t="s">
        <v>926</v>
      </c>
    </row>
    <row r="4" spans="1:9" ht="45">
      <c r="A4" s="1505" t="str">
        <f>项目基本情况!S2</f>
        <v>北京市昌平区双营西路78号院2号楼17层1714办公用房房地产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t="e">
        <f ca="1">结果表!D122</f>
        <v>#REF!</v>
      </c>
      <c r="E8" s="3490"/>
      <c r="F8" s="3490"/>
      <c r="G8" s="3490"/>
      <c r="H8" s="3490"/>
      <c r="I8" s="3490"/>
    </row>
    <row r="9" spans="1:9" ht="15">
      <c r="A9" s="3491" t="s">
        <v>927</v>
      </c>
      <c r="B9" s="3491"/>
      <c r="C9" s="3491"/>
      <c r="D9" s="3491" t="e">
        <f ca="1">结果表!D123</f>
        <v>#REF!</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2025-08-21T07:04:00Z</dcterms:modified>
</cp:coreProperties>
</file>