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15"/>
  <c r="F43" i="15"/>
  <c r="F38" i="15"/>
  <c r="F20" i="31"/>
  <c r="M6" i="15"/>
  <c r="M6" i="67"/>
  <c r="F16" i="15"/>
  <c r="M9" i="67"/>
  <c r="F37" i="15"/>
  <c r="E7" i="76"/>
  <c r="F43" i="67"/>
  <c r="J15" i="67"/>
  <c r="B13" i="76"/>
  <c r="E2" i="68"/>
  <c r="C76" i="67"/>
  <c r="M23" i="15"/>
  <c r="E12" i="76"/>
  <c r="L48" i="67"/>
  <c r="F38" i="67"/>
  <c r="D35" i="9"/>
  <c r="M26" i="67"/>
  <c r="M28" i="67"/>
  <c r="M29" i="67"/>
  <c r="D34" i="9"/>
  <c r="F6" i="15"/>
  <c r="J15" i="15"/>
  <c r="F7" i="73"/>
  <c r="E11" i="76"/>
  <c r="M9" i="15"/>
  <c r="M22" i="15"/>
  <c r="B7" i="76"/>
  <c r="F9" i="67"/>
  <c r="L47" i="15"/>
  <c r="B10" i="76"/>
  <c r="AO13" i="1"/>
  <c r="F3" i="73"/>
  <c r="F40" i="15"/>
  <c r="F9" i="15"/>
  <c r="D5" i="73"/>
  <c r="F16" i="67"/>
  <c r="E10" i="76"/>
  <c r="M8" i="15"/>
  <c r="F36" i="15"/>
  <c r="M28" i="15"/>
  <c r="C76" i="15"/>
  <c r="L48" i="15"/>
  <c r="F26" i="67"/>
  <c r="F7" i="67"/>
  <c r="F13" i="67"/>
  <c r="F8" i="67"/>
  <c r="E8" i="76"/>
  <c r="F40" i="67"/>
  <c r="F4" i="73"/>
  <c r="F36" i="67"/>
  <c r="F42" i="67"/>
  <c r="M24" i="15"/>
  <c r="M29" i="15"/>
  <c r="B8" i="76"/>
  <c r="M8" i="67"/>
  <c r="M23" i="67"/>
  <c r="F13" i="15"/>
  <c r="E13" i="76"/>
  <c r="F6" i="73"/>
  <c r="F42" i="15"/>
  <c r="B11" i="76"/>
  <c r="E9" i="76"/>
  <c r="B12" i="76"/>
  <c r="F5" i="73"/>
  <c r="E2" i="69"/>
  <c r="F37" i="67"/>
  <c r="D3" i="73"/>
  <c r="M22" i="67"/>
  <c r="L47" i="67"/>
  <c r="M24" i="67"/>
  <c r="B9" i="76"/>
  <c r="M26" i="15"/>
  <c r="F8" i="15"/>
  <c r="F7" i="15"/>
  <c r="W26" i="33" l="1"/>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6" i="73"/>
  <c r="G1" i="73"/>
  <c r="D4" i="73"/>
  <c r="C16" i="67"/>
  <c r="K66" i="43" l="1"/>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F41" i="15"/>
  <c r="M27" i="67"/>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L51" i="15"/>
  <c r="D2" i="37"/>
  <c r="D2" i="34"/>
  <c r="D2" i="35"/>
  <c r="D2" i="36"/>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C19" i="9"/>
  <c r="AO8" i="1"/>
  <c r="L51" i="67"/>
  <c r="AO11" i="1"/>
  <c r="AO12" i="1"/>
  <c r="AO7"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R26" i="31"/>
  <c r="T26" i="31" s="1"/>
  <c r="R27" i="31"/>
  <c r="T27" i="31" s="1"/>
  <c r="D14" i="74" s="1"/>
  <c r="G14" i="74"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C104" i="9"/>
  <c r="H4" i="52"/>
  <c r="D52" i="9"/>
  <c r="D53" i="9"/>
  <c r="C105" i="9"/>
  <c r="I4" i="52"/>
  <c r="N58" i="9"/>
  <c r="P57" i="9"/>
  <c r="N61" i="9"/>
  <c r="N60" i="9"/>
  <c r="E97" i="9"/>
  <c r="B53" i="72"/>
  <c r="M48" i="9"/>
  <c r="M67" i="9"/>
  <c r="N59" i="9"/>
  <c r="L67" i="9"/>
  <c r="B20" i="72"/>
  <c r="E81" i="9"/>
  <c r="B51" i="72"/>
  <c r="L68" i="9"/>
  <c r="M68" i="9"/>
  <c r="C93" i="9"/>
  <c r="C86" i="9"/>
  <c r="L65" i="9"/>
  <c r="M65" i="9"/>
  <c r="C6" i="74"/>
  <c r="C81" i="9"/>
  <c r="H108" i="9"/>
  <c r="D15" i="53"/>
  <c r="B31" i="72"/>
  <c r="M55" i="9"/>
  <c r="F5" i="52"/>
  <c r="F4" i="52"/>
  <c r="F119" i="9"/>
  <c r="B49" i="72"/>
  <c r="D59" i="9"/>
  <c r="N69" i="9"/>
  <c r="B30" i="72"/>
  <c r="M69" i="9"/>
  <c r="D4" i="52"/>
  <c r="B47" i="72"/>
  <c r="M54" i="9"/>
  <c r="L66" i="9"/>
  <c r="M66" i="9"/>
  <c r="B52" i="72"/>
  <c r="B21" i="72"/>
  <c r="E96" i="9"/>
  <c r="D9" i="52"/>
  <c r="C96" i="9"/>
  <c r="G4" i="52"/>
  <c r="G118" i="9"/>
  <c r="F118" i="9"/>
  <c r="C72" i="9"/>
  <c r="C79" i="9"/>
  <c r="C80" i="9"/>
  <c r="E80" i="9"/>
  <c r="C5" i="74"/>
  <c r="H102" i="9"/>
  <c r="D7" i="53"/>
  <c r="D5" i="53"/>
  <c r="D6" i="53"/>
  <c r="B22" i="72"/>
  <c r="D118" i="9"/>
  <c r="D119" i="9"/>
  <c r="D5" i="52"/>
  <c r="C67" i="9"/>
  <c r="C68" i="9"/>
  <c r="D54" i="9"/>
  <c r="C64" i="9"/>
  <c r="C63" i="9"/>
  <c r="L64" i="9"/>
  <c r="M64" i="9"/>
  <c r="D13" i="53"/>
  <c r="D14" i="53"/>
  <c r="B32" i="72"/>
  <c r="C78" i="9"/>
  <c r="C73" i="9"/>
  <c r="H119" i="9"/>
  <c r="H5" i="52"/>
  <c r="E118" i="9"/>
  <c r="E4" i="52"/>
  <c r="B48" i="72"/>
  <c r="M49" i="9"/>
  <c r="L63" i="9"/>
  <c r="M63" i="9"/>
  <c r="C85" i="9"/>
  <c r="C95" i="9"/>
  <c r="C97" i="9"/>
  <c r="D58" i="9"/>
  <c r="D56" i="9"/>
  <c r="D8" i="52"/>
  <c r="H107" i="9"/>
  <c r="D122" i="9"/>
  <c r="D12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<sst xmlns="http://schemas.openxmlformats.org/spreadsheetml/2006/main" count="8211" uniqueCount="3452">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</sst>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145.47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0"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21"/>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145.47</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145.47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145.47</v>
      </c>
      <c r="H5" s="13">
        <f t="shared" ref="H5:AT5" si="0">SUM(H13:H656)</f>
        <v>145.47</v>
      </c>
      <c r="I5" s="13">
        <f t="shared" si="0"/>
        <v>145.47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145.47</v>
      </c>
      <c r="BA5" s="15">
        <f t="shared" si="1"/>
        <v>145.47</v>
      </c>
      <c r="BB5" s="15">
        <f t="shared" si="1"/>
        <v>145.47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145.47</v>
      </c>
      <c r="H13" s="17">
        <f>SUMIF(I$12:AB$12,"总值",I13:AB13)</f>
        <v>145.47</v>
      </c>
      <c r="I13" s="1625">
        <v>145.47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145.47</v>
      </c>
      <c r="BA13" s="13">
        <f>SUM(BB13:BK13)</f>
        <v>145.47</v>
      </c>
      <c r="BB13" s="13">
        <f>IF($D13="是",I13-J13,0)</f>
        <v>145.47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145.47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145.47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145.47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145.47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145.47</v>
      </c>
      <c r="F19" s="2794">
        <f>'数据-基础表'!I13</f>
        <v>145.47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145.47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145.47</v>
      </c>
      <c r="F27" s="1139">
        <f>IF(SUM(F19:F26)=E8,SUM(F19:F26),"地上面积有误")</f>
        <v>145.47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145.47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145.47</v>
      </c>
      <c r="F31" s="676">
        <f>F27+F30</f>
        <v>145.47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145.47</v>
      </c>
      <c r="L6" s="732">
        <v>4000</v>
      </c>
      <c r="M6" s="67">
        <f t="shared" ref="M6:M14" si="0">ROUND(K6*L6/10000,0)</f>
        <v>58</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265.74239999999998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145.47</v>
      </c>
      <c r="L16" s="93">
        <f>ROUND(M16*10000/SUM(K6:K14),0)</f>
        <v>3987</v>
      </c>
      <c r="M16" s="93">
        <f>SUM(M6:M14)</f>
        <v>58</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2.9094000000000002</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30" sqref="J3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204.26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472.80059999999997</v>
      </c>
      <c r="C5" s="2511" t="e">
        <f ca="1">IF(B5=D14,结果表!H102,ROUND(B5*10000/$B$1,0))</f>
        <v>#DIV/0!</v>
      </c>
      <c r="D5" s="2511" t="e">
        <f ca="1">ROUND(B5*10000/$B$2,0)</f>
        <v>#DIV/0!</v>
      </c>
      <c r="E5" s="2685"/>
      <c r="F5" s="2686"/>
      <c r="G5" s="2686"/>
      <c r="H5" s="2687"/>
      <c r="I5" s="2687"/>
      <c r="J5" s="2687"/>
      <c r="K5" s="2687"/>
    </row>
    <row r="6" spans="1:11" ht="16.5">
      <c r="A6" s="2511" t="s">
        <v>656</v>
      </c>
      <c r="B6" s="2511">
        <f ca="1">SUM(G14:G23)</f>
        <v>472.80059999999997</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典型户型修正!B27</f>
        <v>204.26</v>
      </c>
      <c r="C14" s="2517"/>
      <c r="D14" s="2517">
        <f ca="1">典型户型修正!T27/10000</f>
        <v>472.80059999999997</v>
      </c>
      <c r="E14" s="2517">
        <f ca="1">ROUND(D14*10000/B14,0)</f>
        <v>23147</v>
      </c>
      <c r="F14" s="2517" t="e">
        <f ca="1">ROUND(D14*10000/C14,0)</f>
        <v>#DIV/0!</v>
      </c>
      <c r="G14" s="2517">
        <f ca="1">D14</f>
        <v>472.80059999999997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3434</v>
      </c>
      <c r="D4" s="1755" t="s">
        <v>3376</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6</v>
      </c>
      <c r="D14" s="3593">
        <v>4</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0" t="s">
        <v>2130</v>
      </c>
      <c r="F18" s="3581"/>
      <c r="G18" s="3581"/>
      <c r="H18" s="3581"/>
      <c r="I18" s="3581"/>
      <c r="K18" s="302" t="s">
        <v>1289</v>
      </c>
      <c r="L18" s="302">
        <f>IF(C1="",'数据-汇总表'!E3,SUMIF(项目类型,C1,'数据-汇总表'!E17:E26)+SUMIF(项目类型,C1,'数据-汇总表'!I17:I26))</f>
        <v>145.47</v>
      </c>
      <c r="M18" s="302">
        <f>IF(C1="",'数据-汇总表'!E3,SUMIF(项目类型,C1,'数据-汇总表'!E17:E26))</f>
        <v>145.47</v>
      </c>
    </row>
    <row r="19" spans="1:36" ht="15">
      <c r="A19" s="1760" t="s">
        <v>1290</v>
      </c>
      <c r="B19" s="1761" t="s">
        <v>1291</v>
      </c>
      <c r="C19" s="134">
        <f ca="1">SUMIF(INDIRECT("'"&amp;C4&amp;"'"&amp;"!A:A"),结果表!B19,INDIRECT("'"&amp;C4&amp;"'"&amp;"!B:B"))</f>
        <v>384.02629999999999</v>
      </c>
      <c r="D19" s="135">
        <f ca="1">SUMIF(INDIRECT("'"&amp;D4&amp;"'"&amp;"!A:A"),结果表!B19,INDIRECT("'"&amp;D4&amp;"'"&amp;"!B:B"))</f>
        <v>265.74239999999998</v>
      </c>
      <c r="E19" s="1760" t="s">
        <v>1292</v>
      </c>
      <c r="F19" s="1761" t="s">
        <v>1291</v>
      </c>
      <c r="G19" s="136">
        <f ca="1">ROUND(C19*$C$18+D19*$D$18,0)</f>
        <v>337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18268</v>
      </c>
      <c r="E20" s="1763"/>
      <c r="F20" s="1025" t="s">
        <v>1295</v>
      </c>
      <c r="G20" s="139">
        <f ca="1">ROUND(C20*$C$18+D20*$D$18,0)</f>
        <v>23147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0.44510736713448829</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23147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45210</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t="e">
        <f ca="1">H101</f>
        <v>#REF!</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t="e">
        <f ca="1">ROUND(D45*'数据-取费表'!B41/(1+'数据-取费表'!C42),0)</f>
        <v>#REF!</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2281</v>
      </c>
      <c r="C53" s="3583"/>
      <c r="D53" s="1086" t="e">
        <f ca="1">ROUND(D45*'数据-取费表'!B41/(1+'数据-取费表'!C42),0)</f>
        <v>#REF!</v>
      </c>
      <c r="E53" s="2333" t="s">
        <v>1354</v>
      </c>
      <c r="F53" s="2553">
        <f>'数据-取费表'!B41</f>
        <v>5.6000000000000001E-2</v>
      </c>
      <c r="G53" s="2554"/>
      <c r="H53" s="2543"/>
      <c r="I53" s="1806"/>
      <c r="J53" s="2522">
        <v>2</v>
      </c>
      <c r="K53" s="3621" t="s">
        <v>1357</v>
      </c>
      <c r="L53" s="3621"/>
      <c r="M53" s="2524" t="e">
        <f t="shared" ref="M53:O54" ca="1" si="0">D55</f>
        <v>#REF!</v>
      </c>
      <c r="N53" s="2522" t="str">
        <f t="shared" si="0"/>
        <v>销售额×税（费）率</v>
      </c>
      <c r="O53" s="2525" t="str">
        <f t="shared" si="0"/>
        <v>免征</v>
      </c>
    </row>
    <row r="54" spans="1:35" ht="12" customHeight="1">
      <c r="A54" s="2334" t="s">
        <v>1358</v>
      </c>
      <c r="B54" s="3582" t="s">
        <v>2282</v>
      </c>
      <c r="C54" s="3583"/>
      <c r="D54" s="1086" t="e">
        <f ca="1">C68</f>
        <v>#REF!</v>
      </c>
      <c r="E54" s="327" t="s">
        <v>1359</v>
      </c>
      <c r="F54" s="2553">
        <f>'数据-取费表'!B41</f>
        <v>5.6000000000000001E-2</v>
      </c>
      <c r="G54" s="2554"/>
      <c r="H54" s="2555"/>
      <c r="I54" s="1806"/>
      <c r="J54" s="2522">
        <v>3</v>
      </c>
      <c r="K54" s="3621" t="s">
        <v>1360</v>
      </c>
      <c r="L54" s="3621"/>
      <c r="M54" s="2524" t="e">
        <f t="shared" ca="1" si="0"/>
        <v>#REF!</v>
      </c>
      <c r="N54" s="2522" t="str">
        <f t="shared" si="0"/>
        <v>增值额×税（费）率</v>
      </c>
      <c r="O54" s="2526" t="str">
        <f t="shared" si="0"/>
        <v>免征</v>
      </c>
    </row>
    <row r="55" spans="1:35" ht="24" customHeight="1">
      <c r="A55" s="3571" t="s">
        <v>1361</v>
      </c>
      <c r="B55" s="3572"/>
      <c r="C55" s="3572"/>
      <c r="D55" s="2323" t="e">
        <f ca="1">IF(H55="个人住宅",0,ROUND(D45*I55,0))</f>
        <v>#REF!</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t="e">
        <f ca="1">D59</f>
        <v>#REF!</v>
      </c>
      <c r="N55" s="2039" t="str">
        <f>E59</f>
        <v>差额计税</v>
      </c>
      <c r="O55" s="2528">
        <f>F59</f>
        <v>0.01</v>
      </c>
    </row>
    <row r="56" spans="1:35" ht="24.75">
      <c r="A56" s="3571" t="s">
        <v>1363</v>
      </c>
      <c r="B56" s="3572"/>
      <c r="C56" s="3572"/>
      <c r="D56" s="2323" t="e">
        <f ca="1">IF(H56="个人住宅",D57,D58)</f>
        <v>#REF!</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0</v>
      </c>
      <c r="O57" s="2532"/>
      <c r="P57" s="2689" t="e">
        <f ca="1">N57/M49</f>
        <v>#VALUE!</v>
      </c>
    </row>
    <row r="58" spans="1:35" ht="24.75">
      <c r="A58" s="2334" t="s">
        <v>1352</v>
      </c>
      <c r="B58" s="3582" t="s">
        <v>1369</v>
      </c>
      <c r="C58" s="3556"/>
      <c r="D58" s="2323" t="e">
        <f ca="1">IF(H58="转让取得",C81,C97)</f>
        <v>#REF!</v>
      </c>
      <c r="E58" s="2333" t="s">
        <v>1364</v>
      </c>
      <c r="F58" s="302" t="s">
        <v>28</v>
      </c>
      <c r="G58" s="2554"/>
      <c r="H58" s="2557"/>
      <c r="I58" s="1807"/>
      <c r="J58" s="3621"/>
      <c r="K58" s="3621"/>
      <c r="L58" s="2529" t="s">
        <v>1370</v>
      </c>
      <c r="M58" s="2533"/>
      <c r="N58" s="2534" t="str">
        <f ca="1">NUMBERSTRING(INT(N57*10000),2)&amp;"元整"</f>
        <v>零元整</v>
      </c>
      <c r="O58" s="2535"/>
    </row>
    <row r="59" spans="1:35" ht="24.75" thickBot="1">
      <c r="A59" s="3624" t="s">
        <v>1371</v>
      </c>
      <c r="B59" s="3625"/>
      <c r="C59" s="362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t="e">
        <f ca="1">M49-N57</f>
        <v>#VALUE!</v>
      </c>
      <c r="O59" s="2538"/>
    </row>
    <row r="60" spans="1:35" ht="12" customHeight="1">
      <c r="A60" s="1808"/>
      <c r="B60" s="1746"/>
      <c r="C60" s="1746"/>
      <c r="D60" s="1746"/>
      <c r="E60" s="1577"/>
      <c r="F60" s="1807"/>
      <c r="G60" s="1807"/>
      <c r="H60" s="1809"/>
      <c r="I60" s="129"/>
      <c r="J60" s="3623"/>
      <c r="K60" s="3621"/>
      <c r="L60" s="2529" t="s">
        <v>1370</v>
      </c>
      <c r="M60" s="2533"/>
      <c r="N60" s="2534" t="e">
        <f ca="1">NUMBERSTRING(INT(N59*10000),2)&amp;"元整"</f>
        <v>#VALUE!</v>
      </c>
      <c r="O60" s="2535"/>
    </row>
    <row r="61" spans="1:35" ht="13.5" thickBot="1">
      <c r="A61" s="3569" t="s">
        <v>1373</v>
      </c>
      <c r="B61" s="3569"/>
      <c r="C61" s="3569"/>
      <c r="D61" s="3569"/>
      <c r="E61" s="3569"/>
      <c r="F61" s="1807"/>
      <c r="G61" s="1807"/>
      <c r="H61" s="1809"/>
      <c r="I61" s="129"/>
      <c r="J61" s="2522">
        <f>J59+1</f>
        <v>7</v>
      </c>
      <c r="K61" s="3621" t="s">
        <v>1374</v>
      </c>
      <c r="L61" s="3621"/>
      <c r="M61" s="2539"/>
      <c r="N61" s="2540" t="e">
        <f ca="1">ROUND(N59*10000/'数据-汇总表'!E3,0)</f>
        <v>#VALUE!</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6"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6"/>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比较法-办公</v>
      </c>
      <c r="D101" s="2585" t="str">
        <f>D4</f>
        <v>收益法 (元)</v>
      </c>
      <c r="E101" s="3643" t="s">
        <v>1431</v>
      </c>
      <c r="F101" s="3600"/>
      <c r="G101" s="1826" t="s">
        <v>1432</v>
      </c>
      <c r="H101" s="2594" t="e">
        <f ca="1">H118</f>
        <v>#REF!</v>
      </c>
      <c r="I101" s="129"/>
    </row>
    <row r="102" spans="1:35" ht="18.75" customHeight="1">
      <c r="A102" s="3602" t="s">
        <v>1433</v>
      </c>
      <c r="B102" s="2583" t="s">
        <v>1432</v>
      </c>
      <c r="C102" s="2584">
        <f ca="1">IF(D32="楼面单价",ROUND(C19,0),C19)</f>
        <v>384.02629999999999</v>
      </c>
      <c r="D102" s="2585">
        <f ca="1">IF(D32="楼面单价",ROUND(D19,0),D19)</f>
        <v>265.74239999999998</v>
      </c>
      <c r="E102" s="3643"/>
      <c r="F102" s="3600"/>
      <c r="G102" s="1826" t="s">
        <v>1434</v>
      </c>
      <c r="H102" s="2554" t="e">
        <f ca="1">I118</f>
        <v>#REF!</v>
      </c>
      <c r="I102" s="129"/>
    </row>
    <row r="103" spans="1:35" ht="42.75" customHeight="1">
      <c r="A103" s="3602"/>
      <c r="B103" s="2583" t="s">
        <v>1434</v>
      </c>
      <c r="C103" s="2586">
        <f ca="1">C20</f>
        <v>26399</v>
      </c>
      <c r="D103" s="2587">
        <f ca="1">D20</f>
        <v>18268</v>
      </c>
      <c r="E103" s="3637" t="s">
        <v>1435</v>
      </c>
      <c r="F103" s="3638"/>
      <c r="G103" s="1827" t="s">
        <v>1436</v>
      </c>
      <c r="H103" s="2594">
        <f>IF(D36="正常操作",H104+H105+H106,H105+H106)</f>
        <v>0</v>
      </c>
      <c r="I103" s="129"/>
    </row>
    <row r="104" spans="1:35" ht="18.75" customHeight="1">
      <c r="A104" s="360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t="e">
        <f ca="1">IF(E107="——","——",H101-H103)</f>
        <v>#REF!</v>
      </c>
      <c r="I107" s="129"/>
    </row>
    <row r="108" spans="1:35" ht="18.75" customHeight="1">
      <c r="A108" s="129"/>
      <c r="B108" s="129"/>
      <c r="C108" s="129"/>
      <c r="D108" s="129"/>
      <c r="E108" s="3599"/>
      <c r="F108" s="3600"/>
      <c r="G108" s="1826" t="s">
        <v>1434</v>
      </c>
      <c r="H108" s="2554">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145.47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4"/>
    </row>
    <row r="123" spans="1:27" ht="18.75" customHeight="1">
      <c r="A123" s="3570" t="s">
        <v>1452</v>
      </c>
      <c r="B123" s="3570"/>
      <c r="C123" s="3570"/>
      <c r="D123" s="3610" t="e">
        <f ca="1">NUMBERSTRING(INT(D122*10000),2)&amp;"元整"</f>
        <v>#REF!</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2.9094000000000002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2.9094000000000002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145.47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145.47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145.47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384.02629999999999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1957"/>
      <c r="Y4" s="3681" t="s">
        <v>1775</v>
      </c>
      <c r="Z4" s="3682"/>
      <c r="AA4" s="3701" t="s">
        <v>1771</v>
      </c>
      <c r="AB4" s="3701" t="s">
        <v>1772</v>
      </c>
      <c r="AC4" s="3668" t="s">
        <v>1773</v>
      </c>
    </row>
    <row r="5" spans="1:29" ht="15">
      <c r="A5" s="358"/>
      <c r="B5" s="359"/>
      <c r="C5" s="3697">
        <v>503</v>
      </c>
      <c r="D5" s="3692"/>
      <c r="E5" s="3704" t="s">
        <v>3403</v>
      </c>
      <c r="F5" s="3705"/>
      <c r="G5" s="3691" t="s">
        <v>3438</v>
      </c>
      <c r="H5" s="3692"/>
      <c r="I5" s="3691" t="s">
        <v>3438</v>
      </c>
      <c r="J5" s="3692"/>
      <c r="K5" s="559"/>
      <c r="L5" s="2714"/>
      <c r="M5" s="2715"/>
      <c r="N5" s="2715"/>
      <c r="O5" s="2715"/>
      <c r="P5" s="3677"/>
      <c r="Q5" s="3678"/>
      <c r="R5" s="3683"/>
      <c r="S5" s="3684"/>
      <c r="T5" s="3683"/>
      <c r="U5" s="3684"/>
      <c r="V5" s="3688"/>
      <c r="W5" s="3688"/>
      <c r="X5" s="1354"/>
      <c r="Y5" s="3683"/>
      <c r="Z5" s="3684"/>
      <c r="AA5" s="3702"/>
      <c r="AB5" s="3702"/>
      <c r="AC5" s="3669"/>
    </row>
    <row r="6" spans="1:29" ht="15.75" thickBot="1">
      <c r="A6" s="360"/>
      <c r="B6" s="361"/>
      <c r="C6" s="3698" t="s">
        <v>1677</v>
      </c>
      <c r="D6" s="3690"/>
      <c r="E6" s="3699" t="s">
        <v>3406</v>
      </c>
      <c r="F6" s="3700"/>
      <c r="G6" s="3689" t="s">
        <v>3405</v>
      </c>
      <c r="H6" s="3690"/>
      <c r="I6" s="3689" t="s">
        <v>3404</v>
      </c>
      <c r="J6" s="3690"/>
      <c r="K6" s="559" t="s">
        <v>1678</v>
      </c>
      <c r="L6" s="2714"/>
      <c r="M6" s="2715"/>
      <c r="N6" s="2715"/>
      <c r="O6" s="2715"/>
      <c r="P6" s="3679"/>
      <c r="Q6" s="3680"/>
      <c r="R6" s="3683"/>
      <c r="S6" s="3684"/>
      <c r="T6" s="3685"/>
      <c r="U6" s="3686"/>
      <c r="V6" s="3688"/>
      <c r="W6" s="3688"/>
      <c r="X6" s="1354"/>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5" t="s">
        <v>1683</v>
      </c>
      <c r="Z8" s="3694"/>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59" t="s">
        <v>1691</v>
      </c>
      <c r="Q15" s="1351" t="str">
        <f t="shared" si="6"/>
        <v>办公集聚程度</v>
      </c>
      <c r="R15" s="704" t="s">
        <v>14</v>
      </c>
      <c r="S15" s="705">
        <f t="shared" si="0"/>
        <v>100</v>
      </c>
      <c r="T15" s="704" t="s">
        <v>14</v>
      </c>
      <c r="U15" s="705">
        <f t="shared" si="1"/>
        <v>98</v>
      </c>
      <c r="V15" s="704" t="s">
        <v>14</v>
      </c>
      <c r="W15" s="705">
        <f t="shared" si="2"/>
        <v>98</v>
      </c>
      <c r="X15" s="1354"/>
      <c r="Y15" s="3661"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60"/>
      <c r="Q19" s="1351" t="str">
        <f>B19</f>
        <v>公共配套设施</v>
      </c>
      <c r="R19" s="704" t="s">
        <v>14</v>
      </c>
      <c r="S19" s="705">
        <f>F19</f>
        <v>100</v>
      </c>
      <c r="T19" s="704" t="s">
        <v>14</v>
      </c>
      <c r="U19" s="705">
        <f>H19</f>
        <v>102</v>
      </c>
      <c r="V19" s="704" t="s">
        <v>14</v>
      </c>
      <c r="W19" s="705">
        <f>J19</f>
        <v>102</v>
      </c>
      <c r="X19" s="1354"/>
      <c r="Y19" s="3662"/>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1351" t="str">
        <f t="shared" ref="Q27:Q47" si="11">B27</f>
        <v>楼层</v>
      </c>
      <c r="R27" s="704" t="s">
        <v>14</v>
      </c>
      <c r="S27" s="705">
        <f>F27</f>
        <v>100</v>
      </c>
      <c r="T27" s="704" t="s">
        <v>14</v>
      </c>
      <c r="U27" s="705">
        <f>H27</f>
        <v>100</v>
      </c>
      <c r="V27" s="704" t="s">
        <v>14</v>
      </c>
      <c r="W27" s="705">
        <f>J27</f>
        <v>100</v>
      </c>
      <c r="X27" s="1354"/>
      <c r="Y27" s="3662"/>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1351" t="str">
        <f t="shared" si="11"/>
        <v>建筑类型</v>
      </c>
      <c r="R33" s="704" t="s">
        <v>14</v>
      </c>
      <c r="S33" s="705">
        <f t="shared" si="12"/>
        <v>100</v>
      </c>
      <c r="T33" s="704" t="s">
        <v>14</v>
      </c>
      <c r="U33" s="705">
        <f t="shared" si="13"/>
        <v>100</v>
      </c>
      <c r="V33" s="704" t="s">
        <v>14</v>
      </c>
      <c r="W33" s="705">
        <f t="shared" si="14"/>
        <v>100</v>
      </c>
      <c r="X33" s="1354"/>
      <c r="Y33" s="3666"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145.47</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64"/>
      <c r="Q34" s="706" t="str">
        <f t="shared" si="11"/>
        <v>项目建筑规模</v>
      </c>
      <c r="R34" s="707" t="s">
        <v>14</v>
      </c>
      <c r="S34" s="708">
        <f t="shared" si="12"/>
        <v>95</v>
      </c>
      <c r="T34" s="707" t="s">
        <v>14</v>
      </c>
      <c r="U34" s="708">
        <f t="shared" si="13"/>
        <v>98</v>
      </c>
      <c r="V34" s="707" t="s">
        <v>14</v>
      </c>
      <c r="W34" s="708">
        <f t="shared" si="14"/>
        <v>99</v>
      </c>
      <c r="X34" s="709"/>
      <c r="Y34" s="3666"/>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100</v>
      </c>
      <c r="V37" s="704" t="s">
        <v>14</v>
      </c>
      <c r="W37" s="705">
        <f t="shared" si="14"/>
        <v>100</v>
      </c>
      <c r="X37" s="1354"/>
      <c r="Y37" s="3666"/>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64"/>
      <c r="Q43" s="1351" t="str">
        <f t="shared" si="11"/>
        <v>内部装修</v>
      </c>
      <c r="R43" s="704" t="s">
        <v>14</v>
      </c>
      <c r="S43" s="705">
        <f t="shared" si="12"/>
        <v>100</v>
      </c>
      <c r="T43" s="704" t="s">
        <v>14</v>
      </c>
      <c r="U43" s="705">
        <f t="shared" si="13"/>
        <v>101</v>
      </c>
      <c r="V43" s="704" t="s">
        <v>14</v>
      </c>
      <c r="W43" s="705">
        <f t="shared" si="14"/>
        <v>101</v>
      </c>
      <c r="X43" s="1354"/>
      <c r="Y43" s="3666"/>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64"/>
      <c r="Q45" s="1342" t="str">
        <f t="shared" si="11"/>
        <v>销售方式</v>
      </c>
      <c r="R45" s="700" t="s">
        <v>14</v>
      </c>
      <c r="S45" s="701">
        <f t="shared" si="12"/>
        <v>98</v>
      </c>
      <c r="T45" s="700" t="s">
        <v>14</v>
      </c>
      <c r="U45" s="701">
        <f t="shared" si="13"/>
        <v>100</v>
      </c>
      <c r="V45" s="700" t="s">
        <v>14</v>
      </c>
      <c r="W45" s="701">
        <f t="shared" si="14"/>
        <v>100</v>
      </c>
      <c r="X45" s="702"/>
      <c r="Y45" s="3666"/>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53" t="str">
        <f>A48</f>
        <v>成交单价（元/平方米）</v>
      </c>
      <c r="Q48" s="3654"/>
      <c r="R48" s="3655">
        <f>E48</f>
        <v>25000</v>
      </c>
      <c r="S48" s="3655"/>
      <c r="T48" s="3655">
        <f>G48</f>
        <v>27000</v>
      </c>
      <c r="U48" s="3655"/>
      <c r="V48" s="3655">
        <f>I48</f>
        <v>29000</v>
      </c>
      <c r="W48" s="3655"/>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53" t="str">
        <f>A49</f>
        <v>比较价值（元/平方米）</v>
      </c>
      <c r="Q49" s="3654"/>
      <c r="R49" s="3655">
        <f>IF(F1="售价",ROUND(PRODUCT(R48,AA7:AA47),0),ROUND(PRODUCT(R48,AA7:AA47),1))</f>
        <v>25574</v>
      </c>
      <c r="S49" s="3655"/>
      <c r="T49" s="3655">
        <f>IF(F1="售价",ROUND(PRODUCT(T48,AB7:AB47),0),ROUND(PRODUCT(T48,AB7:AB47),1))</f>
        <v>25990</v>
      </c>
      <c r="U49" s="3655"/>
      <c r="V49" s="3655">
        <f>IF(F1="售价",ROUND(PRODUCT(V48,AC7:AC47),0),ROUND(PRODUCT(V48,AC7:AC47),1))</f>
        <v>27633</v>
      </c>
      <c r="W49" s="3655"/>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26399</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265.74239999999998</v>
      </c>
      <c r="C2" s="1386" t="s">
        <v>879</v>
      </c>
      <c r="D2" s="1470">
        <f ca="1">C40+J29+L46</f>
        <v>2657424</v>
      </c>
      <c r="E2" s="1387" t="s">
        <v>880</v>
      </c>
      <c r="F2" s="1388"/>
      <c r="G2" s="2705"/>
      <c r="H2" s="2694"/>
      <c r="I2" s="2694"/>
      <c r="J2" s="2694"/>
      <c r="K2" s="2695"/>
      <c r="L2" s="2694"/>
      <c r="M2" s="2694"/>
    </row>
    <row r="3" spans="1:37" ht="18" customHeight="1" thickBot="1">
      <c r="A3" s="1389" t="s">
        <v>881</v>
      </c>
      <c r="B3" s="1390">
        <f ca="1">IF(ISERROR(D2/F43),0,ROUND(D2/F43,0))</f>
        <v>18268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158159</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157962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145.47</v>
      </c>
      <c r="G7" s="1383"/>
      <c r="H7" s="304"/>
      <c r="I7" s="3707"/>
      <c r="J7" s="306"/>
      <c r="K7" s="307"/>
      <c r="L7" s="302" t="s">
        <v>697</v>
      </c>
      <c r="M7" s="303">
        <f ca="1">F7</f>
        <v>145.47</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197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725604</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581880</v>
      </c>
      <c r="D14" s="1344" t="s">
        <v>708</v>
      </c>
      <c r="E14" s="1341"/>
      <c r="F14" s="319"/>
      <c r="G14" s="1383"/>
      <c r="H14" s="981" t="s">
        <v>398</v>
      </c>
      <c r="I14" s="302" t="s">
        <v>709</v>
      </c>
      <c r="J14" s="21">
        <f ca="1">C29</f>
        <v>834028</v>
      </c>
      <c r="K14" s="12"/>
      <c r="L14" s="806"/>
      <c r="M14" s="807"/>
    </row>
    <row r="15" spans="1:37" s="1396" customFormat="1" ht="18" customHeight="1" thickBot="1">
      <c r="A15" s="981" t="s">
        <v>399</v>
      </c>
      <c r="B15" s="302" t="s">
        <v>710</v>
      </c>
      <c r="C15" s="21">
        <f ca="1">ROUND(C14*F15,0)</f>
        <v>17456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12510</v>
      </c>
      <c r="K16" s="1086" t="s">
        <v>715</v>
      </c>
      <c r="L16" s="1087"/>
      <c r="M16" s="1071"/>
    </row>
    <row r="17" spans="1:37" s="1396" customFormat="1" ht="18" customHeight="1">
      <c r="A17" s="981" t="s">
        <v>681</v>
      </c>
      <c r="B17" s="302" t="s">
        <v>716</v>
      </c>
      <c r="C17" s="21">
        <f ca="1">ROUND(F17*(F43+INDIRECT("'数据-取费表'!S"&amp;$G$1)),0)</f>
        <v>29094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8728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637158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12743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12510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22422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-12510</v>
      </c>
      <c r="K25" s="1094" t="s">
        <v>753</v>
      </c>
      <c r="L25" s="1095"/>
      <c r="M25" s="1096"/>
    </row>
    <row r="26" spans="1:37" ht="18" customHeight="1">
      <c r="A26" s="981" t="s">
        <v>397</v>
      </c>
      <c r="B26" s="302" t="s">
        <v>754</v>
      </c>
      <c r="C26" s="21">
        <f ca="1">ROUND((C19+C20)*F26,0)</f>
        <v>97485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834028</v>
      </c>
      <c r="D29" s="1091"/>
      <c r="E29" s="1089"/>
      <c r="F29" s="1092"/>
      <c r="G29" s="1395"/>
      <c r="H29" s="334" t="s">
        <v>396</v>
      </c>
      <c r="I29" s="335" t="s">
        <v>768</v>
      </c>
      <c r="J29" s="336">
        <f ca="1">ROUND(J26/(1+F40)^F41,0)</f>
        <v>0</v>
      </c>
      <c r="K29" s="337" t="s">
        <v>769</v>
      </c>
      <c r="L29" s="338"/>
      <c r="M29" s="339">
        <f ca="1">INDIRECT("'数据-取费表'!k"&amp;$G$1)</f>
        <v>145.47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26478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8425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18053</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12510</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1088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116501</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2641490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18158</v>
      </c>
      <c r="D43" s="337" t="s">
        <v>777</v>
      </c>
      <c r="E43" s="338" t="s">
        <v>778</v>
      </c>
      <c r="F43" s="339">
        <f ca="1">INDIRECT("'数据-取费表'!k"&amp;$G$1)</f>
        <v>145.47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-285.8929</v>
      </c>
      <c r="D45" s="3431" t="s">
        <v>3348</v>
      </c>
      <c r="E45" s="1399"/>
      <c r="F45" s="1399"/>
      <c r="O45" s="1402" t="s">
        <v>808</v>
      </c>
      <c r="P45" s="1460"/>
      <c r="Q45" s="1460"/>
      <c r="R45" s="1460"/>
    </row>
    <row r="46" spans="1:18" s="1383" customFormat="1" ht="13.5" thickBot="1">
      <c r="A46" s="1403" t="s">
        <v>809</v>
      </c>
      <c r="C46" s="1404">
        <f ca="1">ROUND(C45,0)</f>
        <v>-286</v>
      </c>
      <c r="D46" s="1405" t="str">
        <f>C2</f>
        <v>万元</v>
      </c>
      <c r="I46" s="1406" t="s">
        <v>810</v>
      </c>
      <c r="J46" s="1407"/>
      <c r="K46" s="1408"/>
      <c r="L46" s="1409">
        <f ca="1">IF(M47="住宅",0,IF(L48&gt;J51,L60,J60))</f>
        <v>15934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2641490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15934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834028</v>
      </c>
      <c r="R49" s="1419" t="s">
        <v>818</v>
      </c>
    </row>
    <row r="50" spans="1:18" s="1383" customFormat="1" ht="13.5" thickBot="1">
      <c r="A50" s="975"/>
      <c r="B50" s="978"/>
      <c r="C50" s="979"/>
      <c r="D50" s="952"/>
      <c r="E50" s="1055" t="s">
        <v>697</v>
      </c>
      <c r="F50" s="1056">
        <f ca="1">F7</f>
        <v>145.47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1143407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2657424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725604</v>
      </c>
      <c r="D56" s="1446"/>
      <c r="E56" s="1447"/>
      <c r="F56" s="1439"/>
      <c r="I56" s="1448" t="s">
        <v>842</v>
      </c>
      <c r="J56" s="3463" t="s">
        <v>3445</v>
      </c>
      <c r="K56" s="1420" t="s">
        <v>843</v>
      </c>
      <c r="L56" s="1423" t="str">
        <f ca="1">IF(L48&lt;J51,"——",L48-J51)</f>
        <v>——</v>
      </c>
      <c r="O56" s="1417" t="s">
        <v>403</v>
      </c>
      <c r="P56" s="1418" t="s">
        <v>817</v>
      </c>
      <c r="Q56" s="1419">
        <f ca="1">C40+J29</f>
        <v>2641490</v>
      </c>
      <c r="R56" s="1419" t="s">
        <v>818</v>
      </c>
    </row>
    <row r="57" spans="1:18" s="1383" customFormat="1" ht="24.75" thickBot="1">
      <c r="A57" s="1450"/>
      <c r="B57" s="949" t="s">
        <v>767</v>
      </c>
      <c r="C57" s="238">
        <f ca="1">C29</f>
        <v>834028</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13598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333611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15934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2641490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12510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1088</v>
      </c>
      <c r="D65" s="963" t="s">
        <v>743</v>
      </c>
      <c r="E65" s="949" t="s">
        <v>744</v>
      </c>
      <c r="F65" s="330">
        <f t="shared" ca="1" si="0"/>
        <v>1.5E-3</v>
      </c>
      <c r="I65" s="1461" t="s">
        <v>867</v>
      </c>
      <c r="J65" s="1462">
        <v>40</v>
      </c>
      <c r="K65" s="1462">
        <v>30</v>
      </c>
      <c r="L65" s="1462">
        <v>50</v>
      </c>
      <c r="M65" s="1464">
        <v>0.02</v>
      </c>
      <c r="O65" s="1417" t="s">
        <v>403</v>
      </c>
      <c r="P65" s="1418" t="s">
        <v>868</v>
      </c>
      <c r="Q65" s="1419">
        <f ca="1">C40+J29</f>
        <v>2641490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-13598</v>
      </c>
      <c r="D67" s="962" t="s">
        <v>753</v>
      </c>
      <c r="E67" s="967"/>
      <c r="F67" s="968"/>
      <c r="O67" s="1427" t="s">
        <v>405</v>
      </c>
      <c r="P67" s="1418" t="s">
        <v>850</v>
      </c>
      <c r="Q67" s="1465">
        <f ca="1">L51</f>
        <v>1143407</v>
      </c>
      <c r="R67" s="1419" t="s">
        <v>870</v>
      </c>
    </row>
    <row r="68" spans="1:18" s="1383" customFormat="1" ht="16.5" thickBot="1">
      <c r="A68" s="946" t="s">
        <v>395</v>
      </c>
      <c r="B68" s="947" t="s">
        <v>774</v>
      </c>
      <c r="C68" s="301">
        <f ca="1">ROUND(C67*(1-((1+F70)/(1+F68))^F69)/(F68-F70),0)</f>
        <v>-217439</v>
      </c>
      <c r="D68" s="964" t="s">
        <v>758</v>
      </c>
      <c r="E68" s="949" t="s">
        <v>759</v>
      </c>
      <c r="F68" s="312">
        <f ca="1">F40</f>
        <v>5.5E-2</v>
      </c>
      <c r="O68" s="1427" t="s">
        <v>406</v>
      </c>
      <c r="P68" s="1466" t="s">
        <v>871</v>
      </c>
      <c r="Q68" s="1419">
        <f ca="1">ROUND(Q69-Q70*Q71,0)</f>
        <v>62081</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116501</v>
      </c>
      <c r="R69" s="1419" t="s">
        <v>818</v>
      </c>
    </row>
    <row r="70" spans="1:18" s="1383" customFormat="1" ht="13.5" thickBot="1">
      <c r="A70" s="953"/>
      <c r="B70" s="954"/>
      <c r="C70" s="310"/>
      <c r="D70" s="965"/>
      <c r="E70" s="949" t="s">
        <v>766</v>
      </c>
      <c r="F70" s="1053"/>
      <c r="O70" s="1427" t="s">
        <v>412</v>
      </c>
      <c r="P70" s="1466" t="s">
        <v>873</v>
      </c>
      <c r="Q70" s="1419">
        <f ca="1">C13</f>
        <v>725604</v>
      </c>
      <c r="R70" s="1419" t="s">
        <v>818</v>
      </c>
    </row>
    <row r="71" spans="1:18" s="1383" customFormat="1" ht="13.5" thickBot="1">
      <c r="A71" s="970" t="s">
        <v>396</v>
      </c>
      <c r="B71" s="971" t="s">
        <v>776</v>
      </c>
      <c r="C71" s="336">
        <f ca="1">ROUND(C68/F71,0)</f>
        <v>-1495</v>
      </c>
      <c r="D71" s="972" t="s">
        <v>777</v>
      </c>
      <c r="E71" s="973" t="s">
        <v>778</v>
      </c>
      <c r="F71" s="339">
        <f ca="1">F43</f>
        <v>145.47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54420</v>
      </c>
      <c r="D75" s="1383"/>
      <c r="E75" s="1383"/>
      <c r="F75" s="1383"/>
      <c r="K75" s="1401"/>
      <c r="L75" s="1383"/>
      <c r="O75" s="1417" t="s">
        <v>409</v>
      </c>
      <c r="P75" s="1418" t="s">
        <v>838</v>
      </c>
      <c r="Q75" s="1419">
        <f ca="1">Q65+Q66</f>
        <v>2641490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5.0900000000000001E-2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3454"/>
      <c r="Y4" s="3681" t="s">
        <v>1775</v>
      </c>
      <c r="Z4" s="3682"/>
      <c r="AA4" s="3701" t="s">
        <v>1771</v>
      </c>
      <c r="AB4" s="3701" t="s">
        <v>1772</v>
      </c>
      <c r="AC4" s="3668" t="s">
        <v>1773</v>
      </c>
    </row>
    <row r="5" spans="1:29" ht="15">
      <c r="A5" s="358"/>
      <c r="B5" s="359"/>
      <c r="C5" s="3697">
        <v>503</v>
      </c>
      <c r="D5" s="3692"/>
      <c r="E5" s="3704" t="s">
        <v>3439</v>
      </c>
      <c r="F5" s="3705"/>
      <c r="G5" s="3691" t="s">
        <v>3440</v>
      </c>
      <c r="H5" s="3692"/>
      <c r="I5" s="3691" t="s">
        <v>3440</v>
      </c>
      <c r="J5" s="3692"/>
      <c r="K5" s="559"/>
      <c r="L5" s="2714"/>
      <c r="M5" s="2715"/>
      <c r="N5" s="2715"/>
      <c r="O5" s="2715"/>
      <c r="P5" s="3677"/>
      <c r="Q5" s="3678"/>
      <c r="R5" s="3683"/>
      <c r="S5" s="3684"/>
      <c r="T5" s="3683"/>
      <c r="U5" s="3684"/>
      <c r="V5" s="3688"/>
      <c r="W5" s="3688"/>
      <c r="X5" s="3455"/>
      <c r="Y5" s="3683"/>
      <c r="Z5" s="3684"/>
      <c r="AA5" s="3702"/>
      <c r="AB5" s="3702"/>
      <c r="AC5" s="3669"/>
    </row>
    <row r="6" spans="1:29" ht="15.75" thickBot="1">
      <c r="A6" s="360"/>
      <c r="B6" s="361"/>
      <c r="C6" s="3698" t="s">
        <v>1677</v>
      </c>
      <c r="D6" s="3690"/>
      <c r="E6" s="3699"/>
      <c r="F6" s="3700"/>
      <c r="G6" s="3689"/>
      <c r="H6" s="3690"/>
      <c r="I6" s="3689"/>
      <c r="J6" s="3690"/>
      <c r="K6" s="559" t="s">
        <v>1678</v>
      </c>
      <c r="L6" s="2714"/>
      <c r="M6" s="2715"/>
      <c r="N6" s="2715"/>
      <c r="O6" s="2715"/>
      <c r="P6" s="3679"/>
      <c r="Q6" s="3680"/>
      <c r="R6" s="3683"/>
      <c r="S6" s="3684"/>
      <c r="T6" s="3685"/>
      <c r="U6" s="3686"/>
      <c r="V6" s="3688"/>
      <c r="W6" s="3688"/>
      <c r="X6" s="3455"/>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3" t="s">
        <v>1683</v>
      </c>
      <c r="Q8" s="3694"/>
      <c r="R8" s="700" t="s">
        <v>14</v>
      </c>
      <c r="S8" s="701">
        <f t="shared" si="0"/>
        <v>102</v>
      </c>
      <c r="T8" s="700" t="s">
        <v>14</v>
      </c>
      <c r="U8" s="701">
        <f t="shared" si="1"/>
        <v>102</v>
      </c>
      <c r="V8" s="700" t="s">
        <v>14</v>
      </c>
      <c r="W8" s="701">
        <f t="shared" si="2"/>
        <v>102</v>
      </c>
      <c r="X8" s="702"/>
      <c r="Y8" s="3695"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3450" t="str">
        <f t="shared" ref="Q9:Q15" si="6">B9</f>
        <v>用途</v>
      </c>
      <c r="R9" s="700" t="s">
        <v>14</v>
      </c>
      <c r="S9" s="701">
        <f t="shared" si="0"/>
        <v>100</v>
      </c>
      <c r="T9" s="700" t="s">
        <v>14</v>
      </c>
      <c r="U9" s="701">
        <f t="shared" si="1"/>
        <v>100</v>
      </c>
      <c r="V9" s="700" t="s">
        <v>14</v>
      </c>
      <c r="W9" s="701">
        <f t="shared" si="2"/>
        <v>100</v>
      </c>
      <c r="X9" s="702"/>
      <c r="Y9" s="3557"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3450" t="str">
        <f t="shared" si="6"/>
        <v>土地使用年限（年）</v>
      </c>
      <c r="R10" s="700" t="s">
        <v>14</v>
      </c>
      <c r="S10" s="701">
        <f t="shared" si="0"/>
        <v>100</v>
      </c>
      <c r="T10" s="700" t="s">
        <v>14</v>
      </c>
      <c r="U10" s="701">
        <f t="shared" si="1"/>
        <v>100</v>
      </c>
      <c r="V10" s="700" t="s">
        <v>14</v>
      </c>
      <c r="W10" s="701">
        <f t="shared" si="2"/>
        <v>100</v>
      </c>
      <c r="X10" s="702"/>
      <c r="Y10" s="3557"/>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3450" t="str">
        <f t="shared" si="6"/>
        <v>容积率</v>
      </c>
      <c r="R11" s="700" t="s">
        <v>14</v>
      </c>
      <c r="S11" s="701">
        <f t="shared" si="0"/>
        <v>100</v>
      </c>
      <c r="T11" s="700" t="s">
        <v>14</v>
      </c>
      <c r="U11" s="701">
        <f t="shared" si="1"/>
        <v>100</v>
      </c>
      <c r="V11" s="700" t="s">
        <v>14</v>
      </c>
      <c r="W11" s="701">
        <f t="shared" si="2"/>
        <v>100</v>
      </c>
      <c r="X11" s="702"/>
      <c r="Y11" s="3557"/>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3450">
        <f t="shared" si="6"/>
        <v>111</v>
      </c>
      <c r="R12" s="700" t="s">
        <v>14</v>
      </c>
      <c r="S12" s="701">
        <f t="shared" si="0"/>
        <v>100</v>
      </c>
      <c r="T12" s="700" t="s">
        <v>14</v>
      </c>
      <c r="U12" s="701">
        <f t="shared" si="1"/>
        <v>100</v>
      </c>
      <c r="V12" s="700" t="s">
        <v>14</v>
      </c>
      <c r="W12" s="701">
        <f t="shared" si="2"/>
        <v>100</v>
      </c>
      <c r="X12" s="702"/>
      <c r="Y12" s="3557"/>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3450">
        <f t="shared" si="6"/>
        <v>111</v>
      </c>
      <c r="R13" s="700" t="s">
        <v>14</v>
      </c>
      <c r="S13" s="701">
        <f t="shared" si="0"/>
        <v>100</v>
      </c>
      <c r="T13" s="700" t="s">
        <v>14</v>
      </c>
      <c r="U13" s="701">
        <f t="shared" si="1"/>
        <v>100</v>
      </c>
      <c r="V13" s="700" t="s">
        <v>14</v>
      </c>
      <c r="W13" s="701">
        <f t="shared" si="2"/>
        <v>100</v>
      </c>
      <c r="X13" s="702"/>
      <c r="Y13" s="3557"/>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3450">
        <f t="shared" si="6"/>
        <v>111</v>
      </c>
      <c r="R14" s="700" t="s">
        <v>14</v>
      </c>
      <c r="S14" s="701">
        <f t="shared" si="0"/>
        <v>100</v>
      </c>
      <c r="T14" s="700" t="s">
        <v>14</v>
      </c>
      <c r="U14" s="701">
        <f t="shared" si="1"/>
        <v>100</v>
      </c>
      <c r="V14" s="700" t="s">
        <v>14</v>
      </c>
      <c r="W14" s="701">
        <f t="shared" si="2"/>
        <v>100</v>
      </c>
      <c r="X14" s="702"/>
      <c r="Y14" s="3557"/>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9" t="s">
        <v>1691</v>
      </c>
      <c r="Q15" s="3451" t="str">
        <f t="shared" si="6"/>
        <v>办公集聚程度</v>
      </c>
      <c r="R15" s="704" t="s">
        <v>14</v>
      </c>
      <c r="S15" s="705">
        <f t="shared" si="0"/>
        <v>100</v>
      </c>
      <c r="T15" s="704" t="s">
        <v>14</v>
      </c>
      <c r="U15" s="705">
        <f t="shared" si="1"/>
        <v>100</v>
      </c>
      <c r="V15" s="704" t="s">
        <v>14</v>
      </c>
      <c r="W15" s="705">
        <f t="shared" si="2"/>
        <v>100</v>
      </c>
      <c r="X15" s="3455"/>
      <c r="Y15" s="3661"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60"/>
      <c r="Q16" s="3451"/>
      <c r="R16" s="704"/>
      <c r="S16" s="705"/>
      <c r="T16" s="704"/>
      <c r="U16" s="705"/>
      <c r="V16" s="704"/>
      <c r="W16" s="705"/>
      <c r="X16" s="3455"/>
      <c r="Y16" s="3662"/>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3451" t="str">
        <f>B17</f>
        <v>交通便捷度</v>
      </c>
      <c r="R17" s="704" t="s">
        <v>14</v>
      </c>
      <c r="S17" s="705">
        <f>F17</f>
        <v>100</v>
      </c>
      <c r="T17" s="704" t="s">
        <v>14</v>
      </c>
      <c r="U17" s="705">
        <f>H17</f>
        <v>100</v>
      </c>
      <c r="V17" s="704" t="s">
        <v>14</v>
      </c>
      <c r="W17" s="705">
        <f>J17</f>
        <v>100</v>
      </c>
      <c r="X17" s="3455"/>
      <c r="Y17" s="3662"/>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3451"/>
      <c r="R18" s="704"/>
      <c r="S18" s="705"/>
      <c r="T18" s="704"/>
      <c r="U18" s="705"/>
      <c r="V18" s="704"/>
      <c r="W18" s="705"/>
      <c r="X18" s="3455"/>
      <c r="Y18" s="3662"/>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60"/>
      <c r="Q19" s="3451" t="str">
        <f>B19</f>
        <v>公共配套设施</v>
      </c>
      <c r="R19" s="704" t="s">
        <v>14</v>
      </c>
      <c r="S19" s="705">
        <f>F19</f>
        <v>100</v>
      </c>
      <c r="T19" s="704" t="s">
        <v>14</v>
      </c>
      <c r="U19" s="705">
        <f>H19</f>
        <v>100</v>
      </c>
      <c r="V19" s="704" t="s">
        <v>14</v>
      </c>
      <c r="W19" s="705">
        <f>J19</f>
        <v>100</v>
      </c>
      <c r="X19" s="3455"/>
      <c r="Y19" s="3662"/>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60"/>
      <c r="Q20" s="3451"/>
      <c r="R20" s="704"/>
      <c r="S20" s="705"/>
      <c r="T20" s="704"/>
      <c r="U20" s="705"/>
      <c r="V20" s="704"/>
      <c r="W20" s="705"/>
      <c r="X20" s="3455"/>
      <c r="Y20" s="3662"/>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3451" t="str">
        <f>B21</f>
        <v>基础设施水平</v>
      </c>
      <c r="R21" s="704" t="s">
        <v>14</v>
      </c>
      <c r="S21" s="705">
        <f>F21</f>
        <v>100</v>
      </c>
      <c r="T21" s="704" t="s">
        <v>14</v>
      </c>
      <c r="U21" s="705">
        <f>H21</f>
        <v>100</v>
      </c>
      <c r="V21" s="704" t="s">
        <v>14</v>
      </c>
      <c r="W21" s="705">
        <f>J21</f>
        <v>100</v>
      </c>
      <c r="X21" s="3455"/>
      <c r="Y21" s="3662"/>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3451"/>
      <c r="R22" s="704"/>
      <c r="S22" s="705"/>
      <c r="T22" s="704"/>
      <c r="U22" s="705"/>
      <c r="V22" s="704"/>
      <c r="W22" s="705"/>
      <c r="X22" s="3455"/>
      <c r="Y22" s="3662"/>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3451" t="str">
        <f>B23</f>
        <v>环境质量</v>
      </c>
      <c r="R23" s="704" t="s">
        <v>14</v>
      </c>
      <c r="S23" s="705">
        <f>F23</f>
        <v>100</v>
      </c>
      <c r="T23" s="704" t="s">
        <v>14</v>
      </c>
      <c r="U23" s="705">
        <f>H23</f>
        <v>100</v>
      </c>
      <c r="V23" s="704" t="s">
        <v>14</v>
      </c>
      <c r="W23" s="705">
        <f>J23</f>
        <v>100</v>
      </c>
      <c r="X23" s="3455"/>
      <c r="Y23" s="3662"/>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3451"/>
      <c r="R24" s="704"/>
      <c r="S24" s="705"/>
      <c r="T24" s="704"/>
      <c r="U24" s="705"/>
      <c r="V24" s="704"/>
      <c r="W24" s="705"/>
      <c r="X24" s="3455"/>
      <c r="Y24" s="3662"/>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3451" t="str">
        <f>B25</f>
        <v>毗邻道路的类型与等级</v>
      </c>
      <c r="R25" s="704" t="s">
        <v>14</v>
      </c>
      <c r="S25" s="705">
        <f>F25</f>
        <v>100</v>
      </c>
      <c r="T25" s="704" t="s">
        <v>14</v>
      </c>
      <c r="U25" s="705">
        <f>H25</f>
        <v>100</v>
      </c>
      <c r="V25" s="704" t="s">
        <v>14</v>
      </c>
      <c r="W25" s="705">
        <f>J25</f>
        <v>100</v>
      </c>
      <c r="X25" s="3455"/>
      <c r="Y25" s="3662"/>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60"/>
      <c r="Q26" s="3451"/>
      <c r="R26" s="704"/>
      <c r="S26" s="705"/>
      <c r="T26" s="704"/>
      <c r="U26" s="705"/>
      <c r="V26" s="704"/>
      <c r="W26" s="705"/>
      <c r="X26" s="3455"/>
      <c r="Y26" s="3662"/>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3451" t="str">
        <f t="shared" ref="Q27:Q47" si="11">B27</f>
        <v>楼层</v>
      </c>
      <c r="R27" s="704" t="s">
        <v>14</v>
      </c>
      <c r="S27" s="705">
        <f>F27</f>
        <v>100</v>
      </c>
      <c r="T27" s="704" t="s">
        <v>14</v>
      </c>
      <c r="U27" s="705">
        <f>H27</f>
        <v>100</v>
      </c>
      <c r="V27" s="704" t="s">
        <v>14</v>
      </c>
      <c r="W27" s="705">
        <f>J27</f>
        <v>100</v>
      </c>
      <c r="X27" s="3455"/>
      <c r="Y27" s="3662"/>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3450" t="str">
        <f t="shared" si="11"/>
        <v>朝向</v>
      </c>
      <c r="R28" s="700" t="s">
        <v>14</v>
      </c>
      <c r="S28" s="701">
        <f>F28</f>
        <v>100</v>
      </c>
      <c r="T28" s="700" t="s">
        <v>14</v>
      </c>
      <c r="U28" s="701">
        <f>H28</f>
        <v>100</v>
      </c>
      <c r="V28" s="700" t="s">
        <v>14</v>
      </c>
      <c r="W28" s="701">
        <f>J28</f>
        <v>100</v>
      </c>
      <c r="X28" s="702"/>
      <c r="Y28" s="3662"/>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3451">
        <f t="shared" si="11"/>
        <v>111</v>
      </c>
      <c r="R29" s="704" t="s">
        <v>14</v>
      </c>
      <c r="S29" s="705">
        <f t="shared" ref="S29:S47" si="12">F29</f>
        <v>100</v>
      </c>
      <c r="T29" s="704" t="s">
        <v>14</v>
      </c>
      <c r="U29" s="705">
        <f t="shared" ref="U29:U47" si="13">H29</f>
        <v>100</v>
      </c>
      <c r="V29" s="704" t="s">
        <v>14</v>
      </c>
      <c r="W29" s="705">
        <f t="shared" ref="W29:W47" si="14">J29</f>
        <v>100</v>
      </c>
      <c r="X29" s="3455"/>
      <c r="Y29" s="3662"/>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3451">
        <f t="shared" si="11"/>
        <v>111</v>
      </c>
      <c r="R30" s="704" t="s">
        <v>14</v>
      </c>
      <c r="S30" s="705">
        <f t="shared" si="12"/>
        <v>100</v>
      </c>
      <c r="T30" s="704" t="s">
        <v>14</v>
      </c>
      <c r="U30" s="705">
        <f t="shared" si="13"/>
        <v>100</v>
      </c>
      <c r="V30" s="704" t="s">
        <v>14</v>
      </c>
      <c r="W30" s="705">
        <f t="shared" si="14"/>
        <v>100</v>
      </c>
      <c r="X30" s="3455"/>
      <c r="Y30" s="3662"/>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3451">
        <f t="shared" si="11"/>
        <v>111</v>
      </c>
      <c r="R31" s="704" t="s">
        <v>14</v>
      </c>
      <c r="S31" s="705">
        <f t="shared" si="12"/>
        <v>100</v>
      </c>
      <c r="T31" s="704" t="s">
        <v>14</v>
      </c>
      <c r="U31" s="705">
        <f t="shared" si="13"/>
        <v>100</v>
      </c>
      <c r="V31" s="704" t="s">
        <v>14</v>
      </c>
      <c r="W31" s="705">
        <f t="shared" si="14"/>
        <v>100</v>
      </c>
      <c r="X31" s="3455"/>
      <c r="Y31" s="3662"/>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3451">
        <f t="shared" si="11"/>
        <v>111</v>
      </c>
      <c r="R32" s="704" t="s">
        <v>14</v>
      </c>
      <c r="S32" s="705">
        <f t="shared" si="12"/>
        <v>100</v>
      </c>
      <c r="T32" s="704" t="s">
        <v>14</v>
      </c>
      <c r="U32" s="705">
        <f t="shared" si="13"/>
        <v>100</v>
      </c>
      <c r="V32" s="704" t="s">
        <v>14</v>
      </c>
      <c r="W32" s="705">
        <f t="shared" si="14"/>
        <v>100</v>
      </c>
      <c r="X32" s="3455"/>
      <c r="Y32" s="3662"/>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3451" t="str">
        <f t="shared" si="11"/>
        <v>建筑类型</v>
      </c>
      <c r="R33" s="704" t="s">
        <v>14</v>
      </c>
      <c r="S33" s="705">
        <f t="shared" si="12"/>
        <v>100</v>
      </c>
      <c r="T33" s="704" t="s">
        <v>14</v>
      </c>
      <c r="U33" s="705">
        <f t="shared" si="13"/>
        <v>100</v>
      </c>
      <c r="V33" s="704" t="s">
        <v>14</v>
      </c>
      <c r="W33" s="705">
        <f t="shared" si="14"/>
        <v>100</v>
      </c>
      <c r="X33" s="3455"/>
      <c r="Y33" s="3666"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145.47</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64"/>
      <c r="Q34" s="706" t="str">
        <f t="shared" si="11"/>
        <v>项目建筑规模</v>
      </c>
      <c r="R34" s="707" t="s">
        <v>14</v>
      </c>
      <c r="S34" s="708">
        <f t="shared" si="12"/>
        <v>100</v>
      </c>
      <c r="T34" s="707" t="s">
        <v>14</v>
      </c>
      <c r="U34" s="708">
        <f t="shared" si="13"/>
        <v>100</v>
      </c>
      <c r="V34" s="707" t="s">
        <v>14</v>
      </c>
      <c r="W34" s="708">
        <f t="shared" si="14"/>
        <v>100</v>
      </c>
      <c r="X34" s="709"/>
      <c r="Y34" s="3666"/>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3451" t="str">
        <f t="shared" si="11"/>
        <v>建筑结构</v>
      </c>
      <c r="R35" s="704" t="s">
        <v>14</v>
      </c>
      <c r="S35" s="705">
        <f t="shared" si="12"/>
        <v>100</v>
      </c>
      <c r="T35" s="704" t="s">
        <v>14</v>
      </c>
      <c r="U35" s="705">
        <f t="shared" si="13"/>
        <v>100</v>
      </c>
      <c r="V35" s="704" t="s">
        <v>14</v>
      </c>
      <c r="W35" s="705">
        <f t="shared" si="14"/>
        <v>100</v>
      </c>
      <c r="X35" s="3455"/>
      <c r="Y35" s="3666"/>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3451" t="str">
        <f t="shared" si="11"/>
        <v>公共部分装修</v>
      </c>
      <c r="R36" s="704" t="s">
        <v>14</v>
      </c>
      <c r="S36" s="705">
        <f t="shared" si="12"/>
        <v>100</v>
      </c>
      <c r="T36" s="704" t="s">
        <v>14</v>
      </c>
      <c r="U36" s="705">
        <f t="shared" si="13"/>
        <v>100</v>
      </c>
      <c r="V36" s="704" t="s">
        <v>14</v>
      </c>
      <c r="W36" s="705">
        <f t="shared" si="14"/>
        <v>100</v>
      </c>
      <c r="X36" s="3455"/>
      <c r="Y36" s="3666"/>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3451" t="str">
        <f t="shared" si="11"/>
        <v>成新度</v>
      </c>
      <c r="R37" s="704" t="s">
        <v>14</v>
      </c>
      <c r="S37" s="705">
        <f t="shared" si="12"/>
        <v>100</v>
      </c>
      <c r="T37" s="704" t="s">
        <v>14</v>
      </c>
      <c r="U37" s="705">
        <f t="shared" si="13"/>
        <v>100</v>
      </c>
      <c r="V37" s="704" t="s">
        <v>14</v>
      </c>
      <c r="W37" s="705">
        <f t="shared" si="14"/>
        <v>100</v>
      </c>
      <c r="X37" s="3455"/>
      <c r="Y37" s="3666"/>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3450" t="str">
        <f t="shared" si="11"/>
        <v>写字楼等级</v>
      </c>
      <c r="R38" s="700" t="s">
        <v>14</v>
      </c>
      <c r="S38" s="701">
        <f t="shared" si="12"/>
        <v>100</v>
      </c>
      <c r="T38" s="700" t="s">
        <v>14</v>
      </c>
      <c r="U38" s="701">
        <f t="shared" si="13"/>
        <v>100</v>
      </c>
      <c r="V38" s="700" t="s">
        <v>14</v>
      </c>
      <c r="W38" s="701">
        <f t="shared" si="14"/>
        <v>100</v>
      </c>
      <c r="X38" s="702"/>
      <c r="Y38" s="3666"/>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3451" t="str">
        <f t="shared" si="11"/>
        <v>物业管理</v>
      </c>
      <c r="R39" s="704" t="s">
        <v>14</v>
      </c>
      <c r="S39" s="705">
        <f t="shared" si="12"/>
        <v>100</v>
      </c>
      <c r="T39" s="704" t="s">
        <v>14</v>
      </c>
      <c r="U39" s="705">
        <f t="shared" si="13"/>
        <v>100</v>
      </c>
      <c r="V39" s="704" t="s">
        <v>14</v>
      </c>
      <c r="W39" s="705">
        <f t="shared" si="14"/>
        <v>100</v>
      </c>
      <c r="X39" s="3455"/>
      <c r="Y39" s="3666"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3451" t="str">
        <f t="shared" si="11"/>
        <v>市政基础设施</v>
      </c>
      <c r="R40" s="704" t="s">
        <v>14</v>
      </c>
      <c r="S40" s="705">
        <f t="shared" si="12"/>
        <v>100</v>
      </c>
      <c r="T40" s="704" t="s">
        <v>14</v>
      </c>
      <c r="U40" s="705">
        <f t="shared" si="13"/>
        <v>100</v>
      </c>
      <c r="V40" s="704" t="s">
        <v>14</v>
      </c>
      <c r="W40" s="705">
        <f t="shared" si="14"/>
        <v>100</v>
      </c>
      <c r="X40" s="3455"/>
      <c r="Y40" s="3666"/>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3451" t="str">
        <f t="shared" si="11"/>
        <v>层高</v>
      </c>
      <c r="R41" s="704" t="s">
        <v>14</v>
      </c>
      <c r="S41" s="705">
        <f t="shared" si="12"/>
        <v>100</v>
      </c>
      <c r="T41" s="704" t="s">
        <v>14</v>
      </c>
      <c r="U41" s="705">
        <f t="shared" si="13"/>
        <v>100</v>
      </c>
      <c r="V41" s="704" t="s">
        <v>14</v>
      </c>
      <c r="W41" s="705">
        <f t="shared" si="14"/>
        <v>100</v>
      </c>
      <c r="X41" s="3455"/>
      <c r="Y41" s="3666"/>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64"/>
      <c r="Q43" s="3451" t="str">
        <f t="shared" si="11"/>
        <v>内部装修</v>
      </c>
      <c r="R43" s="704" t="s">
        <v>14</v>
      </c>
      <c r="S43" s="705">
        <f t="shared" si="12"/>
        <v>100</v>
      </c>
      <c r="T43" s="704" t="s">
        <v>14</v>
      </c>
      <c r="U43" s="705">
        <f t="shared" si="13"/>
        <v>102</v>
      </c>
      <c r="V43" s="704" t="s">
        <v>14</v>
      </c>
      <c r="W43" s="705">
        <f t="shared" si="14"/>
        <v>102</v>
      </c>
      <c r="X43" s="3455"/>
      <c r="Y43" s="3666"/>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3451" t="str">
        <f t="shared" si="11"/>
        <v>内部装修维护情况</v>
      </c>
      <c r="R44" s="704" t="s">
        <v>14</v>
      </c>
      <c r="S44" s="705">
        <f t="shared" si="12"/>
        <v>100</v>
      </c>
      <c r="T44" s="704" t="s">
        <v>14</v>
      </c>
      <c r="U44" s="705">
        <f t="shared" si="13"/>
        <v>100</v>
      </c>
      <c r="V44" s="704" t="s">
        <v>14</v>
      </c>
      <c r="W44" s="705">
        <f t="shared" si="14"/>
        <v>100</v>
      </c>
      <c r="X44" s="3455"/>
      <c r="Y44" s="3666"/>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3450">
        <f t="shared" si="11"/>
        <v>111</v>
      </c>
      <c r="R45" s="700" t="s">
        <v>14</v>
      </c>
      <c r="S45" s="701">
        <f t="shared" si="12"/>
        <v>100</v>
      </c>
      <c r="T45" s="700" t="s">
        <v>14</v>
      </c>
      <c r="U45" s="701">
        <f t="shared" si="13"/>
        <v>100</v>
      </c>
      <c r="V45" s="700" t="s">
        <v>14</v>
      </c>
      <c r="W45" s="701">
        <f t="shared" si="14"/>
        <v>100</v>
      </c>
      <c r="X45" s="702"/>
      <c r="Y45" s="3666"/>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3451">
        <f t="shared" si="11"/>
        <v>111</v>
      </c>
      <c r="R46" s="704" t="s">
        <v>14</v>
      </c>
      <c r="S46" s="705">
        <f t="shared" si="12"/>
        <v>100</v>
      </c>
      <c r="T46" s="704" t="s">
        <v>14</v>
      </c>
      <c r="U46" s="705">
        <f t="shared" si="13"/>
        <v>100</v>
      </c>
      <c r="V46" s="704" t="s">
        <v>14</v>
      </c>
      <c r="W46" s="705">
        <f t="shared" si="14"/>
        <v>100</v>
      </c>
      <c r="X46" s="3455"/>
      <c r="Y46" s="3666"/>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3451">
        <f t="shared" si="11"/>
        <v>111</v>
      </c>
      <c r="R47" s="704" t="s">
        <v>14</v>
      </c>
      <c r="S47" s="705">
        <f t="shared" si="12"/>
        <v>100</v>
      </c>
      <c r="T47" s="704" t="s">
        <v>14</v>
      </c>
      <c r="U47" s="705">
        <f t="shared" si="13"/>
        <v>100</v>
      </c>
      <c r="V47" s="704" t="s">
        <v>14</v>
      </c>
      <c r="W47" s="705">
        <f t="shared" si="14"/>
        <v>100</v>
      </c>
      <c r="X47" s="3455"/>
      <c r="Y47" s="3667"/>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53" t="str">
        <f>A48</f>
        <v>成交单价（元/平方米）</v>
      </c>
      <c r="Q48" s="3654"/>
      <c r="R48" s="3655">
        <f>E48</f>
        <v>3.5</v>
      </c>
      <c r="S48" s="3655"/>
      <c r="T48" s="3655">
        <f>G48</f>
        <v>3.6</v>
      </c>
      <c r="U48" s="3655"/>
      <c r="V48" s="3655">
        <f>I48</f>
        <v>3.6</v>
      </c>
      <c r="W48" s="3655"/>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53" t="str">
        <f>A49</f>
        <v>比较价值（元/平方米）</v>
      </c>
      <c r="Q49" s="3654"/>
      <c r="R49" s="3655">
        <f>IF(F1="售价",ROUND(PRODUCT(R48,AA7:AA47),0),ROUND(PRODUCT(R48,AA7:AA47),1))</f>
        <v>3.4</v>
      </c>
      <c r="S49" s="3655"/>
      <c r="T49" s="3655">
        <f>IF(F1="售价",ROUND(PRODUCT(T48,AB7:AB47),0),ROUND(PRODUCT(T48,AB7:AB47),1))</f>
        <v>3.5</v>
      </c>
      <c r="U49" s="3655"/>
      <c r="V49" s="3655">
        <f>IF(F1="售价",ROUND(PRODUCT(V48,AC7:AC47),0),ROUND(PRODUCT(V48,AC7:AC47),1))</f>
        <v>3.5</v>
      </c>
      <c r="W49" s="3655"/>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3.5</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251.63419999999999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1328785.8999999999</v>
      </c>
      <c r="D5" s="211" t="s">
        <v>1469</v>
      </c>
      <c r="E5" s="212" t="s">
        <v>1470</v>
      </c>
      <c r="F5" s="212" t="s">
        <v>1471</v>
      </c>
      <c r="G5" s="213"/>
    </row>
    <row r="6" spans="1:8" s="214" customFormat="1" ht="13.5" customHeight="1">
      <c r="A6" s="777" t="s">
        <v>1472</v>
      </c>
      <c r="B6" s="215" t="s">
        <v>1473</v>
      </c>
      <c r="C6" s="216">
        <f>基准地价修正!C33*基准地价修正!D33</f>
        <v>1261224.8999999999</v>
      </c>
      <c r="D6" s="217"/>
      <c r="E6" s="218"/>
      <c r="F6" s="218"/>
      <c r="G6" s="219"/>
    </row>
    <row r="7" spans="1:8" s="214" customFormat="1" ht="13.5" customHeight="1">
      <c r="A7" s="777" t="s">
        <v>1474</v>
      </c>
      <c r="B7" s="215" t="s">
        <v>1475</v>
      </c>
      <c r="C7" s="220">
        <f>ROUND(C6*F7,0)</f>
        <v>38467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29094</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29094</v>
      </c>
      <c r="D10" s="844">
        <f ca="1">IF(B1="",'数据-汇总表'!E6,IF(INDIRECT("'数据-取费表'!c"&amp;$G$1)="住宅",INDIRECT("'数据-取费表'!s"&amp;$G$1),INDIRECT("'数据-取费表'!k"&amp;$G$1)+INDIRECT("'数据-取费表'!s"&amp;$G$1)))</f>
        <v>145.47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145.47</v>
      </c>
      <c r="E19" s="211">
        <f>'数据-取费表'!B31</f>
        <v>200</v>
      </c>
      <c r="F19" s="231"/>
      <c r="G19" s="1855" t="s">
        <v>3390</v>
      </c>
    </row>
    <row r="20" spans="1:7" s="214" customFormat="1" ht="13.5" customHeight="1">
      <c r="A20" s="255" t="s">
        <v>1574</v>
      </c>
      <c r="B20" s="210" t="s">
        <v>1575</v>
      </c>
      <c r="C20" s="232">
        <f ca="1">ROUND((C5+C19)*F20,0)</f>
        <v>26576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94185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93268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917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203304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203304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1790738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637158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581880</v>
      </c>
      <c r="D34" s="217"/>
      <c r="E34" s="220"/>
      <c r="F34" s="257"/>
      <c r="G34" s="219"/>
    </row>
    <row r="35" spans="1:7" ht="13.5" customHeight="1">
      <c r="A35" s="779" t="s">
        <v>351</v>
      </c>
      <c r="B35" s="215" t="s">
        <v>1527</v>
      </c>
      <c r="C35" s="220">
        <f ca="1">ROUND(C34*F35,0)</f>
        <v>17456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29094</v>
      </c>
      <c r="D37" s="217">
        <f ca="1">D19</f>
        <v>145.47</v>
      </c>
      <c r="E37" s="249">
        <f>'数据-取费表'!B35</f>
        <v>200</v>
      </c>
      <c r="F37" s="259"/>
      <c r="G37" s="261"/>
    </row>
    <row r="38" spans="1:7" ht="13.5" customHeight="1">
      <c r="A38" s="779" t="s">
        <v>354</v>
      </c>
      <c r="B38" s="215" t="s">
        <v>1533</v>
      </c>
      <c r="C38" s="220">
        <f ca="1">ROUND(C34*F38,0)</f>
        <v>8728</v>
      </c>
      <c r="D38" s="220"/>
      <c r="E38" s="220"/>
      <c r="F38" s="259">
        <f>'数据-取费表'!B36</f>
        <v>1.4999999999999999E-2</v>
      </c>
      <c r="G38" s="219" t="s">
        <v>1528</v>
      </c>
    </row>
    <row r="39" spans="1:7" s="214" customFormat="1" ht="13.5" customHeight="1">
      <c r="A39" s="255" t="s">
        <v>1534</v>
      </c>
      <c r="B39" s="210" t="s">
        <v>1535</v>
      </c>
      <c r="C39" s="232">
        <f ca="1">ROUND(C33*F20,0)</f>
        <v>12743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22422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21982</v>
      </c>
      <c r="D42" s="238"/>
      <c r="E42" s="238"/>
      <c r="F42" s="239"/>
      <c r="G42" s="3650" t="s">
        <v>1591</v>
      </c>
    </row>
    <row r="43" spans="1:7" ht="13.5" customHeight="1">
      <c r="A43" s="779" t="s">
        <v>347</v>
      </c>
      <c r="B43" s="215" t="s">
        <v>1545</v>
      </c>
      <c r="C43" s="238">
        <f ca="1">ROUND(IF('数据-取费表'!B22&lt;=1,C39*F22*'数据-取费表'!B20/2,C39*(POWER((1+F22),'数据-取费表'!B20/2)-1)),0)</f>
        <v>440</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97485</v>
      </c>
      <c r="D45" s="235">
        <f ca="1">C47</f>
        <v>3.0000000000000001E-3</v>
      </c>
      <c r="E45" s="236" t="s">
        <v>1539</v>
      </c>
      <c r="F45" s="246">
        <f ca="1">F27</f>
        <v>0.15</v>
      </c>
      <c r="G45" s="247" t="s">
        <v>1548</v>
      </c>
    </row>
    <row r="46" spans="1:7" s="214" customFormat="1" ht="13.5" customHeight="1">
      <c r="A46" s="779" t="s">
        <v>346</v>
      </c>
      <c r="B46" s="248" t="s">
        <v>1549</v>
      </c>
      <c r="C46" s="249">
        <f ca="1">ROUND((C33+C39)*F27,0)</f>
        <v>97485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834028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725604</v>
      </c>
      <c r="D51" s="232"/>
      <c r="E51" s="232"/>
      <c r="F51" s="264"/>
      <c r="G51" s="234" t="s">
        <v>1560</v>
      </c>
    </row>
    <row r="52" spans="1:7" s="208" customFormat="1" ht="16.5" thickBot="1">
      <c r="A52" s="265" t="s">
        <v>1561</v>
      </c>
      <c r="B52" s="266"/>
      <c r="C52" s="267">
        <f ca="1">C31+C51</f>
        <v>2516342</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145.47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145.47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9.0599999999999792E-2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145.47</v>
      </c>
      <c r="E20" s="21">
        <f>'数据-取费表'!B28</f>
        <v>200</v>
      </c>
      <c r="F20" s="803"/>
      <c r="G20" s="12"/>
      <c r="H20" s="808"/>
      <c r="I20" s="808"/>
      <c r="J20" s="808"/>
      <c r="K20" s="809"/>
    </row>
    <row r="21" spans="1:33" s="802" customFormat="1" ht="13.5" customHeight="1">
      <c r="A21" s="789" t="s">
        <v>357</v>
      </c>
      <c r="B21" s="812" t="s">
        <v>1628</v>
      </c>
      <c r="C21" s="813">
        <f ca="1">C16+C17+C18</f>
        <v>9.0599999999999792E-2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145.47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126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8662</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126</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145.47</v>
      </c>
      <c r="E33" s="772">
        <f>ROUND(C33*D33/10000,0)</f>
        <v>126</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6" t="s">
        <v>2311</v>
      </c>
      <c r="K2" s="3737"/>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8" t="s">
        <v>2321</v>
      </c>
      <c r="K3" s="3739"/>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8" t="s">
        <v>2323</v>
      </c>
      <c r="K4" s="3739"/>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4" t="s">
        <v>2327</v>
      </c>
      <c r="B6" s="3745"/>
      <c r="C6" s="3746"/>
      <c r="D6" s="2869"/>
      <c r="E6" s="2870"/>
      <c r="F6" s="2871"/>
      <c r="G6" s="2872"/>
      <c r="H6" s="2847"/>
      <c r="I6" s="2848"/>
      <c r="J6" s="3730">
        <v>1</v>
      </c>
      <c r="K6" s="3731"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0"/>
      <c r="K7" s="3732"/>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7" t="s">
        <v>2341</v>
      </c>
      <c r="C8" s="3748"/>
      <c r="D8" s="2888" t="s">
        <v>2342</v>
      </c>
      <c r="E8" s="2889" t="s">
        <v>2343</v>
      </c>
      <c r="F8" s="2890" t="s">
        <v>2344</v>
      </c>
      <c r="G8" s="2891"/>
      <c r="H8" s="2847"/>
      <c r="I8" s="2848"/>
      <c r="J8" s="3730"/>
      <c r="K8" s="3732"/>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7" t="s">
        <v>2347</v>
      </c>
      <c r="C9" s="3748"/>
      <c r="D9" s="2888">
        <f>ROUND(D6*E9,0)</f>
        <v>0</v>
      </c>
      <c r="E9" s="2892"/>
      <c r="F9" s="2893" t="s">
        <v>2348</v>
      </c>
      <c r="G9" s="2872"/>
      <c r="H9" s="2847"/>
      <c r="I9" s="2848"/>
      <c r="J9" s="3730"/>
      <c r="K9" s="3732"/>
      <c r="L9" s="2882" t="s">
        <v>2349</v>
      </c>
      <c r="M9" s="2883"/>
      <c r="N9" s="2859"/>
      <c r="O9" s="2884"/>
      <c r="P9" s="2884"/>
      <c r="Q9" s="2885">
        <v>365</v>
      </c>
      <c r="R9" s="2886">
        <f t="shared" si="0"/>
        <v>0</v>
      </c>
      <c r="S9" s="2840"/>
      <c r="T9" s="2840"/>
      <c r="U9" s="2840"/>
      <c r="V9" s="2848"/>
    </row>
    <row r="10" spans="1:22" s="2852" customFormat="1" ht="13.15" customHeight="1">
      <c r="A10" s="2887">
        <v>2</v>
      </c>
      <c r="B10" s="3747" t="s">
        <v>2350</v>
      </c>
      <c r="C10" s="3748"/>
      <c r="D10" s="2888">
        <f>ROUND(D6*E10,0)</f>
        <v>0</v>
      </c>
      <c r="E10" s="2892"/>
      <c r="F10" s="2893" t="s">
        <v>2351</v>
      </c>
      <c r="G10" s="2872"/>
      <c r="H10" s="2847"/>
      <c r="I10" s="2848"/>
      <c r="J10" s="3730"/>
      <c r="K10" s="3732"/>
      <c r="L10" s="2882" t="s">
        <v>2352</v>
      </c>
      <c r="M10" s="2883"/>
      <c r="N10" s="2859"/>
      <c r="O10" s="2884"/>
      <c r="P10" s="2884"/>
      <c r="Q10" s="2885">
        <v>365</v>
      </c>
      <c r="R10" s="2886">
        <f t="shared" si="0"/>
        <v>0</v>
      </c>
      <c r="S10" s="2840"/>
      <c r="T10" s="2840"/>
      <c r="U10" s="2840"/>
      <c r="V10" s="2848"/>
    </row>
    <row r="11" spans="1:22" s="2852" customFormat="1" ht="13.15" customHeight="1">
      <c r="A11" s="2887">
        <v>3</v>
      </c>
      <c r="B11" s="3747" t="s">
        <v>2353</v>
      </c>
      <c r="C11" s="3748"/>
      <c r="D11" s="2888">
        <f>D12+D14+D15+D16</f>
        <v>0</v>
      </c>
      <c r="E11" s="2894" t="e">
        <f>D11/D6</f>
        <v>#DIV/0!</v>
      </c>
      <c r="F11" s="2890"/>
      <c r="G11" s="2891"/>
      <c r="H11" s="2847"/>
      <c r="I11" s="2848"/>
      <c r="J11" s="3730"/>
      <c r="K11" s="3732"/>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0" t="s">
        <v>2356</v>
      </c>
      <c r="C12" s="3741"/>
      <c r="D12" s="2896">
        <f>ROUND(D13*1.2%*(1-30%),0)</f>
        <v>0</v>
      </c>
      <c r="E12" s="2897">
        <v>1.2E-2</v>
      </c>
      <c r="F12" s="2890" t="s">
        <v>2357</v>
      </c>
      <c r="G12" s="2891"/>
      <c r="H12" s="2847"/>
      <c r="I12" s="2848"/>
      <c r="J12" s="3730"/>
      <c r="K12" s="3732"/>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0"/>
      <c r="K13" s="3732"/>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0" t="s">
        <v>2362</v>
      </c>
      <c r="C14" s="3741"/>
      <c r="D14" s="2896">
        <f>ROUND(E14*B5/10000,0)</f>
        <v>0</v>
      </c>
      <c r="E14" s="2885"/>
      <c r="F14" s="2890" t="s">
        <v>2363</v>
      </c>
      <c r="G14" s="2891"/>
      <c r="H14" s="2847"/>
      <c r="I14" s="2848"/>
      <c r="J14" s="3730"/>
      <c r="K14" s="3733"/>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0" t="s">
        <v>2366</v>
      </c>
      <c r="C15" s="3741"/>
      <c r="D15" s="2896">
        <f>ROUND(D6*E15,0)</f>
        <v>0</v>
      </c>
      <c r="E15" s="2897">
        <v>5.5E-2</v>
      </c>
      <c r="F15" s="2890" t="s">
        <v>2367</v>
      </c>
      <c r="G15" s="2872"/>
      <c r="H15" s="2847"/>
      <c r="I15" s="2848"/>
      <c r="J15" s="3730">
        <v>2</v>
      </c>
      <c r="K15" s="3731"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0" t="s">
        <v>2375</v>
      </c>
      <c r="C16" s="3741"/>
      <c r="D16" s="2907">
        <f>D6*E16</f>
        <v>0</v>
      </c>
      <c r="E16" s="2908"/>
      <c r="F16" s="2893" t="s">
        <v>2376</v>
      </c>
      <c r="G16" s="2872"/>
      <c r="H16" s="2847"/>
      <c r="I16" s="2848"/>
      <c r="J16" s="3730"/>
      <c r="K16" s="3732"/>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2378</v>
      </c>
      <c r="C17" s="3743"/>
      <c r="D17" s="2910">
        <f>ROUND(D6*E17,0)</f>
        <v>0</v>
      </c>
      <c r="E17" s="2911"/>
      <c r="F17" s="2912" t="s">
        <v>2379</v>
      </c>
      <c r="G17" s="2872"/>
      <c r="H17" s="2847"/>
      <c r="I17" s="2848"/>
      <c r="J17" s="3730"/>
      <c r="K17" s="3732"/>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0"/>
      <c r="K18" s="3732"/>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0"/>
      <c r="K19" s="3733"/>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0"/>
      <c r="K21" s="3732"/>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0"/>
      <c r="K22" s="3732"/>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0"/>
      <c r="K23" s="3732"/>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0"/>
      <c r="K24" s="3733"/>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4">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6" t="s">
        <v>2311</v>
      </c>
      <c r="K32" s="3737"/>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8" t="s">
        <v>2321</v>
      </c>
      <c r="K33" s="3739"/>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8" t="s">
        <v>2323</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0">
        <v>1</v>
      </c>
      <c r="K36" s="3731"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0"/>
      <c r="K40" s="3733"/>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265.74239999999998</v>
      </c>
      <c r="C2" s="1871" t="s">
        <v>1651</v>
      </c>
      <c r="D2" s="1872" t="s">
        <v>1652</v>
      </c>
      <c r="E2" s="2606">
        <f>SUM(E6:E13)</f>
        <v>145.47</v>
      </c>
      <c r="F2" s="2706"/>
      <c r="G2" s="1488"/>
      <c r="H2" s="1488"/>
      <c r="I2" s="1488"/>
      <c r="J2" s="1488"/>
      <c r="K2" s="1488"/>
      <c r="L2" s="1488"/>
      <c r="M2" s="1488"/>
      <c r="N2" s="1488"/>
      <c r="O2" s="1488"/>
      <c r="P2" s="1488"/>
      <c r="Q2" s="1488"/>
      <c r="R2" s="1488"/>
      <c r="S2" s="1488"/>
    </row>
    <row r="3" spans="1:22" ht="15.75">
      <c r="A3" s="1869" t="s">
        <v>686</v>
      </c>
      <c r="B3" s="2600">
        <f ca="1">ROUND(B2*10000/E2,0)</f>
        <v>18268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265.74239999999998</v>
      </c>
      <c r="C6" s="1871" t="s">
        <v>1651</v>
      </c>
      <c r="D6" s="2708"/>
      <c r="E6" s="2605">
        <f>IF(OR(A6=0,F6="否"),0,'数据-取费表'!K6+'数据-取费表'!S6)</f>
        <v>145.47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145.47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1" t="s">
        <v>1667</v>
      </c>
      <c r="D4" s="3672"/>
      <c r="E4" s="3673" t="s">
        <v>1668</v>
      </c>
      <c r="F4" s="3674"/>
      <c r="G4" s="3671" t="s">
        <v>1669</v>
      </c>
      <c r="H4" s="3672"/>
      <c r="I4" s="3671" t="s">
        <v>1670</v>
      </c>
      <c r="J4" s="3672"/>
      <c r="K4" s="1888" t="s">
        <v>1671</v>
      </c>
      <c r="L4" s="2714"/>
      <c r="M4" s="2715"/>
      <c r="N4" s="2715"/>
      <c r="O4" s="2715"/>
      <c r="P4" s="3755" t="s">
        <v>1672</v>
      </c>
      <c r="Q4" s="3756"/>
      <c r="R4" s="3759" t="s">
        <v>1668</v>
      </c>
      <c r="S4" s="3760"/>
      <c r="T4" s="3759" t="s">
        <v>1669</v>
      </c>
      <c r="U4" s="3760"/>
      <c r="V4" s="3688" t="s">
        <v>1670</v>
      </c>
      <c r="W4" s="3688"/>
      <c r="X4" s="1354"/>
      <c r="Y4" s="3759" t="s">
        <v>1672</v>
      </c>
      <c r="Z4" s="3760"/>
      <c r="AA4" s="3754" t="s">
        <v>1668</v>
      </c>
      <c r="AB4" s="3754" t="s">
        <v>1669</v>
      </c>
      <c r="AC4" s="3754" t="s">
        <v>1670</v>
      </c>
    </row>
    <row r="5" spans="1:29" ht="15">
      <c r="A5" s="358"/>
      <c r="B5" s="359"/>
      <c r="C5" s="3697" t="s">
        <v>1673</v>
      </c>
      <c r="D5" s="3692"/>
      <c r="E5" s="3762" t="s">
        <v>1674</v>
      </c>
      <c r="F5" s="3705"/>
      <c r="G5" s="3697" t="s">
        <v>1675</v>
      </c>
      <c r="H5" s="3692"/>
      <c r="I5" s="3697" t="s">
        <v>1676</v>
      </c>
      <c r="J5" s="3692"/>
      <c r="K5" s="188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188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5" t="s">
        <v>1680</v>
      </c>
      <c r="Q7" s="3696"/>
      <c r="R7" s="700" t="s">
        <v>20</v>
      </c>
      <c r="S7" s="701">
        <f t="shared" ref="S7:S15" si="0">F7</f>
        <v>0</v>
      </c>
      <c r="T7" s="700" t="s">
        <v>20</v>
      </c>
      <c r="U7" s="701">
        <f t="shared" ref="U7:U15" si="1">H7</f>
        <v>0</v>
      </c>
      <c r="V7" s="700" t="s">
        <v>20</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5" t="s">
        <v>1683</v>
      </c>
      <c r="Q8" s="3694"/>
      <c r="R8" s="700" t="s">
        <v>20</v>
      </c>
      <c r="S8" s="701">
        <f t="shared" si="0"/>
        <v>100</v>
      </c>
      <c r="T8" s="700" t="s">
        <v>20</v>
      </c>
      <c r="U8" s="701">
        <f t="shared" si="1"/>
        <v>100</v>
      </c>
      <c r="V8" s="700" t="s">
        <v>20</v>
      </c>
      <c r="W8" s="701">
        <f t="shared" si="2"/>
        <v>100</v>
      </c>
      <c r="X8" s="702"/>
      <c r="Y8" s="3695"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145.47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688"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688"/>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688"/>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9" t="s">
        <v>1691</v>
      </c>
      <c r="Q15" s="1351" t="str">
        <f t="shared" si="6"/>
        <v>商业繁华度</v>
      </c>
      <c r="R15" s="704" t="s">
        <v>14</v>
      </c>
      <c r="S15" s="705">
        <f t="shared" si="0"/>
        <v>100</v>
      </c>
      <c r="T15" s="704" t="s">
        <v>14</v>
      </c>
      <c r="U15" s="705">
        <f t="shared" si="1"/>
        <v>100</v>
      </c>
      <c r="V15" s="704" t="s">
        <v>14</v>
      </c>
      <c r="W15" s="705">
        <f t="shared" si="2"/>
        <v>100</v>
      </c>
      <c r="X15" s="1354"/>
      <c r="Y15" s="366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0"/>
      <c r="Q25" s="1351" t="str">
        <f t="shared" ref="Q25:Q46" si="11">B25</f>
        <v>临街状况</v>
      </c>
      <c r="R25" s="704" t="s">
        <v>14</v>
      </c>
      <c r="S25" s="705">
        <f>F25</f>
        <v>100</v>
      </c>
      <c r="T25" s="704" t="s">
        <v>14</v>
      </c>
      <c r="U25" s="705">
        <f>H25</f>
        <v>100</v>
      </c>
      <c r="V25" s="704" t="s">
        <v>14</v>
      </c>
      <c r="W25" s="705">
        <f>J25</f>
        <v>100</v>
      </c>
      <c r="X25" s="1354"/>
      <c r="Y25" s="366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0"/>
      <c r="Q26" s="1351" t="str">
        <f t="shared" si="11"/>
        <v>平面位置/可视性</v>
      </c>
      <c r="R26" s="704" t="s">
        <v>14</v>
      </c>
      <c r="S26" s="705">
        <f>F26</f>
        <v>100</v>
      </c>
      <c r="T26" s="704" t="s">
        <v>14</v>
      </c>
      <c r="U26" s="705">
        <f>H26</f>
        <v>100</v>
      </c>
      <c r="V26" s="704" t="s">
        <v>14</v>
      </c>
      <c r="W26" s="705">
        <f>J26</f>
        <v>100</v>
      </c>
      <c r="X26" s="1354"/>
      <c r="Y26" s="366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0"/>
      <c r="Q27" s="1342" t="str">
        <f t="shared" si="11"/>
        <v>人流量</v>
      </c>
      <c r="R27" s="700" t="s">
        <v>14</v>
      </c>
      <c r="S27" s="701">
        <f>F27</f>
        <v>100</v>
      </c>
      <c r="T27" s="700" t="s">
        <v>14</v>
      </c>
      <c r="U27" s="701">
        <f>H27</f>
        <v>100</v>
      </c>
      <c r="V27" s="700" t="s">
        <v>14</v>
      </c>
      <c r="W27" s="701">
        <f>J27</f>
        <v>100</v>
      </c>
      <c r="X27" s="702"/>
      <c r="Y27" s="366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4"/>
      <c r="Q33" s="706" t="str">
        <f t="shared" si="11"/>
        <v>项目建筑规模</v>
      </c>
      <c r="R33" s="707" t="s">
        <v>14</v>
      </c>
      <c r="S33" s="708" t="e">
        <f t="shared" si="12"/>
        <v>#N/A</v>
      </c>
      <c r="T33" s="707" t="s">
        <v>14</v>
      </c>
      <c r="U33" s="708" t="e">
        <f t="shared" si="13"/>
        <v>#N/A</v>
      </c>
      <c r="V33" s="707" t="s">
        <v>14</v>
      </c>
      <c r="W33" s="708" t="e">
        <f t="shared" si="14"/>
        <v>#N/A</v>
      </c>
      <c r="X33" s="709"/>
      <c r="Y33" s="366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4"/>
      <c r="Q36" s="1351" t="str">
        <f t="shared" si="11"/>
        <v>成新度</v>
      </c>
      <c r="R36" s="704" t="s">
        <v>14</v>
      </c>
      <c r="S36" s="705" t="e">
        <f t="shared" si="12"/>
        <v>#N/A</v>
      </c>
      <c r="T36" s="704" t="s">
        <v>14</v>
      </c>
      <c r="U36" s="705" t="e">
        <f t="shared" si="13"/>
        <v>#N/A</v>
      </c>
      <c r="V36" s="704" t="s">
        <v>14</v>
      </c>
      <c r="W36" s="705"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4" t="s">
        <v>1696</v>
      </c>
      <c r="Q38" s="1351" t="str">
        <f t="shared" si="11"/>
        <v>业态</v>
      </c>
      <c r="R38" s="704" t="s">
        <v>14</v>
      </c>
      <c r="S38" s="705">
        <f t="shared" si="12"/>
        <v>100</v>
      </c>
      <c r="T38" s="704" t="s">
        <v>14</v>
      </c>
      <c r="U38" s="705">
        <f t="shared" si="13"/>
        <v>100</v>
      </c>
      <c r="V38" s="704" t="s">
        <v>14</v>
      </c>
      <c r="W38" s="705">
        <f t="shared" si="14"/>
        <v>100</v>
      </c>
      <c r="X38" s="1354"/>
      <c r="Y38" s="366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100</v>
      </c>
      <c r="X42" s="1354"/>
      <c r="Y42" s="366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54" t="str">
        <f>A47</f>
        <v>成交单价（元/平方米）</v>
      </c>
      <c r="Q47" s="3654"/>
      <c r="R47" s="3688">
        <f>E47</f>
        <v>0</v>
      </c>
      <c r="S47" s="3688"/>
      <c r="T47" s="3688">
        <f>G47</f>
        <v>0</v>
      </c>
      <c r="U47" s="3688"/>
      <c r="V47" s="3688">
        <f>I47</f>
        <v>0</v>
      </c>
      <c r="W47" s="3688"/>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912"/>
      <c r="M5" s="913"/>
      <c r="N5" s="913"/>
      <c r="O5" s="913"/>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912"/>
      <c r="M6" s="913"/>
      <c r="N6" s="913"/>
      <c r="O6" s="913"/>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5" t="s">
        <v>1683</v>
      </c>
      <c r="Q8" s="3694"/>
      <c r="R8" s="700" t="s">
        <v>14</v>
      </c>
      <c r="S8" s="701">
        <f t="shared" si="0"/>
        <v>100</v>
      </c>
      <c r="T8" s="700" t="s">
        <v>14</v>
      </c>
      <c r="U8" s="701">
        <f t="shared" si="1"/>
        <v>100</v>
      </c>
      <c r="V8" s="700" t="s">
        <v>14</v>
      </c>
      <c r="W8" s="701">
        <f t="shared" si="2"/>
        <v>100</v>
      </c>
      <c r="X8" s="702"/>
      <c r="Y8" s="3695"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30"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30"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2"/>
      <c r="Q20" s="1351"/>
      <c r="R20" s="704"/>
      <c r="S20" s="705"/>
      <c r="T20" s="704"/>
      <c r="U20" s="705"/>
      <c r="V20" s="704"/>
      <c r="W20" s="705"/>
      <c r="X20" s="1354"/>
      <c r="Y20" s="366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54" t="str">
        <f>A46</f>
        <v>成交单价</v>
      </c>
      <c r="Q46" s="3654"/>
      <c r="R46" s="3688">
        <f>E46</f>
        <v>0</v>
      </c>
      <c r="S46" s="3688"/>
      <c r="T46" s="3688">
        <f>G46</f>
        <v>0</v>
      </c>
      <c r="U46" s="3688"/>
      <c r="V46" s="3688">
        <f>I46</f>
        <v>0</v>
      </c>
      <c r="W46" s="3688"/>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1"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145.47</v>
      </c>
      <c r="F56" s="885" t="e">
        <f t="shared" ref="F56:F64" si="15">ROUND(B56*E56/10000,0)</f>
        <v>#DIV/0!</v>
      </c>
      <c r="G56" s="3653"/>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145.47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54" t="str">
        <f>A41</f>
        <v>成交单价</v>
      </c>
      <c r="Q41" s="3654"/>
      <c r="R41" s="3688">
        <f>E41</f>
        <v>0</v>
      </c>
      <c r="S41" s="3688"/>
      <c r="T41" s="3688">
        <f>G41</f>
        <v>0</v>
      </c>
      <c r="U41" s="3688"/>
      <c r="V41" s="3688">
        <f>I41</f>
        <v>0</v>
      </c>
      <c r="W41" s="3688"/>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1"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145.47</v>
      </c>
      <c r="F51" s="639" t="e">
        <f t="shared" ref="F51:F60" si="15">ROUND(B51*E51/10000,0)</f>
        <v>#DIV/0!</v>
      </c>
      <c r="G51" s="3653"/>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23158</v>
      </c>
      <c r="S22" s="21">
        <f ca="1">SUM(S24:S10000)</f>
        <v>2058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23147</v>
      </c>
      <c r="S24" s="665">
        <f t="shared" ref="S24:S54" ca="1" si="11">ROUND(R24*B24/10000,0)</f>
        <v>337</v>
      </c>
      <c r="T24" s="729">
        <f ca="1">ROUND(R24*B24,0)</f>
        <v>3367194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23147</v>
      </c>
      <c r="S25" s="316">
        <f t="shared" ca="1" si="11"/>
        <v>381</v>
      </c>
      <c r="T25" s="729">
        <f t="shared" ref="T25:T29" ca="1" si="12">ROUND(R25*B25,0)</f>
        <v>3806524</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23147</v>
      </c>
      <c r="S26" s="316">
        <f t="shared" ca="1" si="11"/>
        <v>191</v>
      </c>
      <c r="T26" s="729">
        <f t="shared" ca="1" si="12"/>
        <v>1907081</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23147</v>
      </c>
      <c r="S27" s="316">
        <f t="shared" ca="1" si="11"/>
        <v>473</v>
      </c>
      <c r="T27" s="729">
        <f t="shared" ca="1" si="12"/>
        <v>4728006</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23147</v>
      </c>
      <c r="S28" s="316">
        <f t="shared" ca="1" si="11"/>
        <v>381</v>
      </c>
      <c r="T28" s="729">
        <f t="shared" ca="1" si="12"/>
        <v>3806524</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23147</v>
      </c>
      <c r="S29" s="316">
        <f t="shared" ca="1" si="11"/>
        <v>295</v>
      </c>
      <c r="T29" s="729">
        <f t="shared" ca="1" si="12"/>
        <v>2954483</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126</v>
      </c>
      <c r="C2" s="2144" t="s">
        <v>2074</v>
      </c>
      <c r="D2" s="2144" t="s">
        <v>2075</v>
      </c>
      <c r="E2" s="2611">
        <f ca="1">SUMIF(E6:E13,"&lt;&gt;#ref!",E6:E13)</f>
        <v>145.47</v>
      </c>
      <c r="F2" s="2792"/>
      <c r="G2" s="2792"/>
      <c r="H2" s="2792"/>
      <c r="I2" s="2792"/>
      <c r="J2" s="2792"/>
      <c r="K2" s="2792"/>
      <c r="L2" s="2792"/>
      <c r="M2" s="2792"/>
      <c r="N2" s="2792"/>
      <c r="O2" s="2792"/>
      <c r="P2" s="2792"/>
    </row>
    <row r="3" spans="1:16" ht="15.75">
      <c r="A3" s="2144" t="s">
        <v>2076</v>
      </c>
      <c r="B3" s="2601">
        <f ca="1">ROUND(B2*10000/E2,0)</f>
        <v>8662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126</v>
      </c>
      <c r="C6" s="2144" t="s">
        <v>2074</v>
      </c>
      <c r="D6" s="2792"/>
      <c r="E6" s="2611">
        <f ca="1">SUMIF(INDIRECT("'"&amp;A6&amp;"'"&amp;"!C:C"),"建筑面积",INDIRECT("'"&amp;A6&amp;"'"&amp;"!D:D"))</f>
        <v>145.47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7" t="s">
        <v>2601</v>
      </c>
      <c r="B20" s="3782" t="s">
        <v>2622</v>
      </c>
      <c r="C20" s="3102" t="s">
        <v>2433</v>
      </c>
      <c r="D20" s="3103"/>
      <c r="E20" s="3104">
        <v>1</v>
      </c>
      <c r="F20" s="3105" t="s">
        <v>2434</v>
      </c>
      <c r="G20" s="3105"/>
    </row>
    <row r="21" spans="1:13" ht="19.5" customHeight="1">
      <c r="A21" s="3788"/>
      <c r="B21" s="3781"/>
      <c r="C21" s="3106" t="s">
        <v>2435</v>
      </c>
      <c r="D21" s="3107"/>
      <c r="E21" s="3108">
        <v>1</v>
      </c>
      <c r="F21" s="3105" t="s">
        <v>2436</v>
      </c>
      <c r="G21" s="3105"/>
    </row>
    <row r="22" spans="1:13" ht="19.5" customHeight="1">
      <c r="A22" s="3788"/>
      <c r="B22" s="3781"/>
      <c r="C22" s="3106" t="s">
        <v>2437</v>
      </c>
      <c r="D22" s="3107"/>
      <c r="E22" s="3108">
        <v>0.9</v>
      </c>
      <c r="F22" s="3105" t="s">
        <v>2438</v>
      </c>
      <c r="G22" s="3105"/>
    </row>
    <row r="23" spans="1:13" ht="19.5" customHeight="1">
      <c r="A23" s="3788"/>
      <c r="B23" s="3781"/>
      <c r="C23" s="3106" t="s">
        <v>2439</v>
      </c>
      <c r="D23" s="3107"/>
      <c r="E23" s="3108">
        <v>0.9</v>
      </c>
      <c r="F23" s="3105" t="s">
        <v>2440</v>
      </c>
      <c r="G23" s="3105"/>
    </row>
    <row r="24" spans="1:13" ht="19.5" customHeight="1">
      <c r="A24" s="3788"/>
      <c r="B24" s="3781"/>
      <c r="C24" s="3106" t="s">
        <v>2441</v>
      </c>
      <c r="D24" s="3107"/>
      <c r="E24" s="3108">
        <v>0.8</v>
      </c>
      <c r="F24" s="3105" t="s">
        <v>2442</v>
      </c>
      <c r="G24" s="3105"/>
    </row>
    <row r="25" spans="1:13" ht="19.5" customHeight="1" thickBot="1">
      <c r="A25" s="3789"/>
      <c r="B25" s="3783"/>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4" t="s">
        <v>2625</v>
      </c>
      <c r="B27" s="3782" t="s">
        <v>2606</v>
      </c>
      <c r="C27" s="3102" t="s">
        <v>2446</v>
      </c>
      <c r="D27" s="3103"/>
      <c r="E27" s="3104">
        <v>1</v>
      </c>
      <c r="F27" s="3105" t="s">
        <v>2447</v>
      </c>
      <c r="G27" s="3105"/>
    </row>
    <row r="28" spans="1:13" ht="19.5" customHeight="1">
      <c r="A28" s="3785"/>
      <c r="B28" s="3781"/>
      <c r="C28" s="3106" t="s">
        <v>2448</v>
      </c>
      <c r="D28" s="3107"/>
      <c r="E28" s="3108">
        <v>1</v>
      </c>
      <c r="F28" s="3105" t="s">
        <v>2449</v>
      </c>
      <c r="G28" s="3105"/>
    </row>
    <row r="29" spans="1:13" ht="19.5" customHeight="1">
      <c r="A29" s="3785"/>
      <c r="B29" s="3781"/>
      <c r="C29" s="3106" t="s">
        <v>2450</v>
      </c>
      <c r="D29" s="3107"/>
      <c r="E29" s="3108">
        <v>0.8</v>
      </c>
      <c r="F29" s="3105" t="s">
        <v>2451</v>
      </c>
      <c r="G29" s="3105"/>
    </row>
    <row r="30" spans="1:13" ht="19.5" customHeight="1">
      <c r="A30" s="3785"/>
      <c r="B30" s="3781"/>
      <c r="C30" s="3106" t="s">
        <v>2452</v>
      </c>
      <c r="D30" s="3107"/>
      <c r="E30" s="3108">
        <v>0.8</v>
      </c>
      <c r="F30" s="3105" t="s">
        <v>2453</v>
      </c>
      <c r="G30" s="3105"/>
    </row>
    <row r="31" spans="1:13" ht="19.5" customHeight="1">
      <c r="A31" s="3785"/>
      <c r="B31" s="3781"/>
      <c r="C31" s="3106" t="s">
        <v>2454</v>
      </c>
      <c r="D31" s="3107"/>
      <c r="E31" s="3108">
        <v>0.8</v>
      </c>
      <c r="F31" s="3105" t="s">
        <v>2455</v>
      </c>
      <c r="G31" s="3105"/>
    </row>
    <row r="32" spans="1:13" ht="19.5" customHeight="1">
      <c r="A32" s="3785"/>
      <c r="B32" s="3781"/>
      <c r="C32" s="3106" t="s">
        <v>2456</v>
      </c>
      <c r="D32" s="3107"/>
      <c r="E32" s="3108">
        <v>0.7</v>
      </c>
      <c r="F32" s="3105" t="s">
        <v>2457</v>
      </c>
      <c r="G32" s="3105"/>
    </row>
    <row r="33" spans="1:7" ht="19.5" customHeight="1">
      <c r="A33" s="3785"/>
      <c r="B33" s="3781"/>
      <c r="C33" s="3106" t="s">
        <v>2458</v>
      </c>
      <c r="D33" s="3107"/>
      <c r="E33" s="3108">
        <v>0.8</v>
      </c>
      <c r="F33" s="3105" t="s">
        <v>2459</v>
      </c>
      <c r="G33" s="3105"/>
    </row>
    <row r="34" spans="1:7" ht="19.5" customHeight="1">
      <c r="A34" s="3785"/>
      <c r="B34" s="3781"/>
      <c r="C34" s="3106" t="s">
        <v>2460</v>
      </c>
      <c r="D34" s="3107"/>
      <c r="E34" s="3108">
        <v>0.6</v>
      </c>
      <c r="F34" s="3105" t="s">
        <v>2461</v>
      </c>
      <c r="G34" s="3105"/>
    </row>
    <row r="35" spans="1:7" ht="19.5" customHeight="1">
      <c r="A35" s="3785"/>
      <c r="B35" s="3781"/>
      <c r="C35" s="3106" t="s">
        <v>2462</v>
      </c>
      <c r="D35" s="3107"/>
      <c r="E35" s="3108">
        <v>0.2</v>
      </c>
      <c r="F35" s="3105" t="s">
        <v>2463</v>
      </c>
      <c r="G35" s="3105"/>
    </row>
    <row r="36" spans="1:7" ht="19.5" customHeight="1">
      <c r="A36" s="3785"/>
      <c r="B36" s="3781"/>
      <c r="C36" s="3106" t="s">
        <v>2464</v>
      </c>
      <c r="D36" s="3107"/>
      <c r="E36" s="3108">
        <v>0.2</v>
      </c>
      <c r="F36" s="3105" t="s">
        <v>2465</v>
      </c>
      <c r="G36" s="3105"/>
    </row>
    <row r="37" spans="1:7" ht="19.5" customHeight="1">
      <c r="A37" s="3785"/>
      <c r="B37" s="3779" t="s">
        <v>2626</v>
      </c>
      <c r="C37" s="3106" t="s">
        <v>2466</v>
      </c>
      <c r="D37" s="3107"/>
      <c r="E37" s="3108">
        <v>0.6</v>
      </c>
      <c r="F37" s="3105" t="s">
        <v>2467</v>
      </c>
      <c r="G37" s="3105"/>
    </row>
    <row r="38" spans="1:7" ht="19.5" customHeight="1">
      <c r="A38" s="3785"/>
      <c r="B38" s="3781"/>
      <c r="C38" s="3106" t="s">
        <v>2468</v>
      </c>
      <c r="D38" s="3107"/>
      <c r="E38" s="3108">
        <v>0.6</v>
      </c>
      <c r="F38" s="3105" t="s">
        <v>2469</v>
      </c>
      <c r="G38" s="3105"/>
    </row>
    <row r="39" spans="1:7" ht="19.5" customHeight="1" thickBot="1">
      <c r="A39" s="3786"/>
      <c r="B39" s="3783"/>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7" t="s">
        <v>2604</v>
      </c>
      <c r="B41" s="3782" t="s">
        <v>2628</v>
      </c>
      <c r="C41" s="3102" t="s">
        <v>2473</v>
      </c>
      <c r="D41" s="3103"/>
      <c r="E41" s="3104">
        <v>1</v>
      </c>
      <c r="F41" s="3105" t="s">
        <v>2474</v>
      </c>
      <c r="G41" s="3105"/>
    </row>
    <row r="42" spans="1:7" ht="19.5" customHeight="1">
      <c r="A42" s="3788"/>
      <c r="B42" s="3781"/>
      <c r="C42" s="3106" t="s">
        <v>2475</v>
      </c>
      <c r="D42" s="3107"/>
      <c r="E42" s="3108">
        <v>1</v>
      </c>
      <c r="F42" s="3105" t="s">
        <v>2476</v>
      </c>
      <c r="G42" s="3105"/>
    </row>
    <row r="43" spans="1:7" ht="19.5" customHeight="1">
      <c r="A43" s="3788"/>
      <c r="B43" s="3780"/>
      <c r="C43" s="3106" t="s">
        <v>2477</v>
      </c>
      <c r="D43" s="3107"/>
      <c r="E43" s="3108">
        <v>1.5</v>
      </c>
      <c r="F43" s="3105" t="s">
        <v>2478</v>
      </c>
      <c r="G43" s="3105"/>
    </row>
    <row r="44" spans="1:7" ht="19.5" customHeight="1">
      <c r="A44" s="3788"/>
      <c r="B44" s="3117" t="s">
        <v>2629</v>
      </c>
      <c r="C44" s="3106" t="s">
        <v>2630</v>
      </c>
      <c r="D44" s="3107"/>
      <c r="E44" s="3108">
        <v>2</v>
      </c>
      <c r="F44" s="3105" t="s">
        <v>2479</v>
      </c>
      <c r="G44" s="3105"/>
    </row>
    <row r="45" spans="1:7" ht="19.5" customHeight="1">
      <c r="A45" s="3788"/>
      <c r="B45" s="3779" t="s">
        <v>2631</v>
      </c>
      <c r="C45" s="3106" t="s">
        <v>2480</v>
      </c>
      <c r="D45" s="3107"/>
      <c r="E45" s="3108">
        <v>1</v>
      </c>
      <c r="F45" s="3105" t="s">
        <v>2481</v>
      </c>
      <c r="G45" s="3105"/>
    </row>
    <row r="46" spans="1:7" ht="19.5" customHeight="1">
      <c r="A46" s="3788"/>
      <c r="B46" s="3781"/>
      <c r="C46" s="3106" t="s">
        <v>2482</v>
      </c>
      <c r="D46" s="3107"/>
      <c r="E46" s="3108">
        <v>1</v>
      </c>
      <c r="F46" s="3105" t="s">
        <v>2483</v>
      </c>
      <c r="G46" s="3105"/>
    </row>
    <row r="47" spans="1:7" ht="19.5" customHeight="1">
      <c r="A47" s="3788"/>
      <c r="B47" s="3781"/>
      <c r="C47" s="3106" t="s">
        <v>2484</v>
      </c>
      <c r="D47" s="3107"/>
      <c r="E47" s="3108">
        <v>1</v>
      </c>
      <c r="F47" s="3105" t="s">
        <v>2485</v>
      </c>
      <c r="G47" s="3105"/>
    </row>
    <row r="48" spans="1:7" ht="19.5" customHeight="1">
      <c r="A48" s="3788"/>
      <c r="B48" s="3781"/>
      <c r="C48" s="3106" t="s">
        <v>2486</v>
      </c>
      <c r="D48" s="3107"/>
      <c r="E48" s="3108">
        <v>1</v>
      </c>
      <c r="F48" s="3105" t="s">
        <v>2487</v>
      </c>
      <c r="G48" s="3105"/>
    </row>
    <row r="49" spans="1:7" ht="19.5" customHeight="1">
      <c r="A49" s="3788"/>
      <c r="B49" s="3781"/>
      <c r="C49" s="3106" t="s">
        <v>2488</v>
      </c>
      <c r="D49" s="3107"/>
      <c r="E49" s="3108">
        <v>1</v>
      </c>
      <c r="F49" s="3105" t="s">
        <v>2489</v>
      </c>
      <c r="G49" s="3105"/>
    </row>
    <row r="50" spans="1:7" ht="19.5" customHeight="1">
      <c r="A50" s="3788"/>
      <c r="B50" s="3781"/>
      <c r="C50" s="3106" t="s">
        <v>2490</v>
      </c>
      <c r="D50" s="3107"/>
      <c r="E50" s="3108">
        <v>1</v>
      </c>
      <c r="F50" s="3105" t="s">
        <v>2491</v>
      </c>
      <c r="G50" s="3105"/>
    </row>
    <row r="51" spans="1:7" ht="19.5" customHeight="1" thickBot="1">
      <c r="A51" s="3789"/>
      <c r="B51" s="3783"/>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81"/>
      <c r="C74" s="3091" t="s">
        <v>2648</v>
      </c>
      <c r="D74" s="3091" t="s">
        <v>2649</v>
      </c>
      <c r="E74" s="3117">
        <v>0.2</v>
      </c>
      <c r="F74" s="3117">
        <v>25</v>
      </c>
    </row>
    <row r="75" spans="1:7" ht="24">
      <c r="A75" s="3117">
        <v>3</v>
      </c>
      <c r="B75" s="3781"/>
      <c r="C75" s="3091" t="s">
        <v>2650</v>
      </c>
      <c r="D75" s="3091" t="s">
        <v>2651</v>
      </c>
      <c r="E75" s="3117">
        <v>0.2</v>
      </c>
      <c r="F75" s="3117">
        <v>25</v>
      </c>
    </row>
    <row r="76" spans="1:7" ht="13.5">
      <c r="A76" s="3117">
        <v>4</v>
      </c>
      <c r="B76" s="3781"/>
      <c r="C76" s="3091" t="s">
        <v>2652</v>
      </c>
      <c r="D76" s="3091" t="s">
        <v>2653</v>
      </c>
      <c r="E76" s="3117">
        <v>0.15</v>
      </c>
      <c r="F76" s="3117">
        <v>20</v>
      </c>
    </row>
    <row r="77" spans="1:7" ht="24">
      <c r="A77" s="3117">
        <v>5</v>
      </c>
      <c r="B77" s="3781"/>
      <c r="C77" s="3091" t="s">
        <v>2654</v>
      </c>
      <c r="D77" s="3091" t="s">
        <v>2655</v>
      </c>
      <c r="E77" s="3117">
        <v>0.15</v>
      </c>
      <c r="F77" s="3117">
        <v>20</v>
      </c>
    </row>
    <row r="78" spans="1:7" ht="24">
      <c r="A78" s="3117">
        <v>6</v>
      </c>
      <c r="B78" s="3781"/>
      <c r="C78" s="3091" t="s">
        <v>2656</v>
      </c>
      <c r="D78" s="3091" t="s">
        <v>2657</v>
      </c>
      <c r="E78" s="3117">
        <v>0.15</v>
      </c>
      <c r="F78" s="3117">
        <v>20</v>
      </c>
    </row>
    <row r="79" spans="1:7" ht="24">
      <c r="A79" s="3117">
        <v>7</v>
      </c>
      <c r="B79" s="3781"/>
      <c r="C79" s="3091" t="s">
        <v>2658</v>
      </c>
      <c r="D79" s="3091" t="s">
        <v>2659</v>
      </c>
      <c r="E79" s="3117">
        <v>0.15</v>
      </c>
      <c r="F79" s="3117">
        <v>20</v>
      </c>
    </row>
    <row r="80" spans="1:7" ht="24">
      <c r="A80" s="3117">
        <v>8</v>
      </c>
      <c r="B80" s="3781"/>
      <c r="C80" s="3091" t="s">
        <v>2660</v>
      </c>
      <c r="D80" s="3091" t="s">
        <v>2661</v>
      </c>
      <c r="E80" s="3117">
        <v>0.1</v>
      </c>
      <c r="F80" s="3117">
        <v>15</v>
      </c>
    </row>
    <row r="81" spans="1:6" ht="24">
      <c r="A81" s="3117">
        <v>9</v>
      </c>
      <c r="B81" s="3781"/>
      <c r="C81" s="3091" t="s">
        <v>2662</v>
      </c>
      <c r="D81" s="3091" t="s">
        <v>2663</v>
      </c>
      <c r="E81" s="3117">
        <v>0.1</v>
      </c>
      <c r="F81" s="3117">
        <v>15</v>
      </c>
    </row>
    <row r="82" spans="1:6" ht="24">
      <c r="A82" s="3117">
        <v>10</v>
      </c>
      <c r="B82" s="3781"/>
      <c r="C82" s="3091" t="s">
        <v>2664</v>
      </c>
      <c r="D82" s="3091" t="s">
        <v>2665</v>
      </c>
      <c r="E82" s="3117">
        <v>0.1</v>
      </c>
      <c r="F82" s="3117">
        <v>15</v>
      </c>
    </row>
    <row r="83" spans="1:6" ht="24">
      <c r="A83" s="3117">
        <v>11</v>
      </c>
      <c r="B83" s="3781"/>
      <c r="C83" s="3091" t="s">
        <v>2666</v>
      </c>
      <c r="D83" s="3091" t="s">
        <v>2667</v>
      </c>
      <c r="E83" s="3117">
        <v>0.1</v>
      </c>
      <c r="F83" s="3117">
        <v>15</v>
      </c>
    </row>
    <row r="84" spans="1:6" ht="24">
      <c r="A84" s="3117">
        <v>12</v>
      </c>
      <c r="B84" s="3781"/>
      <c r="C84" s="3091" t="s">
        <v>2668</v>
      </c>
      <c r="D84" s="3091" t="s">
        <v>2669</v>
      </c>
      <c r="E84" s="3117">
        <v>0.1</v>
      </c>
      <c r="F84" s="3117">
        <v>15</v>
      </c>
    </row>
    <row r="85" spans="1:6" ht="13.5">
      <c r="A85" s="3117">
        <v>13</v>
      </c>
      <c r="B85" s="3781"/>
      <c r="C85" s="3091" t="s">
        <v>2670</v>
      </c>
      <c r="D85" s="3091" t="s">
        <v>2671</v>
      </c>
      <c r="E85" s="3117">
        <v>0.1</v>
      </c>
      <c r="F85" s="3117">
        <v>15</v>
      </c>
    </row>
    <row r="86" spans="1:6" ht="13.5">
      <c r="A86" s="3117">
        <v>14</v>
      </c>
      <c r="B86" s="3781"/>
      <c r="C86" s="3091" t="s">
        <v>2672</v>
      </c>
      <c r="D86" s="3091" t="s">
        <v>2673</v>
      </c>
      <c r="E86" s="3117">
        <v>0.1</v>
      </c>
      <c r="F86" s="3117">
        <v>15</v>
      </c>
    </row>
    <row r="87" spans="1:6" ht="13.5">
      <c r="A87" s="3117">
        <v>15</v>
      </c>
      <c r="B87" s="3781"/>
      <c r="C87" s="3091" t="s">
        <v>2674</v>
      </c>
      <c r="D87" s="3091" t="s">
        <v>2675</v>
      </c>
      <c r="E87" s="3117">
        <v>0.1</v>
      </c>
      <c r="F87" s="3117">
        <v>15</v>
      </c>
    </row>
    <row r="88" spans="1:6" ht="24">
      <c r="A88" s="3117">
        <v>16</v>
      </c>
      <c r="B88" s="3781"/>
      <c r="C88" s="3091" t="s">
        <v>2676</v>
      </c>
      <c r="D88" s="3091" t="s">
        <v>2677</v>
      </c>
      <c r="E88" s="3117">
        <v>0.1</v>
      </c>
      <c r="F88" s="3117">
        <v>15</v>
      </c>
    </row>
    <row r="89" spans="1:6" ht="24">
      <c r="A89" s="3117">
        <v>17</v>
      </c>
      <c r="B89" s="3780"/>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81"/>
      <c r="C91" s="3091" t="s">
        <v>2683</v>
      </c>
      <c r="D91" s="3091" t="s">
        <v>2684</v>
      </c>
      <c r="E91" s="3117">
        <v>0.2</v>
      </c>
      <c r="F91" s="3117">
        <v>25</v>
      </c>
    </row>
    <row r="92" spans="1:6" ht="13.5">
      <c r="A92" s="3117">
        <v>20</v>
      </c>
      <c r="B92" s="3781"/>
      <c r="C92" s="3091" t="s">
        <v>2685</v>
      </c>
      <c r="D92" s="3091" t="s">
        <v>2686</v>
      </c>
      <c r="E92" s="3117">
        <v>0.15</v>
      </c>
      <c r="F92" s="3117">
        <v>20</v>
      </c>
    </row>
    <row r="93" spans="1:6" ht="13.5">
      <c r="A93" s="3117">
        <v>21</v>
      </c>
      <c r="B93" s="3781"/>
      <c r="C93" s="3091" t="s">
        <v>2687</v>
      </c>
      <c r="D93" s="3091" t="s">
        <v>2688</v>
      </c>
      <c r="E93" s="3117">
        <v>0.15</v>
      </c>
      <c r="F93" s="3117">
        <v>20</v>
      </c>
    </row>
    <row r="94" spans="1:6" ht="13.5">
      <c r="A94" s="3117">
        <v>22</v>
      </c>
      <c r="B94" s="3781"/>
      <c r="C94" s="3091" t="s">
        <v>2689</v>
      </c>
      <c r="D94" s="3091" t="s">
        <v>2690</v>
      </c>
      <c r="E94" s="3117">
        <v>0.15</v>
      </c>
      <c r="F94" s="3117">
        <v>20</v>
      </c>
    </row>
    <row r="95" spans="1:6" ht="36">
      <c r="A95" s="3117">
        <v>23</v>
      </c>
      <c r="B95" s="3781"/>
      <c r="C95" s="3091" t="s">
        <v>2691</v>
      </c>
      <c r="D95" s="3091" t="s">
        <v>2692</v>
      </c>
      <c r="E95" s="3117">
        <v>0.15</v>
      </c>
      <c r="F95" s="3117">
        <v>20</v>
      </c>
    </row>
    <row r="96" spans="1:6" ht="13.5">
      <c r="A96" s="3117">
        <v>24</v>
      </c>
      <c r="B96" s="3781"/>
      <c r="C96" s="3091" t="s">
        <v>2693</v>
      </c>
      <c r="D96" s="3091" t="s">
        <v>2694</v>
      </c>
      <c r="E96" s="3117">
        <v>0.1</v>
      </c>
      <c r="F96" s="3117">
        <v>15</v>
      </c>
    </row>
    <row r="97" spans="1:6" ht="13.5">
      <c r="A97" s="3117">
        <v>25</v>
      </c>
      <c r="B97" s="3781"/>
      <c r="C97" s="3091" t="s">
        <v>2695</v>
      </c>
      <c r="D97" s="3091" t="s">
        <v>2696</v>
      </c>
      <c r="E97" s="3117">
        <v>0.1</v>
      </c>
      <c r="F97" s="3117">
        <v>15</v>
      </c>
    </row>
    <row r="98" spans="1:6" ht="24">
      <c r="A98" s="3117">
        <v>26</v>
      </c>
      <c r="B98" s="3781"/>
      <c r="C98" s="3091" t="s">
        <v>2697</v>
      </c>
      <c r="D98" s="3091" t="s">
        <v>2698</v>
      </c>
      <c r="E98" s="3117">
        <v>0.1</v>
      </c>
      <c r="F98" s="3117">
        <v>15</v>
      </c>
    </row>
    <row r="99" spans="1:6" ht="24">
      <c r="A99" s="3117">
        <v>27</v>
      </c>
      <c r="B99" s="3781"/>
      <c r="C99" s="3091" t="s">
        <v>2699</v>
      </c>
      <c r="D99" s="3091" t="s">
        <v>2700</v>
      </c>
      <c r="E99" s="3117">
        <v>0.1</v>
      </c>
      <c r="F99" s="3117">
        <v>15</v>
      </c>
    </row>
    <row r="100" spans="1:6" ht="13.5">
      <c r="A100" s="3117">
        <v>28</v>
      </c>
      <c r="B100" s="3781"/>
      <c r="C100" s="3091" t="s">
        <v>2701</v>
      </c>
      <c r="D100" s="3091" t="s">
        <v>2702</v>
      </c>
      <c r="E100" s="3117">
        <v>0.1</v>
      </c>
      <c r="F100" s="3117">
        <v>15</v>
      </c>
    </row>
    <row r="101" spans="1:6" ht="13.5">
      <c r="A101" s="3117">
        <v>29</v>
      </c>
      <c r="B101" s="3781"/>
      <c r="C101" s="3091" t="s">
        <v>2703</v>
      </c>
      <c r="D101" s="3091" t="s">
        <v>2704</v>
      </c>
      <c r="E101" s="3117">
        <v>0.1</v>
      </c>
      <c r="F101" s="3117">
        <v>15</v>
      </c>
    </row>
    <row r="102" spans="1:6" ht="13.5">
      <c r="A102" s="3117">
        <v>30</v>
      </c>
      <c r="B102" s="3781"/>
      <c r="C102" s="3091" t="s">
        <v>2705</v>
      </c>
      <c r="D102" s="3091" t="s">
        <v>2706</v>
      </c>
      <c r="E102" s="3117">
        <v>0.1</v>
      </c>
      <c r="F102" s="3117">
        <v>15</v>
      </c>
    </row>
    <row r="103" spans="1:6" ht="24">
      <c r="A103" s="3117">
        <v>31</v>
      </c>
      <c r="B103" s="3781"/>
      <c r="C103" s="3091" t="s">
        <v>2707</v>
      </c>
      <c r="D103" s="3091" t="s">
        <v>2708</v>
      </c>
      <c r="E103" s="3117">
        <v>0.1</v>
      </c>
      <c r="F103" s="3117">
        <v>15</v>
      </c>
    </row>
    <row r="104" spans="1:6" ht="24">
      <c r="A104" s="3117">
        <v>32</v>
      </c>
      <c r="B104" s="3781"/>
      <c r="C104" s="3091" t="s">
        <v>2709</v>
      </c>
      <c r="D104" s="3091" t="s">
        <v>2710</v>
      </c>
      <c r="E104" s="3117">
        <v>0.1</v>
      </c>
      <c r="F104" s="3117">
        <v>15</v>
      </c>
    </row>
    <row r="105" spans="1:6" ht="24">
      <c r="A105" s="3117">
        <v>33</v>
      </c>
      <c r="B105" s="3781"/>
      <c r="C105" s="3091" t="s">
        <v>2711</v>
      </c>
      <c r="D105" s="3091" t="s">
        <v>2712</v>
      </c>
      <c r="E105" s="3117">
        <v>0.1</v>
      </c>
      <c r="F105" s="3117">
        <v>15</v>
      </c>
    </row>
    <row r="106" spans="1:6" ht="24">
      <c r="A106" s="3117">
        <v>34</v>
      </c>
      <c r="B106" s="3780"/>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81"/>
      <c r="C108" s="3117" t="s">
        <v>2718</v>
      </c>
      <c r="D108" s="3091" t="s">
        <v>2719</v>
      </c>
      <c r="E108" s="3117">
        <v>0.15</v>
      </c>
      <c r="F108" s="3117">
        <v>20</v>
      </c>
    </row>
    <row r="109" spans="1:6" ht="13.5">
      <c r="A109" s="3117">
        <v>37</v>
      </c>
      <c r="B109" s="3781"/>
      <c r="C109" s="3117" t="s">
        <v>2720</v>
      </c>
      <c r="D109" s="3091" t="s">
        <v>2721</v>
      </c>
      <c r="E109" s="3117">
        <v>0.15</v>
      </c>
      <c r="F109" s="3117">
        <v>20</v>
      </c>
    </row>
    <row r="110" spans="1:6" ht="13.5">
      <c r="A110" s="3117">
        <v>38</v>
      </c>
      <c r="B110" s="3781"/>
      <c r="C110" s="3117" t="s">
        <v>2722</v>
      </c>
      <c r="D110" s="3091" t="s">
        <v>2723</v>
      </c>
      <c r="E110" s="3117">
        <v>0.1</v>
      </c>
      <c r="F110" s="3117">
        <v>15</v>
      </c>
    </row>
    <row r="111" spans="1:6" ht="24">
      <c r="A111" s="3117">
        <v>39</v>
      </c>
      <c r="B111" s="3781"/>
      <c r="C111" s="3117" t="s">
        <v>2724</v>
      </c>
      <c r="D111" s="3091" t="s">
        <v>2725</v>
      </c>
      <c r="E111" s="3117">
        <v>0.1</v>
      </c>
      <c r="F111" s="3117">
        <v>15</v>
      </c>
    </row>
    <row r="112" spans="1:6" ht="24">
      <c r="A112" s="3117">
        <v>40</v>
      </c>
      <c r="B112" s="3780"/>
      <c r="C112" s="3117" t="s">
        <v>2726</v>
      </c>
      <c r="D112" s="3091" t="s">
        <v>2727</v>
      </c>
      <c r="E112" s="3117">
        <v>0.1</v>
      </c>
      <c r="F112" s="3117">
        <v>15</v>
      </c>
    </row>
    <row r="113" spans="1:6" ht="13.5">
      <c r="A113" s="3117">
        <v>41</v>
      </c>
      <c r="B113" s="3778" t="s">
        <v>2728</v>
      </c>
      <c r="C113" s="3117" t="s">
        <v>2729</v>
      </c>
      <c r="D113" s="3091" t="s">
        <v>2730</v>
      </c>
      <c r="E113" s="3117">
        <v>0.1</v>
      </c>
      <c r="F113" s="3117">
        <v>15</v>
      </c>
    </row>
    <row r="114" spans="1:6" ht="13.5">
      <c r="A114" s="3117">
        <v>42</v>
      </c>
      <c r="B114" s="3778"/>
      <c r="C114" s="3117" t="s">
        <v>2731</v>
      </c>
      <c r="D114" s="3091" t="s">
        <v>2732</v>
      </c>
      <c r="E114" s="3117">
        <v>0.1</v>
      </c>
      <c r="F114" s="3117">
        <v>15</v>
      </c>
    </row>
    <row r="115" spans="1:6" ht="24">
      <c r="A115" s="3117">
        <v>43</v>
      </c>
      <c r="B115" s="3778"/>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0"/>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0"/>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0"/>
      <c r="C121" s="3117" t="s">
        <v>2748</v>
      </c>
      <c r="D121" s="3091" t="s">
        <v>2749</v>
      </c>
      <c r="E121" s="3117">
        <v>0.1</v>
      </c>
      <c r="F121" s="3117">
        <v>15</v>
      </c>
    </row>
    <row r="122" spans="1:6" ht="24">
      <c r="A122" s="3117">
        <v>50</v>
      </c>
      <c r="B122" s="3778" t="s">
        <v>2750</v>
      </c>
      <c r="C122" s="3117" t="s">
        <v>2751</v>
      </c>
      <c r="D122" s="3091" t="s">
        <v>2752</v>
      </c>
      <c r="E122" s="3117">
        <v>0.1</v>
      </c>
      <c r="F122" s="3117">
        <v>15</v>
      </c>
    </row>
    <row r="123" spans="1:6" ht="24">
      <c r="A123" s="3117">
        <v>51</v>
      </c>
      <c r="B123" s="3778"/>
      <c r="C123" s="3117" t="s">
        <v>2753</v>
      </c>
      <c r="D123" s="3091" t="s">
        <v>2754</v>
      </c>
      <c r="E123" s="3117">
        <v>0.1</v>
      </c>
      <c r="F123" s="3117">
        <v>15</v>
      </c>
    </row>
    <row r="124" spans="1:6" ht="24">
      <c r="A124" s="3117">
        <v>52</v>
      </c>
      <c r="B124" s="3778" t="s">
        <v>2755</v>
      </c>
      <c r="C124" s="3117" t="s">
        <v>2756</v>
      </c>
      <c r="D124" s="3091" t="s">
        <v>2757</v>
      </c>
      <c r="E124" s="3117">
        <v>0.1</v>
      </c>
      <c r="F124" s="3117">
        <v>15</v>
      </c>
    </row>
    <row r="125" spans="1:6" ht="24">
      <c r="A125" s="3117">
        <v>53</v>
      </c>
      <c r="B125" s="377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8" t="s">
        <v>2763</v>
      </c>
      <c r="C127" s="3117" t="s">
        <v>2764</v>
      </c>
      <c r="D127" s="3091" t="s">
        <v>2765</v>
      </c>
      <c r="E127" s="3117">
        <v>0.1</v>
      </c>
      <c r="F127" s="3117">
        <v>15</v>
      </c>
    </row>
    <row r="128" spans="1:6" ht="13.5">
      <c r="A128" s="3117">
        <v>56</v>
      </c>
      <c r="B128" s="3778"/>
      <c r="C128" s="3117" t="s">
        <v>2766</v>
      </c>
      <c r="D128" s="3091" t="s">
        <v>2767</v>
      </c>
      <c r="E128" s="3117">
        <v>0.1</v>
      </c>
      <c r="F128" s="3117">
        <v>15</v>
      </c>
    </row>
    <row r="129" spans="1:6" ht="24">
      <c r="A129" s="3117">
        <v>57</v>
      </c>
      <c r="B129" s="3778"/>
      <c r="C129" s="3117" t="s">
        <v>2768</v>
      </c>
      <c r="D129" s="3091" t="s">
        <v>2769</v>
      </c>
      <c r="E129" s="3117">
        <v>0.1</v>
      </c>
      <c r="F129" s="3117">
        <v>15</v>
      </c>
    </row>
    <row r="130" spans="1:6" ht="24">
      <c r="A130" s="3117">
        <v>58</v>
      </c>
      <c r="B130" s="3778" t="s">
        <v>2770</v>
      </c>
      <c r="C130" s="3117" t="s">
        <v>2771</v>
      </c>
      <c r="D130" s="3091" t="s">
        <v>2772</v>
      </c>
      <c r="E130" s="3117">
        <v>0.1</v>
      </c>
      <c r="F130" s="3117">
        <v>15</v>
      </c>
    </row>
    <row r="131" spans="1:6" ht="13.5">
      <c r="A131" s="3117">
        <v>59</v>
      </c>
      <c r="B131" s="3778"/>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0"/>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8" t="s">
        <v>2783</v>
      </c>
      <c r="C135" s="3117" t="s">
        <v>2784</v>
      </c>
      <c r="D135" s="3091" t="s">
        <v>2785</v>
      </c>
      <c r="E135" s="3117">
        <v>0.1</v>
      </c>
      <c r="F135" s="3117">
        <v>15</v>
      </c>
    </row>
    <row r="136" spans="1:6" ht="13.5">
      <c r="A136" s="3117">
        <v>64</v>
      </c>
      <c r="B136" s="377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27852</v>
      </c>
      <c r="C2" s="2" t="s">
        <v>106</v>
      </c>
      <c r="D2" s="199"/>
      <c r="E2" s="199"/>
      <c r="F2" s="199"/>
      <c r="G2" s="199"/>
    </row>
    <row r="3" spans="1:7" s="200" customFormat="1" ht="18" customHeight="1" thickBot="1">
      <c r="A3" s="203" t="s">
        <v>58</v>
      </c>
      <c r="B3" s="204">
        <f ca="1">ROUND(B2*10000/'数据-汇总表'!E3,0)</f>
        <v>1914622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145.47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145.47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145.47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72</v>
      </c>
      <c r="D51" s="232"/>
      <c r="E51" s="232"/>
      <c r="F51" s="264"/>
      <c r="G51" s="234" t="s">
        <v>37</v>
      </c>
    </row>
    <row r="52" spans="1:7" s="208" customFormat="1" ht="16.5" thickBot="1">
      <c r="A52" s="265" t="s">
        <v>38</v>
      </c>
      <c r="B52" s="266"/>
      <c r="C52" s="267">
        <f ca="1">C31+C51</f>
        <v>27852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145.47</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2023-10-16T07:00:18Z</dcterms:modified>
</cp:coreProperties>
</file>