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2024-1-0515亚林溪苑咨询函\"/>
    </mc:Choice>
  </mc:AlternateContent>
  <xr:revisionPtr revIDLastSave="0" documentId="13_ncr:1_{B2092CD2-182B-485D-8B58-806733DB2E97}" xr6:coauthVersionLast="47" xr6:coauthVersionMax="47" xr10:uidLastSave="{00000000-0000-0000-0000-000000000000}"/>
  <bookViews>
    <workbookView xWindow="-120" yWindow="-120" windowWidth="21840" windowHeight="13140" tabRatio="747" activeTab="1" xr2:uid="{00000000-000D-0000-FFFF-FFFF00000000}"/>
  </bookViews>
  <sheets>
    <sheet name="系统读取表" sheetId="11" r:id="rId1"/>
    <sheet name="测算表" sheetId="6" r:id="rId2"/>
    <sheet name="亚林溪苑周边住宅租金" sheetId="33"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C31" i="6" l="1"/>
  <c r="I5" i="6"/>
  <c r="G5" i="6"/>
  <c r="E5" i="6"/>
  <c r="F40" i="33" l="1"/>
  <c r="F39" i="33"/>
  <c r="F38" i="33"/>
  <c r="F37" i="33"/>
  <c r="F36" i="33"/>
  <c r="F35" i="33"/>
  <c r="F34" i="33"/>
  <c r="F33" i="33"/>
  <c r="F32" i="33"/>
  <c r="F31" i="33"/>
  <c r="F30" i="33"/>
  <c r="F29" i="33"/>
  <c r="F28" i="33"/>
  <c r="F27" i="33"/>
  <c r="F26" i="33"/>
  <c r="F25" i="33"/>
  <c r="F24" i="33"/>
  <c r="F23" i="33"/>
  <c r="F22" i="33"/>
  <c r="F21" i="33"/>
  <c r="F20" i="33"/>
  <c r="F19" i="33"/>
  <c r="F18" i="33"/>
  <c r="F17" i="33"/>
  <c r="F16" i="33"/>
  <c r="F15" i="33"/>
  <c r="F14" i="33"/>
  <c r="K13" i="33"/>
  <c r="F13" i="33"/>
  <c r="K12" i="33"/>
  <c r="F12" i="33"/>
  <c r="K11" i="33"/>
  <c r="F11" i="33"/>
  <c r="K10" i="33"/>
  <c r="F10" i="33"/>
  <c r="K9" i="33"/>
  <c r="F9" i="33"/>
  <c r="K8" i="33"/>
  <c r="F8" i="33"/>
  <c r="K7" i="33"/>
  <c r="F7" i="33"/>
  <c r="K6" i="33"/>
  <c r="F6" i="33"/>
  <c r="K5" i="33"/>
  <c r="F5" i="33"/>
  <c r="K4" i="33"/>
  <c r="F4" i="33"/>
  <c r="K3" i="33"/>
  <c r="F3" i="33"/>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H7" i="6" l="1"/>
  <c r="J7" i="6"/>
  <c r="I29" i="6" s="1"/>
  <c r="G23" i="6"/>
  <c r="I23" i="6" s="1"/>
  <c r="G24" i="6" l="1"/>
  <c r="G29" i="6"/>
  <c r="G25" i="6" l="1"/>
  <c r="G28" i="6" s="1"/>
  <c r="E25" i="6"/>
  <c r="E28" i="6" s="1"/>
  <c r="I24" i="6" l="1"/>
  <c r="I25" i="6" l="1"/>
  <c r="C28" i="6" s="1"/>
  <c r="B27" i="6" l="1"/>
  <c r="B28" i="6"/>
  <c r="I28" i="6"/>
  <c r="A26" i="6"/>
  <c r="D14" i="11" l="1"/>
  <c r="F14" i="11" s="1"/>
  <c r="B6" i="11" l="1"/>
  <c r="C6" i="11" s="1"/>
  <c r="B5" i="11"/>
  <c r="B10" i="11" s="1"/>
  <c r="C5" i="11" l="1"/>
  <c r="B7" i="11"/>
  <c r="B9" i="11"/>
  <c r="B11" i="11"/>
  <c r="D5" i="11"/>
  <c r="B8" i="11"/>
</calcChain>
</file>

<file path=xl/sharedStrings.xml><?xml version="1.0" encoding="utf-8"?>
<sst xmlns="http://schemas.openxmlformats.org/spreadsheetml/2006/main" count="437" uniqueCount="190">
  <si>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</si>
  <si>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</si>
  <si>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</si>
  <si>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</si>
  <si>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</si>
  <si>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</si>
  <si>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</si>
  <si>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7"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</si>
  <si>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</si>
  <si>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</si>
  <si>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</si>
  <si>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</si>
  <si>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</si>
  <si>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</si>
  <si>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</si>
  <si>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</si>
  <si>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</si>
  <si>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</si>
  <si>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</si>
  <si>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</si>
  <si>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</si>
  <si>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</si>
  <si>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</si>
  <si>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</si>
  <si>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</si>
  <si>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</si>
  <si>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</si>
  <si>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</si>
  <si>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</si>
  <si>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</si>
  <si>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</si>
  <si>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</si>
  <si>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</si>
  <si>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</si>
  <si>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</si>
  <si>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</si>
  <si>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</si>
  <si>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</si>
  <si>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</si>
  <si>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</si>
  <si>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</si>
  <si>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</si>
  <si>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</si>
  <si>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</si>
  <si>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</si>
  <si>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</si>
  <si>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</si>
  <si>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</si>
  <si>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</si>
  <si>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</si>
  <si>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</si>
  <si>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</si>
  <si>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</si>
  <si>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</si>
  <si>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</si>
  <si>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</si>
  <si>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</si>
  <si>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</si>
  <si>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</si>
  <si>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</si>
  <si>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</si>
  <si>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</si>
  <si>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</si>
  <si>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</si>
  <si>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</si>
  <si>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</si>
  <si>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</si>
  <si>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</si>
  <si>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</si>
  <si>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</si>
  <si>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</si>
  <si>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</si>
  <si>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</si>
  <si>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</si>
  <si>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</si>
  <si>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</si>
  <si>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</si>
  <si>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</si>
  <si>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</si>
  <si>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</si>
  <si>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</si>
  <si>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</si>
  <si>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</si>
  <si>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1"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</si>
  <si>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</si>
  <si>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</si>
  <si>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</si>
  <si>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1"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</si>
  <si>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1" type="noConversion"/>
  </si>
  <si>
    <t>根据北京市朝阳区保障性住房发展有限公司工作人员介绍，项目未融资，本次利息不计取。</t>
    <phoneticPr fontId="11"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</si>
  <si>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</si>
  <si>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</si>
  <si>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</si>
  <si>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</si>
  <si>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</si>
  <si>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</si>
  <si>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</si>
  <si>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</si>
  <si>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</si>
  <si>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</si>
  <si>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</si>
  <si>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</si>
  <si>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</si>
  <si>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1"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</si>
  <si>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1"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</si>
  <si>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</si>
  <si>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</si>
  <si>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</si>
  <si>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</si>
  <si>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</si>
  <si>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</si>
  <si>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</si>
  <si>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</si>
  <si>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</si>
  <si>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</si>
  <si>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</si>
  <si>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1"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</si>
  <si>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1"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</si>
  <si>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1"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</si>
  <si>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</si>
  <si>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</si>
  <si>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</si>
  <si>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1"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</si>
  <si>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</si>
  <si>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</si>
  <si>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</si>
  <si>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1"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</si>
  <si>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</si>
  <si>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</si>
  <si>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</si>
  <si>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</si>
  <si>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</si>
  <si>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</si>
  <si>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</si>
  <si>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</si>
  <si>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</si>
  <si>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</si>
  <si>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</si>
  <si>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</si>
  <si>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</si>
  <si>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</si>
  <si>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</si>
  <si>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</si>
  <si>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</si>
  <si>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1" type="noConversion"/>
  </si>
  <si>
    <t>根据北京市朝阳区保障性住房发展有限公司工作人员介绍，项目未融资，本次利息不计取。</t>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</si>
  <si>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</si>
  <si>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</si>
  <si>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</si>
  <si>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</si>
  <si>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</si>
  <si>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</si>
  <si>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</si>
  <si>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</si>
  <si>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</si>
  <si>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1" type="noConversion"/>
  </si>
  <si>
    <t>中楼层</t>
    <phoneticPr fontId="2" type="noConversion"/>
  </si>
  <si>
    <t>楼层</t>
    <phoneticPr fontId="2" type="noConversion"/>
  </si>
  <si>
    <t>南</t>
    <phoneticPr fontId="2" type="noConversion"/>
  </si>
  <si>
    <t>南北</t>
    <phoneticPr fontId="11" type="noConversion"/>
  </si>
  <si>
    <t>南</t>
    <phoneticPr fontId="11" type="noConversion"/>
  </si>
  <si>
    <t>东南</t>
    <phoneticPr fontId="11" type="noConversion"/>
  </si>
  <si>
    <t>西南</t>
    <phoneticPr fontId="11" type="noConversion"/>
  </si>
  <si>
    <t>东西</t>
    <phoneticPr fontId="11" type="noConversion"/>
  </si>
  <si>
    <t>东</t>
    <phoneticPr fontId="11" type="noConversion"/>
  </si>
  <si>
    <t>西</t>
    <phoneticPr fontId="11" type="noConversion"/>
  </si>
  <si>
    <t>东北</t>
    <phoneticPr fontId="11" type="noConversion"/>
  </si>
  <si>
    <t>西北</t>
    <phoneticPr fontId="11" type="noConversion"/>
  </si>
  <si>
    <t>北</t>
    <phoneticPr fontId="11"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</si>
  <si>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</si>
  <si>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</si>
  <si>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</si>
  <si>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</si>
  <si>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</si>
  <si>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较好</t>
    <phoneticPr fontId="7" type="noConversion"/>
  </si>
  <si>
    <t>一居室</t>
    <phoneticPr fontId="7" type="noConversion"/>
  </si>
  <si>
    <t>昆仑域</t>
    <phoneticPr fontId="11" type="noConversion"/>
  </si>
  <si>
    <t>玉林里小区</t>
    <phoneticPr fontId="11" type="noConversion"/>
  </si>
  <si>
    <t>万泉寺南里</t>
    <phoneticPr fontId="11" type="noConversion"/>
  </si>
  <si>
    <t>万润风景</t>
    <phoneticPr fontId="11" type="noConversion"/>
  </si>
  <si>
    <t>亚林西8号院</t>
    <phoneticPr fontId="11" type="noConversion"/>
  </si>
  <si>
    <t>亚林西9号院</t>
    <phoneticPr fontId="11" type="noConversion"/>
  </si>
  <si>
    <t>中国玺</t>
    <phoneticPr fontId="11" type="noConversion"/>
  </si>
  <si>
    <t>佑安府</t>
    <phoneticPr fontId="11" type="noConversion"/>
  </si>
  <si>
    <t>亚林溪苑</t>
    <phoneticPr fontId="2" type="noConversion"/>
  </si>
  <si>
    <t>亚林西8号院</t>
    <phoneticPr fontId="2" type="noConversion"/>
  </si>
  <si>
    <t>亚林西9号院</t>
    <phoneticPr fontId="2" type="noConversion"/>
  </si>
  <si>
    <t>玉林里小区</t>
    <phoneticPr fontId="2" type="noConversion"/>
  </si>
  <si>
    <t>多层板楼</t>
    <phoneticPr fontId="2" type="noConversion"/>
  </si>
  <si>
    <t>有家具、家电；虽然使用较长时间，但功能正常，一般</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</si>
</sst>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_ "/>
    <numFmt numFmtId="180" formatCode="0.0000_);[Red]\(0.0000\)"/>
  </numFmts>
  <fonts count="20" x14ac:knownFonts="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
      <sz val="10"/>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8" fillId="0" borderId="0"/>
    <xf numFmtId="0" fontId="1" fillId="0" borderId="0">
      <alignment vertical="center"/>
    </xf>
  </cellStyleXfs>
  <cellXfs count="64">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9" fillId="0" borderId="0" xfId="1" applyFont="1" applyAlignment="1">
      <alignment horizontal="center"/>
    </xf>
    <xf numFmtId="177" fontId="3" fillId="0" borderId="0" xfId="1" applyNumberFormat="1">
      <alignment vertical="center"/>
    </xf>
    <xf numFmtId="0" fontId="12" fillId="3" borderId="1" xfId="3" applyFont="1" applyFill="1" applyBorder="1" applyAlignment="1">
      <alignment horizontal="center" vertical="center" wrapText="1"/>
    </xf>
    <xf numFmtId="0" fontId="13" fillId="0" borderId="0" xfId="1" applyFont="1">
      <alignment vertical="center"/>
    </xf>
    <xf numFmtId="0" fontId="12" fillId="0" borderId="0" xfId="3" applyFont="1" applyAlignment="1">
      <alignment horizontal="left" vertical="center" wrapText="1"/>
    </xf>
    <xf numFmtId="0" fontId="3" fillId="0" borderId="0" xfId="3"/>
    <xf numFmtId="14" fontId="12" fillId="3" borderId="1" xfId="3" applyNumberFormat="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2"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2" fillId="0" borderId="1" xfId="3"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6" fillId="0" borderId="1" xfId="1" applyNumberFormat="1" applyFont="1" applyBorder="1" applyAlignment="1">
      <alignment horizontal="center" vertical="center" wrapText="1"/>
    </xf>
    <xf numFmtId="0" fontId="14" fillId="0" borderId="0" xfId="1" applyFont="1">
      <alignment vertical="center"/>
    </xf>
    <xf numFmtId="177" fontId="16" fillId="0" borderId="1" xfId="1" applyNumberFormat="1" applyFont="1" applyBorder="1" applyAlignment="1">
      <alignment horizontal="center" vertical="center" wrapText="1"/>
    </xf>
    <xf numFmtId="0" fontId="10" fillId="0" borderId="1" xfId="1" applyFont="1" applyBorder="1" applyAlignment="1">
      <alignment vertical="center" wrapText="1"/>
    </xf>
    <xf numFmtId="0" fontId="5" fillId="0" borderId="1" xfId="1" applyFont="1" applyBorder="1" applyAlignment="1">
      <alignment vertical="center" wrapText="1"/>
    </xf>
    <xf numFmtId="0" fontId="17" fillId="0" borderId="1" xfId="1" applyFont="1" applyBorder="1" applyAlignment="1">
      <alignment vertical="center" wrapText="1"/>
    </xf>
    <xf numFmtId="10" fontId="14" fillId="2" borderId="0" xfId="1" applyNumberFormat="1" applyFont="1" applyFill="1">
      <alignment vertical="center"/>
    </xf>
    <xf numFmtId="0" fontId="14" fillId="2" borderId="0" xfId="1" applyFont="1" applyFill="1" applyAlignment="1">
      <alignment vertical="center" wrapText="1"/>
    </xf>
    <xf numFmtId="179" fontId="16"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177" fontId="5" fillId="0" borderId="1" xfId="2" applyNumberFormat="1" applyFont="1" applyBorder="1" applyAlignment="1">
      <alignment horizontal="center" vertical="center" wrapText="1"/>
    </xf>
    <xf numFmtId="0" fontId="5" fillId="0" borderId="1" xfId="2" applyFont="1" applyBorder="1" applyAlignment="1">
      <alignment vertical="center" wrapText="1"/>
    </xf>
    <xf numFmtId="0" fontId="5" fillId="0" borderId="1" xfId="2" applyFont="1" applyBorder="1" applyAlignment="1">
      <alignment horizontal="center" vertical="center" wrapText="1"/>
    </xf>
    <xf numFmtId="4" fontId="5" fillId="0" borderId="1" xfId="2" applyNumberFormat="1" applyFont="1" applyBorder="1" applyAlignment="1">
      <alignment horizontal="center" vertical="center" wrapText="1"/>
    </xf>
    <xf numFmtId="0" fontId="10" fillId="0" borderId="5" xfId="2" applyFont="1" applyBorder="1" applyAlignment="1">
      <alignment horizontal="center" vertical="center" wrapText="1"/>
    </xf>
    <xf numFmtId="0" fontId="5" fillId="0" borderId="9" xfId="2" applyFont="1" applyBorder="1" applyAlignment="1">
      <alignment horizontal="center" vertical="center" wrapText="1"/>
    </xf>
    <xf numFmtId="0" fontId="5"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9" fillId="0" borderId="0" xfId="1" applyFont="1" applyAlignment="1">
      <alignment horizontal="center"/>
    </xf>
    <xf numFmtId="0" fontId="19" fillId="0" borderId="1" xfId="2" applyFont="1" applyBorder="1" applyAlignment="1">
      <alignment horizontal="center" vertical="center" wrapText="1"/>
    </xf>
  </cellXfs>
  <cellStyles count="7">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13</xdr:col>
      <xdr:colOff>564949</xdr:colOff>
      <xdr:row>0</xdr:row>
      <xdr:rowOff>0</xdr:rowOff>
    </xdr:from>
    <xdr:ext cx="3292012" cy="3628293"/>
    <xdr:pic>
      <xdr:nvPicPr>
        <xdr:cNvPr id="2" name="图片 1">
          <a:extLst>
            <a:ext uri="{FF2B5EF4-FFF2-40B4-BE49-F238E27FC236}">
              <a16:creationId xmlns:a16="http://schemas.microsoft.com/office/drawing/2014/main" id="{59AE2465-C08C-4549-BCDD-2327D5CFA6F3}"/>
            </a:ext>
          </a:extLst>
        </xdr:cNvPr>
        <xdr:cNvPicPr>
          <a:picLocks noChangeAspect="1"/>
        </xdr:cNvPicPr>
      </xdr:nvPicPr>
      <xdr:blipFill>
        <a:blip xmlns:r="http://schemas.openxmlformats.org/officeDocument/2006/relationships" r:embed="rId1"/>
        <a:stretch>
          <a:fillRect/>
        </a:stretch>
      </xdr:blipFill>
      <xdr:spPr>
        <a:xfrm>
          <a:off x="9623224" y="0"/>
          <a:ext cx="3292012" cy="3628293"/>
        </a:xfrm>
        <a:prstGeom prst="rect">
          <a:avLst/>
        </a:prstGeom>
      </xdr:spPr>
    </xdr:pic>
    <xdr:clientData/>
  </xdr:oneCellAnchor>
  <xdr:oneCellAnchor>
    <xdr:from>
      <xdr:col>13</xdr:col>
      <xdr:colOff>658138</xdr:colOff>
      <xdr:row>0</xdr:row>
      <xdr:rowOff>85725</xdr:rowOff>
    </xdr:from>
    <xdr:ext cx="3941605" cy="2295040"/>
    <xdr:pic>
      <xdr:nvPicPr>
        <xdr:cNvPr id="3" name="图片 2">
          <a:extLst>
            <a:ext uri="{FF2B5EF4-FFF2-40B4-BE49-F238E27FC236}">
              <a16:creationId xmlns:a16="http://schemas.microsoft.com/office/drawing/2014/main" id="{51F125A0-B1B7-477E-9E0E-53C5EF7F3E5E}"/>
            </a:ext>
          </a:extLst>
        </xdr:cNvPr>
        <xdr:cNvPicPr>
          <a:picLocks noChangeAspect="1"/>
        </xdr:cNvPicPr>
      </xdr:nvPicPr>
      <xdr:blipFill>
        <a:blip xmlns:r="http://schemas.openxmlformats.org/officeDocument/2006/relationships" r:embed="rId2"/>
        <a:stretch>
          <a:fillRect/>
        </a:stretch>
      </xdr:blipFill>
      <xdr:spPr>
        <a:xfrm>
          <a:off x="9716413" y="85725"/>
          <a:ext cx="3941605" cy="2295040"/>
        </a:xfrm>
        <a:prstGeom prst="rect">
          <a:avLst/>
        </a:prstGeom>
      </xdr:spPr>
    </xdr:pic>
    <xdr:clientData/>
  </xdr:oneCellAnchor>
  <xdr:oneCellAnchor>
    <xdr:from>
      <xdr:col>14</xdr:col>
      <xdr:colOff>36354</xdr:colOff>
      <xdr:row>2</xdr:row>
      <xdr:rowOff>114300</xdr:rowOff>
    </xdr:from>
    <xdr:ext cx="4134782" cy="4485392"/>
    <xdr:pic>
      <xdr:nvPicPr>
        <xdr:cNvPr id="4" name="图片 3">
          <a:extLst>
            <a:ext uri="{FF2B5EF4-FFF2-40B4-BE49-F238E27FC236}">
              <a16:creationId xmlns:a16="http://schemas.microsoft.com/office/drawing/2014/main" id="{BC27A483-B342-49BD-A8EE-D7ED4F3CBFAF}"/>
            </a:ext>
          </a:extLst>
        </xdr:cNvPr>
        <xdr:cNvPicPr>
          <a:picLocks noChangeAspect="1"/>
        </xdr:cNvPicPr>
      </xdr:nvPicPr>
      <xdr:blipFill>
        <a:blip xmlns:r="http://schemas.openxmlformats.org/officeDocument/2006/relationships" r:embed="rId3"/>
        <a:stretch>
          <a:fillRect/>
        </a:stretch>
      </xdr:blipFill>
      <xdr:spPr>
        <a:xfrm>
          <a:off x="9780429" y="476250"/>
          <a:ext cx="4134782" cy="4485392"/>
        </a:xfrm>
        <a:prstGeom prst="rect">
          <a:avLst/>
        </a:prstGeom>
      </xdr:spPr>
    </xdr:pic>
    <xdr:clientData/>
  </xdr:oneCellAnchor>
  <xdr:oneCellAnchor>
    <xdr:from>
      <xdr:col>14</xdr:col>
      <xdr:colOff>104775</xdr:colOff>
      <xdr:row>7</xdr:row>
      <xdr:rowOff>152400</xdr:rowOff>
    </xdr:from>
    <xdr:ext cx="6571429" cy="6276190"/>
    <xdr:pic>
      <xdr:nvPicPr>
        <xdr:cNvPr id="5" name="图片 4">
          <a:extLst>
            <a:ext uri="{FF2B5EF4-FFF2-40B4-BE49-F238E27FC236}">
              <a16:creationId xmlns:a16="http://schemas.microsoft.com/office/drawing/2014/main" id="{B4EE8278-FABC-4209-8756-DF08A429BF81}"/>
            </a:ext>
          </a:extLst>
        </xdr:cNvPr>
        <xdr:cNvPicPr>
          <a:picLocks noChangeAspect="1"/>
        </xdr:cNvPicPr>
      </xdr:nvPicPr>
      <xdr:blipFill>
        <a:blip xmlns:r="http://schemas.openxmlformats.org/officeDocument/2006/relationships" r:embed="rId4"/>
        <a:stretch>
          <a:fillRect/>
        </a:stretch>
      </xdr:blipFill>
      <xdr:spPr>
        <a:xfrm>
          <a:off x="9848850" y="1419225"/>
          <a:ext cx="6571429" cy="6276190"/>
        </a:xfrm>
        <a:prstGeom prst="rect">
          <a:avLst/>
        </a:prstGeom>
      </xdr:spPr>
    </xdr:pic>
    <xdr:clientData/>
  </xdr:oneCellAnchor>
  <xdr:oneCellAnchor>
    <xdr:from>
      <xdr:col>14</xdr:col>
      <xdr:colOff>428625</xdr:colOff>
      <xdr:row>11</xdr:row>
      <xdr:rowOff>9525</xdr:rowOff>
    </xdr:from>
    <xdr:ext cx="5314286" cy="7114286"/>
    <xdr:pic>
      <xdr:nvPicPr>
        <xdr:cNvPr id="6" name="图片 5">
          <a:extLst>
            <a:ext uri="{FF2B5EF4-FFF2-40B4-BE49-F238E27FC236}">
              <a16:creationId xmlns:a16="http://schemas.microsoft.com/office/drawing/2014/main" id="{D5F2CE29-0F9F-43B5-AB36-EDB94CBF8FA6}"/>
            </a:ext>
          </a:extLst>
        </xdr:cNvPr>
        <xdr:cNvPicPr>
          <a:picLocks noChangeAspect="1"/>
        </xdr:cNvPicPr>
      </xdr:nvPicPr>
      <xdr:blipFill>
        <a:blip xmlns:r="http://schemas.openxmlformats.org/officeDocument/2006/relationships" r:embed="rId5"/>
        <a:stretch>
          <a:fillRect/>
        </a:stretch>
      </xdr:blipFill>
      <xdr:spPr>
        <a:xfrm>
          <a:off x="10172700" y="2000250"/>
          <a:ext cx="5314286" cy="7114286"/>
        </a:xfrm>
        <a:prstGeom prst="rect">
          <a:avLst/>
        </a:prstGeom>
      </xdr:spPr>
    </xdr:pic>
    <xdr:clientData/>
  </xdr:oneCellAnchor>
  <xdr:oneCellAnchor>
    <xdr:from>
      <xdr:col>14</xdr:col>
      <xdr:colOff>337351</xdr:colOff>
      <xdr:row>23</xdr:row>
      <xdr:rowOff>0</xdr:rowOff>
    </xdr:from>
    <xdr:ext cx="4348299" cy="5999855"/>
    <xdr:pic>
      <xdr:nvPicPr>
        <xdr:cNvPr id="7" name="图片 6">
          <a:extLst>
            <a:ext uri="{FF2B5EF4-FFF2-40B4-BE49-F238E27FC236}">
              <a16:creationId xmlns:a16="http://schemas.microsoft.com/office/drawing/2014/main" id="{8DCEC28C-76A8-4A14-8D95-B02F22B26807}"/>
            </a:ext>
          </a:extLst>
        </xdr:cNvPr>
        <xdr:cNvPicPr>
          <a:picLocks noChangeAspect="1"/>
        </xdr:cNvPicPr>
      </xdr:nvPicPr>
      <xdr:blipFill>
        <a:blip xmlns:r="http://schemas.openxmlformats.org/officeDocument/2006/relationships" r:embed="rId6"/>
        <a:stretch>
          <a:fillRect/>
        </a:stretch>
      </xdr:blipFill>
      <xdr:spPr>
        <a:xfrm>
          <a:off x="10081426" y="4162425"/>
          <a:ext cx="4348299" cy="5999855"/>
        </a:xfrm>
        <a:prstGeom prst="rect">
          <a:avLst/>
        </a:prstGeom>
      </xdr:spPr>
    </xdr:pic>
    <xdr:clientData/>
  </xdr:oneCellAnchor>
  <xdr:oneCellAnchor>
    <xdr:from>
      <xdr:col>13</xdr:col>
      <xdr:colOff>514350</xdr:colOff>
      <xdr:row>34</xdr:row>
      <xdr:rowOff>104775</xdr:rowOff>
    </xdr:from>
    <xdr:ext cx="5342857" cy="7123809"/>
    <xdr:pic>
      <xdr:nvPicPr>
        <xdr:cNvPr id="8" name="图片 7">
          <a:extLst>
            <a:ext uri="{FF2B5EF4-FFF2-40B4-BE49-F238E27FC236}">
              <a16:creationId xmlns:a16="http://schemas.microsoft.com/office/drawing/2014/main" id="{E10AE50F-17E8-4B3E-8E4E-551ADE25E1B4}"/>
            </a:ext>
          </a:extLst>
        </xdr:cNvPr>
        <xdr:cNvPicPr>
          <a:picLocks noChangeAspect="1"/>
        </xdr:cNvPicPr>
      </xdr:nvPicPr>
      <xdr:blipFill>
        <a:blip xmlns:r="http://schemas.openxmlformats.org/officeDocument/2006/relationships" r:embed="rId7"/>
        <a:stretch>
          <a:fillRect/>
        </a:stretch>
      </xdr:blipFill>
      <xdr:spPr>
        <a:xfrm>
          <a:off x="9572625" y="6257925"/>
          <a:ext cx="5342857" cy="7123809"/>
        </a:xfrm>
        <a:prstGeom prst="rect">
          <a:avLst/>
        </a:prstGeom>
      </xdr:spPr>
    </xdr:pic>
    <xdr:clientData/>
  </xdr:oneCellAnchor>
  <xdr:oneCellAnchor>
    <xdr:from>
      <xdr:col>12</xdr:col>
      <xdr:colOff>190500</xdr:colOff>
      <xdr:row>42</xdr:row>
      <xdr:rowOff>57150</xdr:rowOff>
    </xdr:from>
    <xdr:ext cx="6838095" cy="2590476"/>
    <xdr:pic>
      <xdr:nvPicPr>
        <xdr:cNvPr id="9" name="图片 8">
          <a:extLst>
            <a:ext uri="{FF2B5EF4-FFF2-40B4-BE49-F238E27FC236}">
              <a16:creationId xmlns:a16="http://schemas.microsoft.com/office/drawing/2014/main" id="{1DFD8A41-1AE0-4872-8523-A325F66EED32}"/>
            </a:ext>
          </a:extLst>
        </xdr:cNvPr>
        <xdr:cNvPicPr>
          <a:picLocks noChangeAspect="1"/>
        </xdr:cNvPicPr>
      </xdr:nvPicPr>
      <xdr:blipFill>
        <a:blip xmlns:r="http://schemas.openxmlformats.org/officeDocument/2006/relationships" r:embed="rId8"/>
        <a:stretch>
          <a:fillRect/>
        </a:stretch>
      </xdr:blipFill>
      <xdr:spPr>
        <a:xfrm>
          <a:off x="8562975" y="7658100"/>
          <a:ext cx="6838095" cy="2590476"/>
        </a:xfrm>
        <a:prstGeom prst="rect">
          <a:avLst/>
        </a:prstGeom>
      </xdr:spPr>
    </xdr:pic>
    <xdr:clientData/>
  </xdr:oneCellAnchor>
  <xdr:oneCellAnchor>
    <xdr:from>
      <xdr:col>13</xdr:col>
      <xdr:colOff>504825</xdr:colOff>
      <xdr:row>1</xdr:row>
      <xdr:rowOff>76200</xdr:rowOff>
    </xdr:from>
    <xdr:ext cx="5295238" cy="7142857"/>
    <xdr:pic>
      <xdr:nvPicPr>
        <xdr:cNvPr id="10" name="图片 9">
          <a:extLst>
            <a:ext uri="{FF2B5EF4-FFF2-40B4-BE49-F238E27FC236}">
              <a16:creationId xmlns:a16="http://schemas.microsoft.com/office/drawing/2014/main" id="{5ED20387-4328-4079-9B51-5EB63D60A708}"/>
            </a:ext>
          </a:extLst>
        </xdr:cNvPr>
        <xdr:cNvPicPr>
          <a:picLocks noChangeAspect="1"/>
        </xdr:cNvPicPr>
      </xdr:nvPicPr>
      <xdr:blipFill>
        <a:blip xmlns:r="http://schemas.openxmlformats.org/officeDocument/2006/relationships" r:embed="rId9"/>
        <a:stretch>
          <a:fillRect/>
        </a:stretch>
      </xdr:blipFill>
      <xdr:spPr>
        <a:xfrm>
          <a:off x="9563100" y="257175"/>
          <a:ext cx="5295238" cy="7142857"/>
        </a:xfrm>
        <a:prstGeom prst="rect">
          <a:avLst/>
        </a:prstGeom>
      </xdr:spPr>
    </xdr:pic>
    <xdr:clientData/>
  </xdr:oneCellAnchor>
  <xdr:oneCellAnchor>
    <xdr:from>
      <xdr:col>13</xdr:col>
      <xdr:colOff>28575</xdr:colOff>
      <xdr:row>5</xdr:row>
      <xdr:rowOff>133350</xdr:rowOff>
    </xdr:from>
    <xdr:ext cx="5047619" cy="6333333"/>
    <xdr:pic>
      <xdr:nvPicPr>
        <xdr:cNvPr id="11" name="图片 10">
          <a:extLst>
            <a:ext uri="{FF2B5EF4-FFF2-40B4-BE49-F238E27FC236}">
              <a16:creationId xmlns:a16="http://schemas.microsoft.com/office/drawing/2014/main" id="{724467F0-BF66-4B99-B3A3-F4415BABD51A}"/>
            </a:ext>
          </a:extLst>
        </xdr:cNvPr>
        <xdr:cNvPicPr>
          <a:picLocks noChangeAspect="1"/>
        </xdr:cNvPicPr>
      </xdr:nvPicPr>
      <xdr:blipFill>
        <a:blip xmlns:r="http://schemas.openxmlformats.org/officeDocument/2006/relationships" r:embed="rId10"/>
        <a:stretch>
          <a:fillRect/>
        </a:stretch>
      </xdr:blipFill>
      <xdr:spPr>
        <a:xfrm>
          <a:off x="9086850" y="1038225"/>
          <a:ext cx="5047619" cy="633333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E7" sqref="E7"/>
    </sheetView>
  </sheetViews>
  <sheetFormatPr defaultColWidth="14.625" defaultRowHeight="14.25" x14ac:dyDescent="0.2"/>
  <cols>
    <col min="1" max="1" width="24.375" style="1" customWidth="1"/>
    <col min="2" max="16384" width="14.625" style="1"/>
  </cols>
  <sheetData>
    <row r="1" spans="1:9" ht="16.5" x14ac:dyDescent="0.2">
      <c r="A1" s="14" t="s">
        <v>31</v>
      </c>
      <c r="B1" s="15">
        <v>145</v>
      </c>
      <c r="C1" s="16"/>
      <c r="D1" s="16"/>
      <c r="E1" s="16"/>
      <c r="F1" s="16"/>
      <c r="G1" s="17"/>
    </row>
    <row r="2" spans="1:9" ht="16.5" x14ac:dyDescent="0.2">
      <c r="A2" s="14" t="s">
        <v>32</v>
      </c>
      <c r="B2" s="14">
        <f>SUM(C14:C23)</f>
        <v>0</v>
      </c>
      <c r="C2" s="16"/>
      <c r="D2" s="16"/>
      <c r="E2" s="16"/>
      <c r="F2" s="16"/>
      <c r="G2" s="17"/>
    </row>
    <row r="3" spans="1:9" ht="33" x14ac:dyDescent="0.2">
      <c r="A3" s="14" t="s">
        <v>33</v>
      </c>
      <c r="B3" s="18" t="s">
        <v>59</v>
      </c>
      <c r="C3" s="16"/>
      <c r="D3" s="16"/>
      <c r="E3" s="16"/>
      <c r="F3" s="16"/>
      <c r="G3" s="17"/>
    </row>
    <row r="4" spans="1:9" ht="33" x14ac:dyDescent="0.2">
      <c r="A4" s="14" t="s">
        <v>34</v>
      </c>
      <c r="B4" s="14" t="s">
        <v>35</v>
      </c>
      <c r="C4" s="14" t="s">
        <v>36</v>
      </c>
      <c r="D4" s="14" t="s">
        <v>37</v>
      </c>
      <c r="E4" s="16"/>
      <c r="F4" s="17"/>
      <c r="G4" s="17"/>
    </row>
    <row r="5" spans="1:9" ht="16.5" x14ac:dyDescent="0.2">
      <c r="A5" s="14" t="s">
        <v>60</v>
      </c>
      <c r="B5" s="14">
        <f>SUM(D14:D23)</f>
        <v>1812.5</v>
      </c>
      <c r="C5" s="14">
        <f>ROUND(B5*10000/$B$1,0)</f>
        <v>125000</v>
      </c>
      <c r="D5" s="14" t="e">
        <f>ROUND(B5*10000/$B$2,0)</f>
        <v>#DIV/0!</v>
      </c>
      <c r="E5" s="16"/>
      <c r="F5" s="17"/>
      <c r="G5" s="17"/>
    </row>
    <row r="6" spans="1:9" ht="16.5" x14ac:dyDescent="0.2">
      <c r="A6" s="14" t="s">
        <v>38</v>
      </c>
      <c r="B6" s="14">
        <f>SUM(D14:D23)</f>
        <v>1812.5</v>
      </c>
      <c r="C6" s="14">
        <f>ROUND(B6*10000/$B$1,0)</f>
        <v>125000</v>
      </c>
      <c r="D6" s="14" t="e">
        <f>#N/A</f>
        <v>#N/A</v>
      </c>
      <c r="E6" s="16"/>
      <c r="F6" s="17"/>
      <c r="G6" s="17"/>
    </row>
    <row r="7" spans="1:9" ht="16.5" x14ac:dyDescent="0.2">
      <c r="A7" s="14" t="s">
        <v>39</v>
      </c>
      <c r="B7" s="14">
        <f>B5</f>
        <v>1812.5</v>
      </c>
      <c r="C7" s="14" t="e">
        <f>#N/A</f>
        <v>#N/A</v>
      </c>
      <c r="D7" s="14" t="e">
        <f>#N/A</f>
        <v>#N/A</v>
      </c>
      <c r="E7" s="16"/>
      <c r="F7" s="17"/>
      <c r="G7" s="17"/>
    </row>
    <row r="8" spans="1:9" ht="16.5" x14ac:dyDescent="0.2">
      <c r="A8" s="14" t="s">
        <v>40</v>
      </c>
      <c r="B8" s="14">
        <f>B5</f>
        <v>1812.5</v>
      </c>
      <c r="C8" s="14" t="e">
        <f>#N/A</f>
        <v>#N/A</v>
      </c>
      <c r="D8" s="14" t="e">
        <f>#N/A</f>
        <v>#N/A</v>
      </c>
      <c r="E8" s="16"/>
      <c r="F8" s="17"/>
      <c r="G8" s="17"/>
    </row>
    <row r="9" spans="1:9" ht="16.5" x14ac:dyDescent="0.2">
      <c r="A9" s="14" t="s">
        <v>41</v>
      </c>
      <c r="B9" s="19">
        <f>B5</f>
        <v>1812.5</v>
      </c>
      <c r="C9" s="16"/>
      <c r="D9" s="16"/>
      <c r="E9" s="16"/>
      <c r="F9" s="17"/>
      <c r="G9" s="17"/>
    </row>
    <row r="10" spans="1:9" ht="16.5" x14ac:dyDescent="0.2">
      <c r="A10" s="14" t="s">
        <v>42</v>
      </c>
      <c r="B10" s="19">
        <f>B5</f>
        <v>1812.5</v>
      </c>
      <c r="C10" s="16"/>
      <c r="D10" s="16"/>
      <c r="E10" s="16"/>
      <c r="F10" s="17"/>
      <c r="G10" s="17"/>
    </row>
    <row r="11" spans="1:9" ht="16.5" x14ac:dyDescent="0.2">
      <c r="A11" s="14" t="s">
        <v>43</v>
      </c>
      <c r="B11" s="19">
        <f>B5</f>
        <v>1812.5</v>
      </c>
      <c r="C11" s="16"/>
      <c r="D11" s="16"/>
      <c r="E11" s="16"/>
      <c r="F11" s="17"/>
      <c r="G11" s="17"/>
    </row>
    <row r="12" spans="1:9" ht="16.5" x14ac:dyDescent="0.2">
      <c r="A12" s="16"/>
      <c r="B12" s="16"/>
      <c r="C12" s="16"/>
      <c r="D12" s="16"/>
      <c r="E12" s="16"/>
      <c r="F12" s="17"/>
      <c r="G12" s="17"/>
    </row>
    <row r="13" spans="1:9" ht="33" x14ac:dyDescent="0.2">
      <c r="A13" s="20" t="s">
        <v>44</v>
      </c>
      <c r="B13" s="21" t="s">
        <v>31</v>
      </c>
      <c r="C13" s="21" t="s">
        <v>32</v>
      </c>
      <c r="D13" s="21" t="s">
        <v>45</v>
      </c>
      <c r="E13" s="14" t="s">
        <v>36</v>
      </c>
      <c r="F13" s="14" t="s">
        <v>37</v>
      </c>
      <c r="G13" s="21" t="s">
        <v>46</v>
      </c>
      <c r="H13" s="21" t="s">
        <v>47</v>
      </c>
      <c r="I13" s="21" t="s">
        <v>48</v>
      </c>
    </row>
    <row r="14" spans="1:9" ht="16.5" x14ac:dyDescent="0.2">
      <c r="A14" s="22" t="s">
        <v>49</v>
      </c>
      <c r="B14" s="21">
        <f>B1</f>
        <v>145</v>
      </c>
      <c r="C14" s="21">
        <v>0</v>
      </c>
      <c r="D14" s="21">
        <f>B14*E14/10000</f>
        <v>1812.5</v>
      </c>
      <c r="E14" s="21">
        <v>125000</v>
      </c>
      <c r="F14" s="21" t="e">
        <f>ROUND(D14*10000/C14,0)</f>
        <v>#DIV/0!</v>
      </c>
      <c r="G14" s="21">
        <v>0</v>
      </c>
      <c r="H14" s="21">
        <v>0</v>
      </c>
      <c r="I14" s="21">
        <v>0</v>
      </c>
    </row>
    <row r="15" spans="1:9" ht="16.5" x14ac:dyDescent="0.2">
      <c r="A15" s="23" t="s">
        <v>50</v>
      </c>
      <c r="B15" s="24"/>
      <c r="C15" s="24"/>
      <c r="D15" s="24"/>
      <c r="E15" s="21" t="e">
        <f t="shared" ref="E15:E23" si="0">ROUND(D15*10000/B15,0)</f>
        <v>#DIV/0!</v>
      </c>
      <c r="F15" s="21" t="e">
        <f t="shared" ref="F15:F23" si="1">ROUND(D15*10000/C15,0)</f>
        <v>#DIV/0!</v>
      </c>
      <c r="G15" s="25"/>
      <c r="H15" s="25"/>
      <c r="I15" s="24"/>
    </row>
    <row r="16" spans="1:9" ht="16.5" x14ac:dyDescent="0.2">
      <c r="A16" s="23" t="s">
        <v>51</v>
      </c>
      <c r="B16" s="24"/>
      <c r="C16" s="24"/>
      <c r="D16" s="24"/>
      <c r="E16" s="21" t="e">
        <f t="shared" si="0"/>
        <v>#DIV/0!</v>
      </c>
      <c r="F16" s="21" t="e">
        <f t="shared" si="1"/>
        <v>#DIV/0!</v>
      </c>
      <c r="G16" s="25"/>
      <c r="H16" s="25"/>
      <c r="I16" s="24"/>
    </row>
    <row r="17" spans="1:9" ht="16.5" x14ac:dyDescent="0.2">
      <c r="A17" s="23" t="s">
        <v>52</v>
      </c>
      <c r="B17" s="24"/>
      <c r="C17" s="24"/>
      <c r="D17" s="24"/>
      <c r="E17" s="21" t="e">
        <f t="shared" si="0"/>
        <v>#DIV/0!</v>
      </c>
      <c r="F17" s="21" t="e">
        <f t="shared" si="1"/>
        <v>#DIV/0!</v>
      </c>
      <c r="G17" s="25"/>
      <c r="H17" s="25"/>
      <c r="I17" s="24"/>
    </row>
    <row r="18" spans="1:9" ht="16.5" x14ac:dyDescent="0.2">
      <c r="A18" s="23" t="s">
        <v>53</v>
      </c>
      <c r="B18" s="24"/>
      <c r="C18" s="24"/>
      <c r="D18" s="24"/>
      <c r="E18" s="21" t="e">
        <f t="shared" si="0"/>
        <v>#DIV/0!</v>
      </c>
      <c r="F18" s="21" t="e">
        <f t="shared" si="1"/>
        <v>#DIV/0!</v>
      </c>
      <c r="G18" s="24"/>
      <c r="H18" s="24"/>
      <c r="I18" s="24"/>
    </row>
    <row r="19" spans="1:9" ht="16.5" x14ac:dyDescent="0.2">
      <c r="A19" s="23" t="s">
        <v>54</v>
      </c>
      <c r="B19" s="24"/>
      <c r="C19" s="24"/>
      <c r="D19" s="24"/>
      <c r="E19" s="21" t="e">
        <f t="shared" si="0"/>
        <v>#DIV/0!</v>
      </c>
      <c r="F19" s="21" t="e">
        <f t="shared" si="1"/>
        <v>#DIV/0!</v>
      </c>
      <c r="G19" s="24"/>
      <c r="H19" s="24"/>
      <c r="I19" s="24"/>
    </row>
    <row r="20" spans="1:9" ht="16.5" x14ac:dyDescent="0.2">
      <c r="A20" s="23" t="s">
        <v>55</v>
      </c>
      <c r="B20" s="24"/>
      <c r="C20" s="24"/>
      <c r="D20" s="24"/>
      <c r="E20" s="21" t="e">
        <f t="shared" si="0"/>
        <v>#DIV/0!</v>
      </c>
      <c r="F20" s="21" t="e">
        <f t="shared" si="1"/>
        <v>#DIV/0!</v>
      </c>
      <c r="G20" s="24"/>
      <c r="H20" s="24"/>
      <c r="I20" s="24"/>
    </row>
    <row r="21" spans="1:9" ht="16.5" x14ac:dyDescent="0.2">
      <c r="A21" s="23" t="s">
        <v>56</v>
      </c>
      <c r="B21" s="24"/>
      <c r="C21" s="24"/>
      <c r="D21" s="24"/>
      <c r="E21" s="21" t="e">
        <f t="shared" si="0"/>
        <v>#DIV/0!</v>
      </c>
      <c r="F21" s="21" t="e">
        <f t="shared" si="1"/>
        <v>#DIV/0!</v>
      </c>
      <c r="G21" s="24"/>
      <c r="H21" s="24"/>
      <c r="I21" s="24"/>
    </row>
    <row r="22" spans="1:9" ht="16.5" x14ac:dyDescent="0.2">
      <c r="A22" s="23" t="s">
        <v>57</v>
      </c>
      <c r="B22" s="24"/>
      <c r="C22" s="24"/>
      <c r="D22" s="24"/>
      <c r="E22" s="21" t="e">
        <f t="shared" si="0"/>
        <v>#DIV/0!</v>
      </c>
      <c r="F22" s="21" t="e">
        <f t="shared" si="1"/>
        <v>#DIV/0!</v>
      </c>
      <c r="G22" s="24"/>
      <c r="H22" s="24"/>
      <c r="I22" s="24"/>
    </row>
    <row r="23" spans="1:9" ht="16.5" x14ac:dyDescent="0.2">
      <c r="A23" s="23" t="s">
        <v>58</v>
      </c>
      <c r="B23" s="24"/>
      <c r="C23" s="24"/>
      <c r="D23" s="24"/>
      <c r="E23" s="14" t="e">
        <f t="shared" si="0"/>
        <v>#DIV/0!</v>
      </c>
      <c r="F23" s="14" t="e">
        <f t="shared" si="1"/>
        <v>#DIV/0!</v>
      </c>
      <c r="G23" s="24"/>
      <c r="H23" s="24"/>
      <c r="I23" s="24"/>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62.25" x14ac:dyDescent="0.2">
      <c r="A2" s="27">
        <v>1</v>
      </c>
      <c r="B2" s="26" t="s">
        <v>90</v>
      </c>
      <c r="C2" s="33" t="e">
        <f>F2</f>
        <v>#REF!</v>
      </c>
      <c r="D2" s="34" t="s">
        <v>127</v>
      </c>
      <c r="E2" s="4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128</v>
      </c>
      <c r="E4" s="29" t="e">
        <f>#REF!</f>
        <v>#REF!</v>
      </c>
      <c r="F4" s="1" t="e">
        <f>ROUND(E4*1.5*12,2)</f>
        <v>#REF!</v>
      </c>
    </row>
    <row r="5" spans="1:8" ht="24.75" x14ac:dyDescent="0.2">
      <c r="A5" s="27">
        <v>2.2000000000000002</v>
      </c>
      <c r="B5" s="26" t="s">
        <v>93</v>
      </c>
      <c r="C5" s="31" t="e">
        <f>ROUND(E5,2)</f>
        <v>#REF!</v>
      </c>
      <c r="D5" s="35" t="s">
        <v>129</v>
      </c>
      <c r="E5" s="30" t="e">
        <f>ROUND(4500*G5*0.1%*E4,2)</f>
        <v>#REF!</v>
      </c>
      <c r="F5" s="37">
        <v>1E-3</v>
      </c>
      <c r="G5" s="40" t="e">
        <f>#REF!</f>
        <v>#REF!</v>
      </c>
    </row>
    <row r="6" spans="1:8" ht="24.75" x14ac:dyDescent="0.2">
      <c r="A6" s="27">
        <v>2.2999999999999998</v>
      </c>
      <c r="B6" s="26" t="s">
        <v>94</v>
      </c>
      <c r="C6" s="27" t="e">
        <f>#REF!</f>
        <v>#REF!</v>
      </c>
      <c r="D6" s="35" t="s">
        <v>130</v>
      </c>
      <c r="E6" s="1" t="s">
        <v>84</v>
      </c>
      <c r="H6" s="32"/>
    </row>
    <row r="7" spans="1:8" x14ac:dyDescent="0.2">
      <c r="A7" s="27">
        <v>3</v>
      </c>
      <c r="B7" s="26" t="s">
        <v>95</v>
      </c>
      <c r="C7" s="27" t="e">
        <f>C8+C9+C10</f>
        <v>#REF!</v>
      </c>
      <c r="D7" s="35" t="s">
        <v>67</v>
      </c>
    </row>
    <row r="8" spans="1:8" ht="24.75" x14ac:dyDescent="0.2">
      <c r="A8" s="27">
        <v>3.1</v>
      </c>
      <c r="B8" s="26" t="s">
        <v>96</v>
      </c>
      <c r="C8" s="27" t="e">
        <f>E8</f>
        <v>#REF!</v>
      </c>
      <c r="D8" s="34" t="s">
        <v>153</v>
      </c>
      <c r="E8" s="1" t="e">
        <f>ROUND(59.83*12*E4*2%,2)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133</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62.25" x14ac:dyDescent="0.2">
      <c r="A2" s="27">
        <v>1</v>
      </c>
      <c r="B2" s="26" t="s">
        <v>90</v>
      </c>
      <c r="C2" s="33" t="e">
        <f>F2</f>
        <v>#REF!</v>
      </c>
      <c r="D2" s="34" t="s">
        <v>134</v>
      </c>
      <c r="E2" s="42"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135</v>
      </c>
      <c r="E4" s="29" t="e">
        <f>#REF!</f>
        <v>#REF!</v>
      </c>
      <c r="F4" s="1" t="e">
        <f>ROUND(E4*1.5*12,2)</f>
        <v>#REF!</v>
      </c>
    </row>
    <row r="5" spans="1:8" ht="24.75" x14ac:dyDescent="0.2">
      <c r="A5" s="27">
        <v>2.2000000000000002</v>
      </c>
      <c r="B5" s="26" t="s">
        <v>93</v>
      </c>
      <c r="C5" s="31" t="e">
        <f>ROUND(E5,2)</f>
        <v>#REF!</v>
      </c>
      <c r="D5" s="35" t="s">
        <v>136</v>
      </c>
      <c r="E5" s="30" t="e">
        <f>ROUND(4500*G5*0.1%*E4,2)</f>
        <v>#REF!</v>
      </c>
      <c r="F5" s="37">
        <v>1E-3</v>
      </c>
      <c r="G5" s="40" t="e">
        <f>#REF!</f>
        <v>#REF!</v>
      </c>
    </row>
    <row r="6" spans="1:8" ht="24.75" x14ac:dyDescent="0.2">
      <c r="A6" s="27">
        <v>2.2999999999999998</v>
      </c>
      <c r="B6" s="26" t="s">
        <v>94</v>
      </c>
      <c r="C6" s="27" t="e">
        <f>#REF!</f>
        <v>#REF!</v>
      </c>
      <c r="D6" s="35" t="s">
        <v>137</v>
      </c>
      <c r="E6" s="1" t="s">
        <v>84</v>
      </c>
      <c r="H6" s="32"/>
    </row>
    <row r="7" spans="1:8" x14ac:dyDescent="0.2">
      <c r="A7" s="27">
        <v>3</v>
      </c>
      <c r="B7" s="26" t="s">
        <v>95</v>
      </c>
      <c r="C7" s="27" t="e">
        <f>C8+C9+C10</f>
        <v>#REF!</v>
      </c>
      <c r="D7" s="35" t="s">
        <v>67</v>
      </c>
    </row>
    <row r="8" spans="1:8" ht="24.75" x14ac:dyDescent="0.2">
      <c r="A8" s="27">
        <v>3.1</v>
      </c>
      <c r="B8" s="26" t="s">
        <v>96</v>
      </c>
      <c r="C8" s="27" t="e">
        <f>E8</f>
        <v>#REF!</v>
      </c>
      <c r="D8" s="34" t="s">
        <v>154</v>
      </c>
      <c r="E8" s="1" t="e">
        <f>ROUND(62.69*12*E4*2%,2)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138</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62.25" x14ac:dyDescent="0.2">
      <c r="A2" s="27">
        <v>1</v>
      </c>
      <c r="B2" s="26" t="s">
        <v>90</v>
      </c>
      <c r="C2" s="33" t="e">
        <f>F2</f>
        <v>#REF!</v>
      </c>
      <c r="D2" s="34" t="s">
        <v>140</v>
      </c>
      <c r="E2" s="42"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141</v>
      </c>
      <c r="E4" s="29" t="e">
        <f>#REF!</f>
        <v>#REF!</v>
      </c>
      <c r="F4" s="1" t="e">
        <f>ROUND(E4*1.5*12,2)</f>
        <v>#REF!</v>
      </c>
    </row>
    <row r="5" spans="1:8" ht="36.75" x14ac:dyDescent="0.2">
      <c r="A5" s="27">
        <v>2.2000000000000002</v>
      </c>
      <c r="B5" s="26" t="s">
        <v>93</v>
      </c>
      <c r="C5" s="31" t="e">
        <f>ROUND(E5,2)</f>
        <v>#REF!</v>
      </c>
      <c r="D5" s="35" t="s">
        <v>142</v>
      </c>
      <c r="E5" s="30" t="e">
        <f>ROUND(4000*G5*0.1%*E4,2)</f>
        <v>#REF!</v>
      </c>
      <c r="F5" s="37">
        <v>1E-3</v>
      </c>
      <c r="G5" s="40" t="e">
        <f>#REF!</f>
        <v>#REF!</v>
      </c>
    </row>
    <row r="6" spans="1:8" ht="24.75" x14ac:dyDescent="0.2">
      <c r="A6" s="27">
        <v>2.2999999999999998</v>
      </c>
      <c r="B6" s="26" t="s">
        <v>94</v>
      </c>
      <c r="C6" s="27" t="e">
        <f>#REF!</f>
        <v>#REF!</v>
      </c>
      <c r="D6" s="35" t="s">
        <v>143</v>
      </c>
      <c r="E6" s="1" t="s">
        <v>84</v>
      </c>
      <c r="H6" s="32"/>
    </row>
    <row r="7" spans="1:8" x14ac:dyDescent="0.2">
      <c r="A7" s="27">
        <v>3</v>
      </c>
      <c r="B7" s="26" t="s">
        <v>95</v>
      </c>
      <c r="C7" s="27" t="e">
        <f>C8+C9+C10</f>
        <v>#REF!</v>
      </c>
      <c r="D7" s="35" t="s">
        <v>67</v>
      </c>
    </row>
    <row r="8" spans="1:8" ht="24.75" x14ac:dyDescent="0.2">
      <c r="A8" s="27">
        <v>3.1</v>
      </c>
      <c r="B8" s="26" t="s">
        <v>96</v>
      </c>
      <c r="C8" s="27" t="e">
        <f>E8</f>
        <v>#REF!</v>
      </c>
      <c r="D8" s="34" t="s">
        <v>155</v>
      </c>
      <c r="E8" s="1" t="e">
        <f>ROUND(54.76*12*E4*2%,2)</f>
        <v>#REF!</v>
      </c>
    </row>
    <row r="9" spans="1:8" ht="38.25" customHeight="1" x14ac:dyDescent="0.2">
      <c r="A9" s="27">
        <v>3.2</v>
      </c>
      <c r="B9" s="26" t="s">
        <v>97</v>
      </c>
      <c r="C9" s="27">
        <v>0</v>
      </c>
      <c r="D9" s="34" t="s">
        <v>145</v>
      </c>
      <c r="E9" s="1" t="e">
        <f>ROUND(E2*0.7*4.2%*0.9,2)</f>
        <v>#REF!</v>
      </c>
      <c r="F9" s="1">
        <f>4.2%*0.9</f>
        <v>3.78E-2</v>
      </c>
      <c r="G9" s="38" t="s">
        <v>86</v>
      </c>
    </row>
    <row r="10" spans="1:8" ht="57" x14ac:dyDescent="0.2">
      <c r="A10" s="27">
        <v>3.3</v>
      </c>
      <c r="B10" s="26" t="s">
        <v>98</v>
      </c>
      <c r="C10" s="27" t="e">
        <f>ROUND((C2)*3%,2)</f>
        <v>#REF!</v>
      </c>
      <c r="D10" s="34" t="s">
        <v>144</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x14ac:dyDescent="0.2">
      <c r="A1" s="26" t="s">
        <v>0</v>
      </c>
      <c r="B1" s="26" t="s">
        <v>63</v>
      </c>
      <c r="C1" s="26" t="s">
        <v>64</v>
      </c>
      <c r="D1" s="26" t="s">
        <v>65</v>
      </c>
    </row>
    <row r="2" spans="1:8" ht="135" x14ac:dyDescent="0.2">
      <c r="A2" s="27">
        <v>1</v>
      </c>
      <c r="B2" s="26" t="s">
        <v>71</v>
      </c>
      <c r="C2" s="33" t="e">
        <f>F2</f>
        <v>#REF!</v>
      </c>
      <c r="D2" s="34" t="s">
        <v>104</v>
      </c>
      <c r="E2" s="1" t="e">
        <f>#REF!</f>
        <v>#REF!</v>
      </c>
      <c r="F2" s="13" t="e">
        <f>#REF!</f>
        <v>#REF!</v>
      </c>
    </row>
    <row r="3" spans="1:8" x14ac:dyDescent="0.2">
      <c r="A3" s="27">
        <v>2</v>
      </c>
      <c r="B3" s="26" t="s">
        <v>72</v>
      </c>
      <c r="C3" s="27" t="e">
        <f>C4+C5+C6</f>
        <v>#REF!</v>
      </c>
      <c r="D3" s="35" t="s">
        <v>66</v>
      </c>
    </row>
    <row r="4" spans="1:8" ht="38.25" x14ac:dyDescent="0.2">
      <c r="A4" s="27">
        <v>2.1</v>
      </c>
      <c r="B4" s="26" t="s">
        <v>73</v>
      </c>
      <c r="C4" s="33">
        <f>F4</f>
        <v>75.95</v>
      </c>
      <c r="D4" s="35" t="s">
        <v>82</v>
      </c>
      <c r="E4" s="29">
        <v>42194.79</v>
      </c>
      <c r="F4" s="1">
        <f>ROUND(E4*1.5*12/10000,2)</f>
        <v>75.95</v>
      </c>
    </row>
    <row r="5" spans="1:8" ht="135.75" x14ac:dyDescent="0.2">
      <c r="A5" s="27">
        <v>2.2000000000000002</v>
      </c>
      <c r="B5" s="26" t="s">
        <v>74</v>
      </c>
      <c r="C5" s="31">
        <f>ROUND(E5,2)</f>
        <v>2.4</v>
      </c>
      <c r="D5" s="36" t="s">
        <v>88</v>
      </c>
      <c r="E5" s="30">
        <f>ROUND(24013.73*0.01%,2)</f>
        <v>2.4</v>
      </c>
      <c r="F5" s="37">
        <v>1E-3</v>
      </c>
    </row>
    <row r="6" spans="1:8" ht="24" x14ac:dyDescent="0.2">
      <c r="A6" s="27">
        <v>2.2999999999999998</v>
      </c>
      <c r="B6" s="26" t="s">
        <v>75</v>
      </c>
      <c r="C6" s="27" t="e">
        <f>#REF!</f>
        <v>#REF!</v>
      </c>
      <c r="D6" s="34" t="s">
        <v>81</v>
      </c>
      <c r="E6" s="1" t="s">
        <v>84</v>
      </c>
      <c r="H6" s="32"/>
    </row>
    <row r="7" spans="1:8" x14ac:dyDescent="0.2">
      <c r="A7" s="27">
        <v>3</v>
      </c>
      <c r="B7" s="26" t="s">
        <v>76</v>
      </c>
      <c r="C7" s="27" t="e">
        <f>C8+C9+C10</f>
        <v>#REF!</v>
      </c>
      <c r="D7" s="35" t="s">
        <v>67</v>
      </c>
    </row>
    <row r="8" spans="1:8" ht="24.75" x14ac:dyDescent="0.2">
      <c r="A8" s="27">
        <v>3.1</v>
      </c>
      <c r="B8" s="26" t="s">
        <v>77</v>
      </c>
      <c r="C8" s="27">
        <f>E8</f>
        <v>58.09</v>
      </c>
      <c r="D8" s="34" t="s">
        <v>83</v>
      </c>
      <c r="E8" s="1">
        <f>ROUND(57.36*12*E4*2%/10000,2)</f>
        <v>58.09</v>
      </c>
    </row>
    <row r="9" spans="1:8" ht="57" x14ac:dyDescent="0.2">
      <c r="A9" s="27">
        <v>3.2</v>
      </c>
      <c r="B9" s="26" t="s">
        <v>78</v>
      </c>
      <c r="C9" s="27">
        <v>0</v>
      </c>
      <c r="D9" s="34" t="s">
        <v>89</v>
      </c>
      <c r="E9" s="1" t="e">
        <f>ROUND(E2*0.7*4.2%*0.9,2)</f>
        <v>#REF!</v>
      </c>
      <c r="F9" s="1">
        <f>4.2%*0.9</f>
        <v>3.78E-2</v>
      </c>
      <c r="G9" s="38" t="s">
        <v>86</v>
      </c>
    </row>
    <row r="10" spans="1:8" ht="57" x14ac:dyDescent="0.2">
      <c r="A10" s="27">
        <v>3.3</v>
      </c>
      <c r="B10" s="26" t="s">
        <v>79</v>
      </c>
      <c r="C10" s="27" t="e">
        <f>ROUND((C2)*3%,2)</f>
        <v>#REF!</v>
      </c>
      <c r="D10" s="34" t="s">
        <v>87</v>
      </c>
      <c r="E10" s="38" t="s">
        <v>85</v>
      </c>
    </row>
    <row r="11" spans="1:8" ht="20.25" customHeight="1" x14ac:dyDescent="0.2">
      <c r="A11" s="27">
        <v>4</v>
      </c>
      <c r="B11" s="26" t="s">
        <v>80</v>
      </c>
      <c r="C11" s="33" t="e">
        <f>C2+C3+C7</f>
        <v>#REF!</v>
      </c>
      <c r="D11" s="28" t="s">
        <v>68</v>
      </c>
    </row>
    <row r="12" spans="1:8" ht="25.5" x14ac:dyDescent="0.2">
      <c r="A12" s="27">
        <v>5</v>
      </c>
      <c r="B12" s="26" t="s">
        <v>69</v>
      </c>
      <c r="C12" s="27" t="e">
        <f>ROUND(C11*10000/E4/12,2)</f>
        <v>#REF!</v>
      </c>
      <c r="D12" s="28" t="s">
        <v>70</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abSelected="1" topLeftCell="A4" zoomScaleSheetLayoutView="100" workbookViewId="0">
      <selection activeCell="G23" sqref="G23"/>
    </sheetView>
  </sheetViews>
  <sheetFormatPr defaultColWidth="9" defaultRowHeight="14.25" x14ac:dyDescent="0.2"/>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x14ac:dyDescent="0.15">
      <c r="A1" s="62" t="s">
        <v>28</v>
      </c>
      <c r="B1" s="62"/>
      <c r="C1" s="62"/>
      <c r="D1" s="62"/>
      <c r="E1" s="62"/>
      <c r="F1" s="62"/>
      <c r="G1" s="62"/>
      <c r="H1" s="62"/>
    </row>
    <row r="2" spans="1:11" x14ac:dyDescent="0.15">
      <c r="A2" s="12"/>
      <c r="B2" s="12"/>
      <c r="C2" s="12"/>
      <c r="D2" s="12"/>
      <c r="E2" s="12"/>
      <c r="F2" s="12"/>
      <c r="G2" s="12"/>
      <c r="H2" s="12"/>
      <c r="I2" s="12"/>
      <c r="J2" s="12"/>
    </row>
    <row r="3" spans="1:11" x14ac:dyDescent="0.2">
      <c r="A3" s="58" t="s">
        <v>27</v>
      </c>
      <c r="B3" s="57"/>
      <c r="C3" s="54" t="s">
        <v>26</v>
      </c>
      <c r="D3" s="54"/>
      <c r="E3" s="54" t="s">
        <v>25</v>
      </c>
      <c r="F3" s="54"/>
      <c r="G3" s="54" t="s">
        <v>24</v>
      </c>
      <c r="H3" s="54"/>
      <c r="I3" s="54" t="s">
        <v>23</v>
      </c>
      <c r="J3" s="54"/>
    </row>
    <row r="4" spans="1:11" x14ac:dyDescent="0.2">
      <c r="A4" s="54" t="s">
        <v>22</v>
      </c>
      <c r="B4" s="54"/>
      <c r="C4" s="61" t="s">
        <v>184</v>
      </c>
      <c r="D4" s="57"/>
      <c r="E4" s="56" t="s">
        <v>185</v>
      </c>
      <c r="F4" s="57"/>
      <c r="G4" s="56" t="s">
        <v>186</v>
      </c>
      <c r="H4" s="57"/>
      <c r="I4" s="56" t="s">
        <v>187</v>
      </c>
      <c r="J4" s="57"/>
    </row>
    <row r="5" spans="1:11" ht="30" customHeight="1" x14ac:dyDescent="0.2">
      <c r="A5" s="54" t="s">
        <v>21</v>
      </c>
      <c r="B5" s="54"/>
      <c r="C5" s="58" t="s">
        <v>20</v>
      </c>
      <c r="D5" s="57"/>
      <c r="E5" s="59">
        <f>亚林溪苑周边住宅租金!F23</f>
        <v>94</v>
      </c>
      <c r="F5" s="60"/>
      <c r="G5" s="59">
        <f>亚林溪苑周边住宅租金!F29</f>
        <v>89</v>
      </c>
      <c r="H5" s="60"/>
      <c r="I5" s="59">
        <f>亚林溪苑周边住宅租金!K5</f>
        <v>87</v>
      </c>
      <c r="J5" s="60"/>
    </row>
    <row r="6" spans="1:11" x14ac:dyDescent="0.2">
      <c r="A6" s="54" t="s">
        <v>19</v>
      </c>
      <c r="B6" s="54"/>
      <c r="C6" s="11">
        <v>45309</v>
      </c>
      <c r="D6" s="10">
        <v>100</v>
      </c>
      <c r="E6" s="11">
        <v>45292</v>
      </c>
      <c r="F6" s="10">
        <v>100</v>
      </c>
      <c r="G6" s="11">
        <v>45292</v>
      </c>
      <c r="H6" s="10">
        <v>100</v>
      </c>
      <c r="I6" s="11">
        <v>45292</v>
      </c>
      <c r="J6" s="10">
        <v>100</v>
      </c>
    </row>
    <row r="7" spans="1:11" x14ac:dyDescent="0.2">
      <c r="A7" s="54" t="s">
        <v>18</v>
      </c>
      <c r="B7" s="54"/>
      <c r="C7" s="7" t="s">
        <v>17</v>
      </c>
      <c r="D7" s="7">
        <v>100</v>
      </c>
      <c r="E7" s="7" t="s">
        <v>17</v>
      </c>
      <c r="F7" s="7">
        <v>100</v>
      </c>
      <c r="G7" s="7" t="s">
        <v>17</v>
      </c>
      <c r="H7" s="7">
        <f>IF(G7=C7,100,"请调整")</f>
        <v>100</v>
      </c>
      <c r="I7" s="7" t="s">
        <v>17</v>
      </c>
      <c r="J7" s="7">
        <f>IF(I7=G7,100,"请调整")</f>
        <v>100</v>
      </c>
    </row>
    <row r="8" spans="1:11" ht="24" x14ac:dyDescent="0.2">
      <c r="A8" s="47" t="s">
        <v>16</v>
      </c>
      <c r="B8" s="6" t="s">
        <v>15</v>
      </c>
      <c r="C8" s="6" t="s">
        <v>172</v>
      </c>
      <c r="D8" s="7">
        <v>100</v>
      </c>
      <c r="E8" s="6" t="s">
        <v>172</v>
      </c>
      <c r="F8" s="7">
        <v>100</v>
      </c>
      <c r="G8" s="6" t="s">
        <v>172</v>
      </c>
      <c r="H8" s="7">
        <v>100</v>
      </c>
      <c r="I8" s="6" t="s">
        <v>172</v>
      </c>
      <c r="J8" s="7">
        <v>100</v>
      </c>
      <c r="K8" s="9">
        <v>5</v>
      </c>
    </row>
    <row r="9" spans="1:11" x14ac:dyDescent="0.2">
      <c r="A9" s="48"/>
      <c r="B9" s="6" t="s">
        <v>14</v>
      </c>
      <c r="C9" s="6" t="s">
        <v>174</v>
      </c>
      <c r="D9" s="7">
        <v>100</v>
      </c>
      <c r="E9" s="6" t="s">
        <v>174</v>
      </c>
      <c r="F9" s="7">
        <v>100</v>
      </c>
      <c r="G9" s="6" t="s">
        <v>174</v>
      </c>
      <c r="H9" s="7">
        <v>100</v>
      </c>
      <c r="I9" s="6" t="s">
        <v>174</v>
      </c>
      <c r="J9" s="7">
        <v>100</v>
      </c>
      <c r="K9" s="9">
        <v>1</v>
      </c>
    </row>
    <row r="10" spans="1:11" x14ac:dyDescent="0.2">
      <c r="A10" s="48"/>
      <c r="B10" s="6" t="s">
        <v>13</v>
      </c>
      <c r="C10" s="6" t="s">
        <v>174</v>
      </c>
      <c r="D10" s="7">
        <v>100</v>
      </c>
      <c r="E10" s="6" t="s">
        <v>174</v>
      </c>
      <c r="F10" s="7">
        <v>100</v>
      </c>
      <c r="G10" s="6" t="s">
        <v>174</v>
      </c>
      <c r="H10" s="7">
        <v>100</v>
      </c>
      <c r="I10" s="6" t="s">
        <v>174</v>
      </c>
      <c r="J10" s="7">
        <v>100</v>
      </c>
      <c r="K10" s="8">
        <v>2</v>
      </c>
    </row>
    <row r="11" spans="1:11" x14ac:dyDescent="0.2">
      <c r="A11" s="48"/>
      <c r="B11" s="6" t="s">
        <v>12</v>
      </c>
      <c r="C11" s="6" t="s">
        <v>174</v>
      </c>
      <c r="D11" s="7">
        <v>100</v>
      </c>
      <c r="E11" s="6" t="s">
        <v>174</v>
      </c>
      <c r="F11" s="7">
        <v>100</v>
      </c>
      <c r="G11" s="6" t="s">
        <v>174</v>
      </c>
      <c r="H11" s="7">
        <v>100</v>
      </c>
      <c r="I11" s="6" t="s">
        <v>174</v>
      </c>
      <c r="J11" s="7">
        <v>100</v>
      </c>
      <c r="K11" s="9">
        <v>2</v>
      </c>
    </row>
    <row r="12" spans="1:11" x14ac:dyDescent="0.2">
      <c r="A12" s="49"/>
      <c r="B12" s="6" t="s">
        <v>11</v>
      </c>
      <c r="C12" s="6" t="s">
        <v>174</v>
      </c>
      <c r="D12" s="7">
        <v>100</v>
      </c>
      <c r="E12" s="6" t="s">
        <v>174</v>
      </c>
      <c r="F12" s="7">
        <v>100</v>
      </c>
      <c r="G12" s="6" t="s">
        <v>174</v>
      </c>
      <c r="H12" s="7">
        <v>100</v>
      </c>
      <c r="I12" s="6" t="s">
        <v>174</v>
      </c>
      <c r="J12" s="7">
        <v>100</v>
      </c>
      <c r="K12" s="5">
        <v>2</v>
      </c>
    </row>
    <row r="13" spans="1:11" ht="24" x14ac:dyDescent="0.2">
      <c r="A13" s="50" t="s">
        <v>10</v>
      </c>
      <c r="B13" s="6" t="s">
        <v>9</v>
      </c>
      <c r="C13" s="6" t="s">
        <v>61</v>
      </c>
      <c r="D13" s="7">
        <v>100</v>
      </c>
      <c r="E13" s="7" t="s">
        <v>8</v>
      </c>
      <c r="F13" s="7">
        <v>100</v>
      </c>
      <c r="G13" s="7" t="s">
        <v>8</v>
      </c>
      <c r="H13" s="7">
        <v>100</v>
      </c>
      <c r="I13" s="7" t="s">
        <v>8</v>
      </c>
      <c r="J13" s="7">
        <v>100</v>
      </c>
      <c r="K13" s="5">
        <v>2</v>
      </c>
    </row>
    <row r="14" spans="1:11" x14ac:dyDescent="0.2">
      <c r="A14" s="51"/>
      <c r="B14" s="6" t="s">
        <v>157</v>
      </c>
      <c r="C14" s="6" t="s">
        <v>156</v>
      </c>
      <c r="D14" s="7">
        <v>100</v>
      </c>
      <c r="E14" s="6" t="s">
        <v>156</v>
      </c>
      <c r="F14" s="7">
        <v>100</v>
      </c>
      <c r="G14" s="6" t="s">
        <v>156</v>
      </c>
      <c r="H14" s="7">
        <v>100</v>
      </c>
      <c r="I14" s="6" t="s">
        <v>156</v>
      </c>
      <c r="J14" s="7">
        <v>100</v>
      </c>
      <c r="K14" s="5">
        <v>1</v>
      </c>
    </row>
    <row r="15" spans="1:11" x14ac:dyDescent="0.2">
      <c r="A15" s="51"/>
      <c r="B15" s="6" t="s">
        <v>7</v>
      </c>
      <c r="C15" s="6" t="s">
        <v>158</v>
      </c>
      <c r="D15" s="7">
        <v>100</v>
      </c>
      <c r="E15" s="6" t="s">
        <v>158</v>
      </c>
      <c r="F15" s="7">
        <v>100</v>
      </c>
      <c r="G15" s="6" t="s">
        <v>158</v>
      </c>
      <c r="H15" s="7">
        <v>100</v>
      </c>
      <c r="I15" s="6" t="s">
        <v>158</v>
      </c>
      <c r="J15" s="7">
        <v>100</v>
      </c>
      <c r="K15" s="43">
        <v>1</v>
      </c>
    </row>
    <row r="16" spans="1:11" x14ac:dyDescent="0.2">
      <c r="A16" s="51"/>
      <c r="B16" s="6" t="s">
        <v>29</v>
      </c>
      <c r="C16" s="6" t="s">
        <v>30</v>
      </c>
      <c r="D16" s="7">
        <v>100</v>
      </c>
      <c r="E16" s="6" t="s">
        <v>30</v>
      </c>
      <c r="F16" s="7">
        <v>100</v>
      </c>
      <c r="G16" s="6" t="s">
        <v>30</v>
      </c>
      <c r="H16" s="7">
        <f t="shared" ref="H16" si="0">F16</f>
        <v>100</v>
      </c>
      <c r="I16" s="6" t="s">
        <v>188</v>
      </c>
      <c r="J16" s="63">
        <v>102</v>
      </c>
      <c r="K16" s="43">
        <v>2</v>
      </c>
    </row>
    <row r="17" spans="1:11" ht="24" x14ac:dyDescent="0.2">
      <c r="A17" s="51"/>
      <c r="B17" s="6" t="s">
        <v>173</v>
      </c>
      <c r="C17" s="6" t="s">
        <v>170</v>
      </c>
      <c r="D17" s="7">
        <v>100</v>
      </c>
      <c r="E17" s="6" t="s">
        <v>170</v>
      </c>
      <c r="F17" s="7">
        <v>100</v>
      </c>
      <c r="G17" s="6" t="s">
        <v>170</v>
      </c>
      <c r="H17" s="7">
        <v>100</v>
      </c>
      <c r="I17" s="6" t="s">
        <v>170</v>
      </c>
      <c r="J17" s="7">
        <v>100</v>
      </c>
      <c r="K17" s="43">
        <v>1</v>
      </c>
    </row>
    <row r="18" spans="1:11" x14ac:dyDescent="0.2">
      <c r="A18" s="51"/>
      <c r="B18" s="6" t="s">
        <v>6</v>
      </c>
      <c r="C18" s="6" t="s">
        <v>175</v>
      </c>
      <c r="D18" s="7">
        <v>100</v>
      </c>
      <c r="E18" s="6" t="s">
        <v>175</v>
      </c>
      <c r="F18" s="7">
        <v>100</v>
      </c>
      <c r="G18" s="6" t="s">
        <v>175</v>
      </c>
      <c r="H18" s="7">
        <v>100</v>
      </c>
      <c r="I18" s="6" t="s">
        <v>175</v>
      </c>
      <c r="J18" s="7">
        <v>100</v>
      </c>
      <c r="K18" s="5">
        <v>1</v>
      </c>
    </row>
    <row r="19" spans="1:11" x14ac:dyDescent="0.2">
      <c r="A19" s="51"/>
      <c r="B19" s="6" t="s">
        <v>62</v>
      </c>
      <c r="C19" s="6">
        <v>50</v>
      </c>
      <c r="D19" s="7">
        <v>100</v>
      </c>
      <c r="E19" s="6">
        <v>50</v>
      </c>
      <c r="F19" s="7">
        <v>100</v>
      </c>
      <c r="G19" s="6">
        <v>50</v>
      </c>
      <c r="H19" s="7">
        <f>F19</f>
        <v>100</v>
      </c>
      <c r="I19" s="6">
        <v>50</v>
      </c>
      <c r="J19" s="7">
        <f>F19</f>
        <v>100</v>
      </c>
      <c r="K19" s="5">
        <v>0.5</v>
      </c>
    </row>
    <row r="20" spans="1:11" x14ac:dyDescent="0.2">
      <c r="A20" s="51"/>
      <c r="B20" s="6" t="s">
        <v>100</v>
      </c>
      <c r="C20" s="45">
        <v>0.85</v>
      </c>
      <c r="D20" s="7">
        <v>100</v>
      </c>
      <c r="E20" s="45">
        <v>0.85</v>
      </c>
      <c r="F20" s="7">
        <v>100</v>
      </c>
      <c r="G20" s="45">
        <v>0.85</v>
      </c>
      <c r="H20" s="7">
        <v>100</v>
      </c>
      <c r="I20" s="45">
        <v>0.6</v>
      </c>
      <c r="J20" s="63">
        <v>98</v>
      </c>
      <c r="K20" s="5">
        <v>2</v>
      </c>
    </row>
    <row r="21" spans="1:11" x14ac:dyDescent="0.2">
      <c r="A21" s="51"/>
      <c r="B21" s="6" t="s">
        <v>5</v>
      </c>
      <c r="C21" s="6" t="s">
        <v>169</v>
      </c>
      <c r="D21" s="7">
        <v>100</v>
      </c>
      <c r="E21" s="6" t="s">
        <v>169</v>
      </c>
      <c r="F21" s="7">
        <v>100</v>
      </c>
      <c r="G21" s="6" t="s">
        <v>169</v>
      </c>
      <c r="H21" s="7">
        <v>100</v>
      </c>
      <c r="I21" s="6" t="s">
        <v>169</v>
      </c>
      <c r="J21" s="7">
        <v>100</v>
      </c>
      <c r="K21" s="5">
        <v>1</v>
      </c>
    </row>
    <row r="22" spans="1:11" ht="36" x14ac:dyDescent="0.2">
      <c r="A22" s="51"/>
      <c r="B22" s="6" t="s">
        <v>171</v>
      </c>
      <c r="C22" s="6" t="s">
        <v>172</v>
      </c>
      <c r="D22" s="7">
        <v>100</v>
      </c>
      <c r="E22" s="6" t="s">
        <v>172</v>
      </c>
      <c r="F22" s="7">
        <v>100</v>
      </c>
      <c r="G22" s="6" t="s">
        <v>172</v>
      </c>
      <c r="H22" s="7">
        <v>100</v>
      </c>
      <c r="I22" s="6" t="s">
        <v>172</v>
      </c>
      <c r="J22" s="7">
        <v>100</v>
      </c>
      <c r="K22" s="5">
        <v>0.2</v>
      </c>
    </row>
    <row r="23" spans="1:11" ht="36" x14ac:dyDescent="0.2">
      <c r="A23" s="51"/>
      <c r="B23" s="6" t="s">
        <v>4</v>
      </c>
      <c r="C23" s="6" t="s">
        <v>189</v>
      </c>
      <c r="D23" s="7">
        <v>100</v>
      </c>
      <c r="E23" s="6" t="s">
        <v>189</v>
      </c>
      <c r="F23" s="7">
        <v>100</v>
      </c>
      <c r="G23" s="6" t="str">
        <f>E23</f>
        <v>有家具、家电；虽然使用较长时间，但功能正常，一般</v>
      </c>
      <c r="H23" s="7">
        <v>100</v>
      </c>
      <c r="I23" s="6" t="str">
        <f>G23</f>
        <v>有家具、家电；虽然使用较长时间，但功能正常，一般</v>
      </c>
      <c r="J23" s="7">
        <v>100</v>
      </c>
      <c r="K23" s="5">
        <v>2.5</v>
      </c>
    </row>
    <row r="24" spans="1:11" x14ac:dyDescent="0.2">
      <c r="A24" s="53" t="s">
        <v>3</v>
      </c>
      <c r="B24" s="53"/>
      <c r="C24" s="54" t="s">
        <v>1</v>
      </c>
      <c r="D24" s="54"/>
      <c r="E24" s="52">
        <f>E5</f>
        <v>94</v>
      </c>
      <c r="F24" s="52"/>
      <c r="G24" s="52">
        <f>G5</f>
        <v>89</v>
      </c>
      <c r="H24" s="52"/>
      <c r="I24" s="52">
        <f>I5</f>
        <v>87</v>
      </c>
      <c r="J24" s="52"/>
    </row>
    <row r="25" spans="1:11" x14ac:dyDescent="0.2">
      <c r="A25" s="53" t="s">
        <v>2</v>
      </c>
      <c r="B25" s="53"/>
      <c r="C25" s="54" t="s">
        <v>1</v>
      </c>
      <c r="D25" s="54"/>
      <c r="E25" s="55">
        <f>ROUND(E24*POWER(100,COUNT(F6:F23))/PRODUCT(F6:F23),2)</f>
        <v>94</v>
      </c>
      <c r="F25" s="55"/>
      <c r="G25" s="55">
        <f>ROUND(G24*POWER(100,COUNT(H6:H23))/PRODUCT(H6:H23),2)</f>
        <v>89</v>
      </c>
      <c r="H25" s="55"/>
      <c r="I25" s="55">
        <f>ROUND(I24*POWER(100,COUNT(J6:J23))/PRODUCT(J6:J23),2)</f>
        <v>87.03</v>
      </c>
      <c r="J25" s="55"/>
    </row>
    <row r="26" spans="1:11" x14ac:dyDescent="0.2">
      <c r="A26" s="46" t="str">
        <f>CONCATENATE("估价对象比较价值=(",TEXT(E25,"G/通用格式"),"+",TEXT(G25,"G/通用格式"),"+",TEXT(I25,"G/通用格式"),")","/",3,"=",ROUND((E25+G25+I25)/3,2))</f>
        <v>估价对象比较价值=(94+89+87.03)/3=90.01</v>
      </c>
      <c r="B26" s="46"/>
      <c r="C26" s="46"/>
      <c r="D26" s="46"/>
      <c r="E26" s="46"/>
      <c r="F26" s="46"/>
      <c r="G26" s="46"/>
      <c r="H26" s="46"/>
      <c r="I26" s="4"/>
      <c r="J26" s="4"/>
    </row>
    <row r="27" spans="1:11" x14ac:dyDescent="0.2">
      <c r="B27" s="42">
        <f>C28*0.9</f>
        <v>81.009</v>
      </c>
    </row>
    <row r="28" spans="1:11" x14ac:dyDescent="0.2">
      <c r="B28" s="42">
        <f>C28*1.1</f>
        <v>99.01100000000001</v>
      </c>
      <c r="C28" s="1">
        <f>ROUND((E25+G25+I25)/3,2)</f>
        <v>90.01</v>
      </c>
      <c r="E28" s="1">
        <f>ROUND(E25/E24,4)</f>
        <v>1</v>
      </c>
      <c r="G28" s="1">
        <f>ROUND(G25/G24,4)</f>
        <v>1</v>
      </c>
      <c r="I28" s="1">
        <f>ROUND(I25/I24,4)</f>
        <v>1.0003</v>
      </c>
    </row>
    <row r="29" spans="1:11" x14ac:dyDescent="0.2">
      <c r="E29" s="44">
        <f>ROUND(PRODUCT($D$6:$D$23)/PRODUCT(F6:F23),4)</f>
        <v>1</v>
      </c>
      <c r="G29" s="44">
        <f>ROUND(PRODUCT($D$6:$D$23)/PRODUCT(H6:H23),4)</f>
        <v>1</v>
      </c>
      <c r="I29" s="44">
        <f>ROUND(PRODUCT($D$6:$D$23)/PRODUCT(J6:J23),4)</f>
        <v>1.0004</v>
      </c>
    </row>
    <row r="30" spans="1:11" x14ac:dyDescent="0.2">
      <c r="C30" s="1">
        <v>2016</v>
      </c>
      <c r="E30" s="1">
        <v>2016</v>
      </c>
      <c r="G30" s="1">
        <v>2014</v>
      </c>
      <c r="I30" s="1">
        <v>1980</v>
      </c>
    </row>
    <row r="31" spans="1:11" x14ac:dyDescent="0.2">
      <c r="C31" s="3">
        <f>1-(2024-C30)/60</f>
        <v>0.8666666666666667</v>
      </c>
      <c r="I31" s="1">
        <f>1-(2024-I30)/60</f>
        <v>0.26666666666666672</v>
      </c>
    </row>
    <row r="32" spans="1:11" x14ac:dyDescent="0.2">
      <c r="C32" s="2"/>
      <c r="G32" s="30"/>
    </row>
    <row r="37" spans="2:11" x14ac:dyDescent="0.2">
      <c r="B37" t="s">
        <v>159</v>
      </c>
      <c r="C37" t="s">
        <v>160</v>
      </c>
      <c r="D37" t="s">
        <v>161</v>
      </c>
      <c r="E37" t="s">
        <v>162</v>
      </c>
      <c r="F37" t="s">
        <v>163</v>
      </c>
      <c r="G37" t="s">
        <v>164</v>
      </c>
      <c r="H37" t="s">
        <v>165</v>
      </c>
      <c r="I37" t="s">
        <v>166</v>
      </c>
      <c r="J37" t="s">
        <v>167</v>
      </c>
      <c r="K37" t="s">
        <v>168</v>
      </c>
    </row>
    <row r="38" spans="2:11" x14ac:dyDescent="0.2">
      <c r="B38">
        <f>C38+0.5</f>
        <v>100.5</v>
      </c>
      <c r="C38">
        <v>100</v>
      </c>
      <c r="D38">
        <f>C38-0.5</f>
        <v>99.5</v>
      </c>
      <c r="E38">
        <f t="shared" ref="E38:K38" si="1">D38-0.5</f>
        <v>99</v>
      </c>
      <c r="F38">
        <f t="shared" si="1"/>
        <v>98.5</v>
      </c>
      <c r="G38">
        <f t="shared" si="1"/>
        <v>98</v>
      </c>
      <c r="H38">
        <f t="shared" si="1"/>
        <v>97.5</v>
      </c>
      <c r="I38">
        <f t="shared" si="1"/>
        <v>97</v>
      </c>
      <c r="J38">
        <f t="shared" si="1"/>
        <v>96.5</v>
      </c>
      <c r="K38">
        <f t="shared" si="1"/>
        <v>96</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4:B24"/>
    <mergeCell ref="C24:D24"/>
    <mergeCell ref="E24:F24"/>
    <mergeCell ref="A26:H26"/>
    <mergeCell ref="A8:A12"/>
    <mergeCell ref="A13:A23"/>
    <mergeCell ref="I24:J24"/>
    <mergeCell ref="A25:B25"/>
    <mergeCell ref="C25:D25"/>
    <mergeCell ref="E25:F25"/>
    <mergeCell ref="G25:H25"/>
    <mergeCell ref="I25:J25"/>
    <mergeCell ref="G24:H24"/>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207B-1DF4-47A1-A691-167DD8966826}">
  <dimension ref="C3:K40"/>
  <sheetViews>
    <sheetView topLeftCell="B1" workbookViewId="0">
      <selection activeCell="J27" sqref="J27"/>
    </sheetView>
  </sheetViews>
  <sheetFormatPr defaultRowHeight="14.25" x14ac:dyDescent="0.2"/>
  <cols>
    <col min="1" max="2" width="9" style="17"/>
    <col min="3" max="3" width="10.875" style="17" customWidth="1"/>
    <col min="4" max="16384" width="9" style="17"/>
  </cols>
  <sheetData>
    <row r="3" spans="3:11" x14ac:dyDescent="0.2">
      <c r="C3" s="17" t="s">
        <v>176</v>
      </c>
      <c r="D3" s="17">
        <v>129.51</v>
      </c>
      <c r="E3" s="17">
        <v>18000</v>
      </c>
      <c r="F3" s="17">
        <f t="shared" ref="F3:F40" si="0">ROUND(E3/D3,0)</f>
        <v>139</v>
      </c>
      <c r="H3" s="17" t="s">
        <v>177</v>
      </c>
      <c r="I3" s="17">
        <v>53.9</v>
      </c>
      <c r="J3" s="17">
        <v>5400</v>
      </c>
      <c r="K3" s="17">
        <f t="shared" ref="K3:K13" si="1">ROUND(J3/I3,0)</f>
        <v>100</v>
      </c>
    </row>
    <row r="4" spans="3:11" x14ac:dyDescent="0.2">
      <c r="D4" s="17">
        <v>145</v>
      </c>
      <c r="E4" s="17">
        <v>30000</v>
      </c>
      <c r="F4" s="17">
        <f t="shared" si="0"/>
        <v>207</v>
      </c>
      <c r="I4" s="17">
        <v>59.6</v>
      </c>
      <c r="J4" s="17">
        <v>7790</v>
      </c>
      <c r="K4" s="17">
        <f t="shared" si="1"/>
        <v>131</v>
      </c>
    </row>
    <row r="5" spans="3:11" x14ac:dyDescent="0.2">
      <c r="D5" s="17">
        <v>188</v>
      </c>
      <c r="E5" s="17">
        <v>31000</v>
      </c>
      <c r="F5" s="17">
        <f t="shared" si="0"/>
        <v>165</v>
      </c>
      <c r="I5" s="17">
        <v>57.8</v>
      </c>
      <c r="J5" s="17">
        <v>5000</v>
      </c>
      <c r="K5" s="17">
        <f t="shared" si="1"/>
        <v>87</v>
      </c>
    </row>
    <row r="6" spans="3:11" x14ac:dyDescent="0.2">
      <c r="D6" s="17">
        <v>159</v>
      </c>
      <c r="E6" s="17">
        <v>29000</v>
      </c>
      <c r="F6" s="17">
        <f t="shared" si="0"/>
        <v>182</v>
      </c>
      <c r="I6" s="17">
        <v>67</v>
      </c>
      <c r="J6" s="17">
        <v>6198</v>
      </c>
      <c r="K6" s="17">
        <f t="shared" si="1"/>
        <v>93</v>
      </c>
    </row>
    <row r="7" spans="3:11" x14ac:dyDescent="0.2">
      <c r="D7" s="17">
        <v>160.84</v>
      </c>
      <c r="E7" s="17">
        <v>29800</v>
      </c>
      <c r="F7" s="17">
        <f t="shared" si="0"/>
        <v>185</v>
      </c>
      <c r="I7" s="17">
        <v>66.599999999999994</v>
      </c>
      <c r="J7" s="17">
        <v>5800</v>
      </c>
      <c r="K7" s="17">
        <f t="shared" si="1"/>
        <v>87</v>
      </c>
    </row>
    <row r="8" spans="3:11" x14ac:dyDescent="0.2">
      <c r="C8" s="17" t="s">
        <v>178</v>
      </c>
      <c r="D8" s="17">
        <v>41</v>
      </c>
      <c r="E8" s="17">
        <v>4500</v>
      </c>
      <c r="F8" s="17">
        <f t="shared" si="0"/>
        <v>110</v>
      </c>
      <c r="I8" s="17">
        <v>61.8</v>
      </c>
      <c r="J8" s="17">
        <v>7330</v>
      </c>
      <c r="K8" s="17">
        <f t="shared" si="1"/>
        <v>119</v>
      </c>
    </row>
    <row r="9" spans="3:11" x14ac:dyDescent="0.2">
      <c r="D9" s="17">
        <v>60.62</v>
      </c>
      <c r="E9" s="17">
        <v>5200</v>
      </c>
      <c r="F9" s="17">
        <f t="shared" si="0"/>
        <v>86</v>
      </c>
      <c r="I9" s="17">
        <v>53.9</v>
      </c>
      <c r="J9" s="17">
        <v>4900</v>
      </c>
      <c r="K9" s="17">
        <f t="shared" si="1"/>
        <v>91</v>
      </c>
    </row>
    <row r="10" spans="3:11" x14ac:dyDescent="0.2">
      <c r="D10" s="17">
        <v>61.17</v>
      </c>
      <c r="E10" s="17">
        <v>5000</v>
      </c>
      <c r="F10" s="17">
        <f t="shared" si="0"/>
        <v>82</v>
      </c>
      <c r="I10" s="17">
        <v>54.67</v>
      </c>
      <c r="J10" s="17">
        <v>5728</v>
      </c>
      <c r="K10" s="17">
        <f t="shared" si="1"/>
        <v>105</v>
      </c>
    </row>
    <row r="11" spans="3:11" x14ac:dyDescent="0.2">
      <c r="C11" s="17" t="s">
        <v>179</v>
      </c>
      <c r="D11" s="17">
        <v>90</v>
      </c>
      <c r="E11" s="17">
        <v>7800</v>
      </c>
      <c r="F11" s="17">
        <f t="shared" si="0"/>
        <v>87</v>
      </c>
      <c r="I11" s="17">
        <v>53.9</v>
      </c>
      <c r="J11" s="17">
        <v>5600</v>
      </c>
      <c r="K11" s="17">
        <f t="shared" si="1"/>
        <v>104</v>
      </c>
    </row>
    <row r="12" spans="3:11" x14ac:dyDescent="0.2">
      <c r="D12" s="17">
        <v>47.07</v>
      </c>
      <c r="E12" s="17">
        <v>6190</v>
      </c>
      <c r="F12" s="17">
        <f t="shared" si="0"/>
        <v>132</v>
      </c>
      <c r="I12" s="17">
        <v>107.23</v>
      </c>
      <c r="J12" s="17">
        <v>8790</v>
      </c>
      <c r="K12" s="17">
        <f t="shared" si="1"/>
        <v>82</v>
      </c>
    </row>
    <row r="13" spans="3:11" x14ac:dyDescent="0.2">
      <c r="D13" s="17">
        <v>89</v>
      </c>
      <c r="E13" s="17">
        <v>6500</v>
      </c>
      <c r="F13" s="17">
        <f t="shared" si="0"/>
        <v>73</v>
      </c>
      <c r="I13" s="17">
        <v>46.84</v>
      </c>
      <c r="J13" s="17">
        <v>5100</v>
      </c>
      <c r="K13" s="17">
        <f t="shared" si="1"/>
        <v>109</v>
      </c>
    </row>
    <row r="14" spans="3:11" x14ac:dyDescent="0.2">
      <c r="D14" s="17">
        <v>48.95</v>
      </c>
      <c r="E14" s="17">
        <v>5390</v>
      </c>
      <c r="F14" s="17">
        <f t="shared" si="0"/>
        <v>110</v>
      </c>
    </row>
    <row r="15" spans="3:11" x14ac:dyDescent="0.2">
      <c r="D15" s="17">
        <v>51.88</v>
      </c>
      <c r="E15" s="17">
        <v>5100</v>
      </c>
      <c r="F15" s="17">
        <f t="shared" si="0"/>
        <v>98</v>
      </c>
    </row>
    <row r="16" spans="3:11" x14ac:dyDescent="0.2">
      <c r="D16" s="17">
        <v>134.80000000000001</v>
      </c>
      <c r="E16" s="17">
        <v>11000</v>
      </c>
      <c r="F16" s="17">
        <f t="shared" si="0"/>
        <v>82</v>
      </c>
    </row>
    <row r="17" spans="3:6" x14ac:dyDescent="0.2">
      <c r="D17" s="17">
        <v>49</v>
      </c>
      <c r="E17" s="17">
        <v>5200</v>
      </c>
      <c r="F17" s="17">
        <f t="shared" si="0"/>
        <v>106</v>
      </c>
    </row>
    <row r="18" spans="3:6" x14ac:dyDescent="0.2">
      <c r="D18" s="17">
        <v>89.97</v>
      </c>
      <c r="E18" s="17">
        <v>6500</v>
      </c>
      <c r="F18" s="17">
        <f t="shared" si="0"/>
        <v>72</v>
      </c>
    </row>
    <row r="19" spans="3:6" x14ac:dyDescent="0.2">
      <c r="D19" s="17">
        <v>90</v>
      </c>
      <c r="E19" s="17">
        <v>6800</v>
      </c>
      <c r="F19" s="17">
        <f t="shared" si="0"/>
        <v>76</v>
      </c>
    </row>
    <row r="20" spans="3:6" x14ac:dyDescent="0.2">
      <c r="D20" s="17">
        <v>90</v>
      </c>
      <c r="E20" s="17">
        <v>6798</v>
      </c>
      <c r="F20" s="17">
        <f t="shared" si="0"/>
        <v>76</v>
      </c>
    </row>
    <row r="21" spans="3:6" x14ac:dyDescent="0.2">
      <c r="D21" s="17">
        <v>90.59</v>
      </c>
      <c r="E21" s="17">
        <v>6615</v>
      </c>
      <c r="F21" s="17">
        <f t="shared" si="0"/>
        <v>73</v>
      </c>
    </row>
    <row r="22" spans="3:6" x14ac:dyDescent="0.2">
      <c r="C22" s="17" t="s">
        <v>180</v>
      </c>
      <c r="D22" s="17">
        <v>58.26</v>
      </c>
      <c r="E22" s="17">
        <v>5800</v>
      </c>
      <c r="F22" s="17">
        <f t="shared" si="0"/>
        <v>100</v>
      </c>
    </row>
    <row r="23" spans="3:6" x14ac:dyDescent="0.2">
      <c r="D23" s="17">
        <v>86.5</v>
      </c>
      <c r="E23" s="17">
        <v>8160</v>
      </c>
      <c r="F23" s="17">
        <f t="shared" si="0"/>
        <v>94</v>
      </c>
    </row>
    <row r="24" spans="3:6" x14ac:dyDescent="0.2">
      <c r="D24" s="17">
        <v>58.29</v>
      </c>
      <c r="E24" s="17">
        <v>5800</v>
      </c>
      <c r="F24" s="17">
        <f t="shared" si="0"/>
        <v>100</v>
      </c>
    </row>
    <row r="25" spans="3:6" x14ac:dyDescent="0.2">
      <c r="D25" s="17">
        <v>87</v>
      </c>
      <c r="E25" s="17">
        <v>8130</v>
      </c>
      <c r="F25" s="17">
        <f t="shared" si="0"/>
        <v>93</v>
      </c>
    </row>
    <row r="26" spans="3:6" x14ac:dyDescent="0.2">
      <c r="D26" s="17">
        <v>58</v>
      </c>
      <c r="E26" s="17">
        <v>6000</v>
      </c>
      <c r="F26" s="17">
        <f t="shared" si="0"/>
        <v>103</v>
      </c>
    </row>
    <row r="27" spans="3:6" x14ac:dyDescent="0.2">
      <c r="D27" s="17">
        <v>87</v>
      </c>
      <c r="E27" s="17">
        <v>8090</v>
      </c>
      <c r="F27" s="17">
        <f t="shared" si="0"/>
        <v>93</v>
      </c>
    </row>
    <row r="28" spans="3:6" x14ac:dyDescent="0.2">
      <c r="C28" s="17" t="s">
        <v>181</v>
      </c>
      <c r="D28" s="17">
        <v>86.47</v>
      </c>
      <c r="E28" s="17">
        <v>8000</v>
      </c>
      <c r="F28" s="17">
        <f t="shared" si="0"/>
        <v>93</v>
      </c>
    </row>
    <row r="29" spans="3:6" x14ac:dyDescent="0.2">
      <c r="D29" s="17">
        <v>86.7</v>
      </c>
      <c r="E29" s="17">
        <v>7690</v>
      </c>
      <c r="F29" s="17">
        <f t="shared" si="0"/>
        <v>89</v>
      </c>
    </row>
    <row r="30" spans="3:6" x14ac:dyDescent="0.2">
      <c r="D30" s="17">
        <v>58.38</v>
      </c>
      <c r="E30" s="17">
        <v>6200</v>
      </c>
      <c r="F30" s="17">
        <f t="shared" si="0"/>
        <v>106</v>
      </c>
    </row>
    <row r="31" spans="3:6" x14ac:dyDescent="0.2">
      <c r="D31" s="17">
        <v>57.6</v>
      </c>
      <c r="E31" s="17">
        <v>6930</v>
      </c>
      <c r="F31" s="17">
        <f t="shared" si="0"/>
        <v>120</v>
      </c>
    </row>
    <row r="32" spans="3:6" x14ac:dyDescent="0.2">
      <c r="D32" s="17">
        <v>87</v>
      </c>
      <c r="E32" s="17">
        <v>7860</v>
      </c>
      <c r="F32" s="17">
        <f t="shared" si="0"/>
        <v>90</v>
      </c>
    </row>
    <row r="33" spans="3:6" x14ac:dyDescent="0.2">
      <c r="C33" s="17" t="s">
        <v>182</v>
      </c>
      <c r="D33" s="17">
        <v>77</v>
      </c>
      <c r="E33" s="17">
        <v>7700</v>
      </c>
      <c r="F33" s="17">
        <f t="shared" si="0"/>
        <v>100</v>
      </c>
    </row>
    <row r="34" spans="3:6" x14ac:dyDescent="0.2">
      <c r="D34" s="17">
        <v>147</v>
      </c>
      <c r="E34" s="17">
        <v>16000</v>
      </c>
      <c r="F34" s="17">
        <f t="shared" si="0"/>
        <v>109</v>
      </c>
    </row>
    <row r="35" spans="3:6" x14ac:dyDescent="0.2">
      <c r="D35" s="17">
        <v>58</v>
      </c>
      <c r="E35" s="17">
        <v>7000</v>
      </c>
      <c r="F35" s="17">
        <f t="shared" si="0"/>
        <v>121</v>
      </c>
    </row>
    <row r="36" spans="3:6" x14ac:dyDescent="0.2">
      <c r="D36" s="17">
        <v>147</v>
      </c>
      <c r="E36" s="17">
        <v>16800</v>
      </c>
      <c r="F36" s="17">
        <f t="shared" si="0"/>
        <v>114</v>
      </c>
    </row>
    <row r="37" spans="3:6" x14ac:dyDescent="0.2">
      <c r="D37" s="17">
        <v>147.47999999999999</v>
      </c>
      <c r="E37" s="17">
        <v>20000</v>
      </c>
      <c r="F37" s="17">
        <f t="shared" si="0"/>
        <v>136</v>
      </c>
    </row>
    <row r="38" spans="3:6" x14ac:dyDescent="0.2">
      <c r="D38" s="17">
        <v>148</v>
      </c>
      <c r="E38" s="17">
        <v>22000</v>
      </c>
      <c r="F38" s="17">
        <f t="shared" si="0"/>
        <v>149</v>
      </c>
    </row>
    <row r="39" spans="3:6" x14ac:dyDescent="0.2">
      <c r="C39" s="17" t="s">
        <v>183</v>
      </c>
      <c r="D39" s="17">
        <v>75</v>
      </c>
      <c r="E39" s="17">
        <v>8000</v>
      </c>
      <c r="F39" s="17">
        <f t="shared" si="0"/>
        <v>107</v>
      </c>
    </row>
    <row r="40" spans="3:6" x14ac:dyDescent="0.2">
      <c r="D40" s="17">
        <v>89</v>
      </c>
      <c r="E40" s="17">
        <v>13000</v>
      </c>
      <c r="F40" s="17">
        <f t="shared" si="0"/>
        <v>146</v>
      </c>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63" x14ac:dyDescent="0.2">
      <c r="A2" s="27">
        <v>1</v>
      </c>
      <c r="B2" s="26" t="s">
        <v>90</v>
      </c>
      <c r="C2" s="33" t="e">
        <f>F2</f>
        <v>#REF!</v>
      </c>
      <c r="D2" s="34" t="s">
        <v>101</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102</v>
      </c>
      <c r="E4" s="29" t="e">
        <f>#REF!</f>
        <v>#REF!</v>
      </c>
      <c r="F4" s="1" t="e">
        <f>ROUND(E4*1.5*12,2)</f>
        <v>#REF!</v>
      </c>
    </row>
    <row r="5" spans="1:8" ht="36.75" x14ac:dyDescent="0.2">
      <c r="A5" s="27">
        <v>2.2000000000000002</v>
      </c>
      <c r="B5" s="26" t="s">
        <v>93</v>
      </c>
      <c r="C5" s="31" t="e">
        <f>ROUND(E5,2)</f>
        <v>#REF!</v>
      </c>
      <c r="D5" s="35" t="s">
        <v>139</v>
      </c>
      <c r="E5" s="30" t="e">
        <f>ROUND(4500*0.8*0.1%*E4,2)</f>
        <v>#REF!</v>
      </c>
      <c r="F5" s="37">
        <v>1E-3</v>
      </c>
    </row>
    <row r="6" spans="1:8" ht="24.75" x14ac:dyDescent="0.2">
      <c r="A6" s="27">
        <v>2.2999999999999998</v>
      </c>
      <c r="B6" s="26" t="s">
        <v>94</v>
      </c>
      <c r="C6" s="27" t="e">
        <f>#REF!</f>
        <v>#REF!</v>
      </c>
      <c r="D6" s="35" t="s">
        <v>103</v>
      </c>
      <c r="E6" s="1" t="s">
        <v>84</v>
      </c>
      <c r="H6" s="32"/>
    </row>
    <row r="7" spans="1:8" x14ac:dyDescent="0.2">
      <c r="A7" s="27">
        <v>3</v>
      </c>
      <c r="B7" s="26" t="s">
        <v>95</v>
      </c>
      <c r="C7" s="27" t="e">
        <f>C8+C9+C10</f>
        <v>#REF!</v>
      </c>
      <c r="D7" s="35" t="s">
        <v>67</v>
      </c>
    </row>
    <row r="8" spans="1:8" ht="24.75" x14ac:dyDescent="0.2">
      <c r="A8" s="27">
        <v>3.1</v>
      </c>
      <c r="B8" s="26" t="s">
        <v>96</v>
      </c>
      <c r="C8" s="27" t="e">
        <f>E8</f>
        <v>#REF!</v>
      </c>
      <c r="D8" s="34" t="s">
        <v>147</v>
      </c>
      <c r="E8" s="1" t="e">
        <f>ROUND(60.16*12*E4*2%,2)</f>
        <v>#REF!</v>
      </c>
    </row>
    <row r="9" spans="1:8" ht="57"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146</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75" x14ac:dyDescent="0.2">
      <c r="A2" s="27">
        <v>1</v>
      </c>
      <c r="B2" s="26" t="s">
        <v>90</v>
      </c>
      <c r="C2" s="39" t="e">
        <f>F2</f>
        <v>#REF!</v>
      </c>
      <c r="D2" s="34" t="s">
        <v>105</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106</v>
      </c>
      <c r="E4" s="29" t="e">
        <f>#REF!</f>
        <v>#REF!</v>
      </c>
      <c r="F4" s="1" t="e">
        <f>ROUND(E4*1.5*12,2)</f>
        <v>#REF!</v>
      </c>
    </row>
    <row r="5" spans="1:8" ht="36.75" x14ac:dyDescent="0.2">
      <c r="A5" s="27">
        <v>2.2000000000000002</v>
      </c>
      <c r="B5" s="26" t="s">
        <v>93</v>
      </c>
      <c r="C5" s="31" t="e">
        <f>ROUND(E5,2)</f>
        <v>#REF!</v>
      </c>
      <c r="D5" s="35" t="s">
        <v>107</v>
      </c>
      <c r="E5" s="30" t="e">
        <f>ROUND(4500*0.95*0.1%*E4,2)</f>
        <v>#REF!</v>
      </c>
      <c r="F5" s="37">
        <v>1E-3</v>
      </c>
    </row>
    <row r="6" spans="1:8" ht="24.75" x14ac:dyDescent="0.2">
      <c r="A6" s="27">
        <v>2.2999999999999998</v>
      </c>
      <c r="B6" s="26" t="s">
        <v>94</v>
      </c>
      <c r="C6" s="27" t="e">
        <f>#REF!</f>
        <v>#REF!</v>
      </c>
      <c r="D6" s="35" t="s">
        <v>108</v>
      </c>
      <c r="E6" s="1" t="s">
        <v>84</v>
      </c>
      <c r="H6" s="32"/>
    </row>
    <row r="7" spans="1:8" x14ac:dyDescent="0.2">
      <c r="A7" s="27">
        <v>3</v>
      </c>
      <c r="B7" s="26" t="s">
        <v>95</v>
      </c>
      <c r="C7" s="27" t="e">
        <f>C8+C9+C10</f>
        <v>#REF!</v>
      </c>
      <c r="D7" s="35" t="s">
        <v>67</v>
      </c>
    </row>
    <row r="8" spans="1:8" ht="24.75" x14ac:dyDescent="0.2">
      <c r="A8" s="27">
        <v>3.1</v>
      </c>
      <c r="B8" s="26" t="s">
        <v>96</v>
      </c>
      <c r="C8" s="27" t="e">
        <f>E8</f>
        <v>#REF!</v>
      </c>
      <c r="D8" s="34" t="s">
        <v>148</v>
      </c>
      <c r="E8" s="1" t="e">
        <f>ROUND(61.61*12*E4*2%,2)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109</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74.25" x14ac:dyDescent="0.2">
      <c r="A2" s="27">
        <v>1</v>
      </c>
      <c r="B2" s="26" t="s">
        <v>90</v>
      </c>
      <c r="C2" s="33" t="e">
        <f>F2</f>
        <v>#REF!</v>
      </c>
      <c r="D2" s="34" t="s">
        <v>117</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106</v>
      </c>
      <c r="E4" s="29" t="e">
        <f>#REF!</f>
        <v>#REF!</v>
      </c>
      <c r="F4" s="1" t="e">
        <f>ROUND(E4*1.5*12,2)</f>
        <v>#REF!</v>
      </c>
    </row>
    <row r="5" spans="1:8" ht="36.75" x14ac:dyDescent="0.2">
      <c r="A5" s="27">
        <v>2.2000000000000002</v>
      </c>
      <c r="B5" s="26" t="s">
        <v>93</v>
      </c>
      <c r="C5" s="31" t="e">
        <f>ROUND(E5,2)</f>
        <v>#REF!</v>
      </c>
      <c r="D5" s="35" t="s">
        <v>110</v>
      </c>
      <c r="E5" s="30" t="e">
        <f>ROUND(4500*G5*0.1%*E4,2)</f>
        <v>#REF!</v>
      </c>
      <c r="F5" s="37">
        <v>1E-3</v>
      </c>
      <c r="G5" s="40" t="e">
        <f>#REF!</f>
        <v>#REF!</v>
      </c>
    </row>
    <row r="6" spans="1:8" ht="24.75" x14ac:dyDescent="0.2">
      <c r="A6" s="27">
        <v>2.2999999999999998</v>
      </c>
      <c r="B6" s="26" t="s">
        <v>94</v>
      </c>
      <c r="C6" s="27" t="e">
        <f>#REF!</f>
        <v>#REF!</v>
      </c>
      <c r="D6" s="35" t="s">
        <v>111</v>
      </c>
      <c r="E6" s="1" t="s">
        <v>84</v>
      </c>
      <c r="H6" s="32"/>
    </row>
    <row r="7" spans="1:8" x14ac:dyDescent="0.2">
      <c r="A7" s="27">
        <v>3</v>
      </c>
      <c r="B7" s="26" t="s">
        <v>95</v>
      </c>
      <c r="C7" s="27" t="e">
        <f>C8+C9+C10</f>
        <v>#REF!</v>
      </c>
      <c r="D7" s="35" t="s">
        <v>67</v>
      </c>
    </row>
    <row r="8" spans="1:8" ht="24.75" x14ac:dyDescent="0.2">
      <c r="A8" s="27">
        <v>3.1</v>
      </c>
      <c r="B8" s="26" t="s">
        <v>96</v>
      </c>
      <c r="C8" s="27" t="e">
        <f>E8</f>
        <v>#REF!</v>
      </c>
      <c r="D8" s="34" t="s">
        <v>149</v>
      </c>
      <c r="E8" s="1" t="e">
        <f>ROUND(62.11*12*E4*2%,2)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112</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75.75" x14ac:dyDescent="0.2">
      <c r="A2" s="27">
        <v>1</v>
      </c>
      <c r="B2" s="26" t="s">
        <v>90</v>
      </c>
      <c r="C2" s="33" t="e">
        <f>F2</f>
        <v>#REF!</v>
      </c>
      <c r="D2" s="34" t="s">
        <v>118</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113</v>
      </c>
      <c r="E4" s="29" t="e">
        <f>#REF!</f>
        <v>#REF!</v>
      </c>
      <c r="F4" s="1" t="e">
        <f>ROUND(E4*1.5*12,2)</f>
        <v>#REF!</v>
      </c>
    </row>
    <row r="5" spans="1:8" ht="24.75" x14ac:dyDescent="0.2">
      <c r="A5" s="27">
        <v>2.2000000000000002</v>
      </c>
      <c r="B5" s="26" t="s">
        <v>93</v>
      </c>
      <c r="C5" s="31" t="e">
        <f>ROUND(E5,2)</f>
        <v>#REF!</v>
      </c>
      <c r="D5" s="35" t="s">
        <v>114</v>
      </c>
      <c r="E5" s="30" t="e">
        <f>ROUND(4500*G5*0.1%*E4,2)</f>
        <v>#REF!</v>
      </c>
      <c r="F5" s="37">
        <v>1E-3</v>
      </c>
      <c r="G5" s="40" t="e">
        <f>#REF!</f>
        <v>#REF!</v>
      </c>
    </row>
    <row r="6" spans="1:8" ht="24.75" x14ac:dyDescent="0.2">
      <c r="A6" s="27">
        <v>2.2999999999999998</v>
      </c>
      <c r="B6" s="26" t="s">
        <v>94</v>
      </c>
      <c r="C6" s="27" t="e">
        <f>#REF!</f>
        <v>#REF!</v>
      </c>
      <c r="D6" s="35" t="s">
        <v>115</v>
      </c>
      <c r="E6" s="1" t="s">
        <v>84</v>
      </c>
      <c r="H6" s="32"/>
    </row>
    <row r="7" spans="1:8" x14ac:dyDescent="0.2">
      <c r="A7" s="27">
        <v>3</v>
      </c>
      <c r="B7" s="26" t="s">
        <v>95</v>
      </c>
      <c r="C7" s="27" t="e">
        <f>C8+C9+C10</f>
        <v>#REF!</v>
      </c>
      <c r="D7" s="35" t="s">
        <v>67</v>
      </c>
    </row>
    <row r="8" spans="1:8" ht="24.75" x14ac:dyDescent="0.2">
      <c r="A8" s="27">
        <v>3.1</v>
      </c>
      <c r="B8" s="26" t="s">
        <v>96</v>
      </c>
      <c r="C8" s="27" t="e">
        <f>E8</f>
        <v>#REF!</v>
      </c>
      <c r="D8" s="34" t="s">
        <v>150</v>
      </c>
      <c r="E8" s="1" t="e">
        <f>ROUND(63.72*12*E4*2%,2)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116</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75" x14ac:dyDescent="0.2">
      <c r="A2" s="27">
        <v>1</v>
      </c>
      <c r="B2" s="26" t="s">
        <v>90</v>
      </c>
      <c r="C2" s="33" t="e">
        <f>F2</f>
        <v>#REF!</v>
      </c>
      <c r="D2" s="34" t="s">
        <v>119</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120</v>
      </c>
      <c r="E4" s="29" t="e">
        <f>#REF!</f>
        <v>#REF!</v>
      </c>
      <c r="F4" s="1" t="e">
        <f>ROUND(E4*1.5*12,2)</f>
        <v>#REF!</v>
      </c>
    </row>
    <row r="5" spans="1:8" ht="24.75" x14ac:dyDescent="0.2">
      <c r="A5" s="27">
        <v>2.2000000000000002</v>
      </c>
      <c r="B5" s="26" t="s">
        <v>93</v>
      </c>
      <c r="C5" s="31" t="e">
        <f>ROUND(E5,2)</f>
        <v>#REF!</v>
      </c>
      <c r="D5" s="35" t="s">
        <v>121</v>
      </c>
      <c r="E5" s="30" t="e">
        <f>ROUND(4500*G5*0.1%*E4,2)</f>
        <v>#REF!</v>
      </c>
      <c r="F5" s="37">
        <v>1E-3</v>
      </c>
      <c r="G5" s="40" t="e">
        <f>#REF!</f>
        <v>#REF!</v>
      </c>
    </row>
    <row r="6" spans="1:8" ht="24.75" x14ac:dyDescent="0.2">
      <c r="A6" s="27">
        <v>2.2999999999999998</v>
      </c>
      <c r="B6" s="26" t="s">
        <v>94</v>
      </c>
      <c r="C6" s="27" t="e">
        <f>#REF!</f>
        <v>#REF!</v>
      </c>
      <c r="D6" s="35" t="s">
        <v>132</v>
      </c>
      <c r="E6" s="1" t="s">
        <v>84</v>
      </c>
      <c r="H6" s="32"/>
    </row>
    <row r="7" spans="1:8" x14ac:dyDescent="0.2">
      <c r="A7" s="27">
        <v>3</v>
      </c>
      <c r="B7" s="26" t="s">
        <v>95</v>
      </c>
      <c r="C7" s="27" t="e">
        <f>C8+C9+C10</f>
        <v>#REF!</v>
      </c>
      <c r="D7" s="35" t="s">
        <v>67</v>
      </c>
    </row>
    <row r="8" spans="1:8" ht="24.75" x14ac:dyDescent="0.2">
      <c r="A8" s="27">
        <v>3.1</v>
      </c>
      <c r="B8" s="26" t="s">
        <v>96</v>
      </c>
      <c r="C8" s="27" t="e">
        <f>E8</f>
        <v>#REF!</v>
      </c>
      <c r="D8" s="34" t="s">
        <v>151</v>
      </c>
      <c r="E8" s="1" t="e">
        <f>ROUND(63.95*12*E4*2%,2)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122</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75" x14ac:dyDescent="0.2">
      <c r="A2" s="27">
        <v>1</v>
      </c>
      <c r="B2" s="26" t="s">
        <v>90</v>
      </c>
      <c r="C2" s="33" t="e">
        <f>F2</f>
        <v>#REF!</v>
      </c>
      <c r="D2" s="34" t="s">
        <v>123</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124</v>
      </c>
      <c r="E4" s="29" t="e">
        <f>#REF!</f>
        <v>#REF!</v>
      </c>
      <c r="F4" s="1" t="e">
        <f>ROUND(E4*1.5*12,2)</f>
        <v>#REF!</v>
      </c>
    </row>
    <row r="5" spans="1:8" ht="24.75" x14ac:dyDescent="0.2">
      <c r="A5" s="27">
        <v>2.2000000000000002</v>
      </c>
      <c r="B5" s="26" t="s">
        <v>93</v>
      </c>
      <c r="C5" s="31" t="e">
        <f>ROUND(E5,2)</f>
        <v>#REF!</v>
      </c>
      <c r="D5" s="35" t="s">
        <v>125</v>
      </c>
      <c r="E5" s="30" t="e">
        <f>ROUND(4500*G5*0.1%*E4,2)</f>
        <v>#REF!</v>
      </c>
      <c r="F5" s="37">
        <v>1E-3</v>
      </c>
      <c r="G5" s="40" t="e">
        <f>#REF!</f>
        <v>#REF!</v>
      </c>
    </row>
    <row r="6" spans="1:8" ht="24.75" x14ac:dyDescent="0.2">
      <c r="A6" s="27">
        <v>2.2999999999999998</v>
      </c>
      <c r="B6" s="26" t="s">
        <v>94</v>
      </c>
      <c r="C6" s="27" t="e">
        <f>#REF!</f>
        <v>#REF!</v>
      </c>
      <c r="D6" s="35" t="s">
        <v>131</v>
      </c>
      <c r="E6" s="1" t="s">
        <v>84</v>
      </c>
      <c r="H6" s="32"/>
    </row>
    <row r="7" spans="1:8" x14ac:dyDescent="0.2">
      <c r="A7" s="27">
        <v>3</v>
      </c>
      <c r="B7" s="26" t="s">
        <v>95</v>
      </c>
      <c r="C7" s="27" t="e">
        <f>C8+C9+C10</f>
        <v>#REF!</v>
      </c>
      <c r="D7" s="35" t="s">
        <v>67</v>
      </c>
    </row>
    <row r="8" spans="1:8" ht="24.75" x14ac:dyDescent="0.2">
      <c r="A8" s="27">
        <v>3.1</v>
      </c>
      <c r="B8" s="26" t="s">
        <v>96</v>
      </c>
      <c r="C8" s="27" t="e">
        <f>E8</f>
        <v>#REF!</v>
      </c>
      <c r="D8" s="34" t="s">
        <v>152</v>
      </c>
      <c r="E8" s="1" t="e">
        <f>ROUND(61.84*12*E4*2%,2)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126</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测算表</vt:lpstr>
      <vt:lpstr>亚林溪苑周边住宅租金</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2024-06-26T02:14:13Z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