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74中冀斯巴鲁大厦-吴姐-中行\"/>
    </mc:Choice>
  </mc:AlternateContent>
  <xr:revisionPtr revIDLastSave="0" documentId="13_ncr:1_{69850BA0-B18A-4BDD-8725-1F7DCAB752AA}" xr6:coauthVersionLast="47" xr6:coauthVersionMax="47" xr10:uidLastSave="{00000000-0000-0000-0000-000000000000}"/>
  <bookViews>
    <workbookView xWindow="-110" yWindow="-110" windowWidth="19420" windowHeight="1042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Sheet1"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3" i="21" l="1"/>
  <c r="E104" i="21"/>
  <c r="F104" i="21" s="1"/>
  <c r="D104" i="21"/>
  <c r="E20" i="1"/>
  <c r="AA153" i="67" l="1"/>
  <c r="AA154" i="67"/>
  <c r="AA152" i="67"/>
  <c r="D7" i="31"/>
  <c r="E7" i="31"/>
  <c r="C7" i="31"/>
  <c r="F7" i="31"/>
  <c r="G50" i="21"/>
  <c r="G47" i="21" s="1"/>
  <c r="E47" i="21"/>
  <c r="E91" i="21"/>
  <c r="D91" i="21"/>
  <c r="C37" i="21"/>
  <c r="E37" i="21" s="1"/>
  <c r="G37" i="21" s="1"/>
  <c r="I37" i="21" s="1"/>
  <c r="I50" i="21" l="1"/>
  <c r="I47" i="21" s="1"/>
  <c r="G48" i="34"/>
  <c r="I48" i="34" s="1"/>
  <c r="D7" i="66" l="1"/>
  <c r="C7" i="66"/>
  <c r="D5" i="66"/>
  <c r="C5" i="66"/>
  <c r="B14" i="62" l="1"/>
  <c r="C14" i="62"/>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R35" i="63"/>
  <c r="U34" i="63" s="1"/>
  <c r="D29" i="63"/>
  <c r="AH6" i="59"/>
  <c r="AG6" i="59"/>
  <c r="AE6" i="59"/>
  <c r="AF6" i="59" s="1"/>
  <c r="AD6" i="59"/>
  <c r="Q6" i="59"/>
  <c r="P6" i="59"/>
  <c r="O6" i="59"/>
  <c r="N6" i="59"/>
  <c r="C32" i="63" l="1"/>
  <c r="C38" i="63" s="1"/>
  <c r="C39" i="63" s="1"/>
  <c r="R25" i="63"/>
  <c r="R19" i="63"/>
  <c r="E26" i="63"/>
  <c r="E38" i="63"/>
  <c r="E39" i="63" s="1"/>
  <c r="E29" i="63"/>
  <c r="E32" i="63" s="1"/>
  <c r="AH7" i="59"/>
  <c r="AG7" i="59"/>
  <c r="AE7" i="59"/>
  <c r="AF7" i="59" s="1"/>
  <c r="AD7" i="59"/>
  <c r="Q7" i="59"/>
  <c r="P7" i="59"/>
  <c r="O7" i="59"/>
  <c r="N7" i="59"/>
  <c r="C40" i="63" l="1"/>
  <c r="R5" i="63"/>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D9" i="43"/>
  <c r="AD12" i="43" s="1"/>
  <c r="AC9" i="43"/>
  <c r="AC12" i="43" s="1"/>
  <c r="AB9" i="43"/>
  <c r="AB12" i="43" s="1"/>
  <c r="AA9" i="43"/>
  <c r="AA10" i="43" s="1"/>
  <c r="Z9" i="43"/>
  <c r="Z12" i="43" s="1"/>
  <c r="AC10" i="43"/>
  <c r="AI10" i="43"/>
  <c r="AB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s="1"/>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D54" i="59"/>
  <c r="Q53" i="59"/>
  <c r="P53" i="59"/>
  <c r="O53" i="59"/>
  <c r="N53" i="59"/>
  <c r="Q52" i="59"/>
  <c r="P52" i="59"/>
  <c r="O52" i="59"/>
  <c r="N52" i="59"/>
  <c r="Q51" i="59"/>
  <c r="P51" i="59"/>
  <c r="O51" i="59"/>
  <c r="N51" i="59"/>
  <c r="E51" i="59"/>
  <c r="E52"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s="1"/>
  <c r="Q35" i="59"/>
  <c r="AB35" i="59" s="1"/>
  <c r="P35" i="59"/>
  <c r="O35" i="59"/>
  <c r="Y35" i="59" s="1"/>
  <c r="Z35" i="59" s="1"/>
  <c r="N35" i="59"/>
  <c r="Q34" i="59"/>
  <c r="F35" i="59" s="1"/>
  <c r="P34" i="59"/>
  <c r="E35" i="59"/>
  <c r="O34" i="59"/>
  <c r="C35" i="59" s="1"/>
  <c r="N34" i="59"/>
  <c r="B35" i="59"/>
  <c r="D34" i="59"/>
  <c r="Q33" i="59"/>
  <c r="P33" i="59"/>
  <c r="O33" i="59"/>
  <c r="N33" i="59"/>
  <c r="Q32" i="59"/>
  <c r="P32" i="59"/>
  <c r="O32" i="59"/>
  <c r="N32" i="59"/>
  <c r="Q31" i="59"/>
  <c r="P31" i="59"/>
  <c r="O31" i="59"/>
  <c r="N31" i="59"/>
  <c r="Q30" i="59"/>
  <c r="P30" i="59"/>
  <c r="O30" i="59"/>
  <c r="N30" i="59"/>
  <c r="B31" i="59" s="1"/>
  <c r="B32" i="59" s="1"/>
  <c r="B33" i="59" s="1"/>
  <c r="S33" i="59" s="1"/>
  <c r="D30" i="59"/>
  <c r="Q29" i="59"/>
  <c r="P29" i="59"/>
  <c r="O29" i="59"/>
  <c r="N29" i="59"/>
  <c r="Q28" i="59"/>
  <c r="P28" i="59"/>
  <c r="O28" i="59"/>
  <c r="N28" i="59"/>
  <c r="Q27" i="59"/>
  <c r="P27" i="59"/>
  <c r="O27" i="59"/>
  <c r="N27" i="59"/>
  <c r="Q26" i="59"/>
  <c r="P26" i="59"/>
  <c r="E27" i="59" s="1"/>
  <c r="E28" i="59" s="1"/>
  <c r="E29" i="59" s="1"/>
  <c r="U29" i="59" s="1"/>
  <c r="O26" i="59"/>
  <c r="C27" i="59" s="1"/>
  <c r="N26" i="59"/>
  <c r="D26" i="59"/>
  <c r="O25" i="59"/>
  <c r="N25" i="59"/>
  <c r="C25" i="59"/>
  <c r="D25" i="59" s="1"/>
  <c r="B25" i="59"/>
  <c r="B24" i="59" s="1"/>
  <c r="B23" i="59" s="1"/>
  <c r="P25" i="59"/>
  <c r="E25" i="59" s="1"/>
  <c r="E24" i="59" s="1"/>
  <c r="E23" i="59" s="1"/>
  <c r="Q25" i="59"/>
  <c r="Q65" i="59"/>
  <c r="C72" i="59"/>
  <c r="D72" i="59" s="1"/>
  <c r="E72" i="59"/>
  <c r="E71" i="59" s="1"/>
  <c r="C76" i="59"/>
  <c r="D76" i="59" s="1"/>
  <c r="D77" i="59"/>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s="1"/>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S56" i="31" s="1"/>
  <c r="R57" i="31"/>
  <c r="T57" i="31" s="1"/>
  <c r="R58" i="31"/>
  <c r="T58" i="31" s="1"/>
  <c r="R59" i="31"/>
  <c r="S59" i="31" s="1"/>
  <c r="R60" i="31"/>
  <c r="T60" i="31" s="1"/>
  <c r="R61" i="31"/>
  <c r="T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T73" i="31" s="1"/>
  <c r="R74" i="31"/>
  <c r="T74" i="31" s="1"/>
  <c r="R75" i="31"/>
  <c r="S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S477" i="31" s="1"/>
  <c r="R478" i="31"/>
  <c r="T478" i="31" s="1"/>
  <c r="R479" i="31"/>
  <c r="T479" i="31" s="1"/>
  <c r="R480" i="31"/>
  <c r="S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c r="J10" i="47"/>
  <c r="I10" i="47"/>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E28" i="31"/>
  <c r="L5" i="31"/>
  <c r="K5" i="31"/>
  <c r="J5" i="31"/>
  <c r="I5" i="31"/>
  <c r="H5" i="31"/>
  <c r="G5" i="31"/>
  <c r="F5" i="31"/>
  <c r="E5" i="31"/>
  <c r="D5" i="31"/>
  <c r="C5" i="31"/>
  <c r="S366" i="31"/>
  <c r="S350" i="31"/>
  <c r="S426" i="31"/>
  <c r="S304" i="31"/>
  <c r="S251" i="31"/>
  <c r="S200" i="31"/>
  <c r="S188" i="31"/>
  <c r="S158" i="31"/>
  <c r="S150" i="31"/>
  <c r="S475" i="31"/>
  <c r="S70" i="31"/>
  <c r="S110"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H54" i="33"/>
  <c r="E54" i="33"/>
  <c r="F54" i="33" s="1"/>
  <c r="G111" i="21"/>
  <c r="H111" i="21"/>
  <c r="B110" i="39"/>
  <c r="B112" i="39"/>
  <c r="F36" i="39" s="1"/>
  <c r="J30" i="36"/>
  <c r="H30" i="36"/>
  <c r="U30" i="36" s="1"/>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8" i="31"/>
  <c r="F41" i="21"/>
  <c r="S41" i="21" s="1"/>
  <c r="J41" i="21"/>
  <c r="H41" i="21"/>
  <c r="AB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H39" i="40" s="1"/>
  <c r="U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F39" i="40"/>
  <c r="AA39" i="40"/>
  <c r="Q38" i="40"/>
  <c r="Z38" i="40" s="1"/>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U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F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AA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J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J23" i="35" s="1"/>
  <c r="AC23" i="35" s="1"/>
  <c r="H23" i="35"/>
  <c r="U23" i="35" s="1"/>
  <c r="B57" i="35"/>
  <c r="J11" i="35" s="1"/>
  <c r="B61" i="35"/>
  <c r="F13" i="35" s="1"/>
  <c r="AA13" i="35" s="1"/>
  <c r="B59" i="35"/>
  <c r="H12" i="35" s="1"/>
  <c r="B131" i="34"/>
  <c r="H47" i="34" s="1"/>
  <c r="U47" i="34" s="1"/>
  <c r="B129" i="34"/>
  <c r="J46" i="34" s="1"/>
  <c r="B127" i="34"/>
  <c r="B99" i="34"/>
  <c r="B97" i="34"/>
  <c r="H31" i="34" s="1"/>
  <c r="B95" i="34"/>
  <c r="H30" i="34" s="1"/>
  <c r="AB30" i="34" s="1"/>
  <c r="B93" i="34"/>
  <c r="J29" i="34" s="1"/>
  <c r="AC29" i="34" s="1"/>
  <c r="B75" i="34"/>
  <c r="B73" i="34"/>
  <c r="H13" i="34" s="1"/>
  <c r="B71" i="34"/>
  <c r="B130" i="33"/>
  <c r="B128" i="33"/>
  <c r="B126" i="33"/>
  <c r="H44" i="33" s="1"/>
  <c r="B98" i="33"/>
  <c r="J31" i="33" s="1"/>
  <c r="AC31" i="33" s="1"/>
  <c r="B96" i="33"/>
  <c r="H30" i="33" s="1"/>
  <c r="B94" i="33"/>
  <c r="B74" i="33"/>
  <c r="J14" i="33" s="1"/>
  <c r="AC14" i="33" s="1"/>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s="1"/>
  <c r="Q35" i="35"/>
  <c r="Z35" i="35"/>
  <c r="Q34" i="35"/>
  <c r="Z34" i="35" s="1"/>
  <c r="Q33" i="35"/>
  <c r="Z33" i="35" s="1"/>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c r="Q24" i="35"/>
  <c r="Z24" i="35" s="1"/>
  <c r="Q23" i="35"/>
  <c r="Z23" i="35" s="1"/>
  <c r="Q22" i="35"/>
  <c r="Z22" i="35" s="1"/>
  <c r="Q20" i="35"/>
  <c r="Z20" i="35"/>
  <c r="Q16" i="35"/>
  <c r="Z16" i="35" s="1"/>
  <c r="Q14" i="35"/>
  <c r="Z14" i="35" s="1"/>
  <c r="Q13" i="35"/>
  <c r="Z13" i="35"/>
  <c r="Q12" i="35"/>
  <c r="Z12" i="35" s="1"/>
  <c r="Q11" i="35"/>
  <c r="Z11" i="35"/>
  <c r="Q10" i="35"/>
  <c r="Z10" i="35"/>
  <c r="Q9" i="35"/>
  <c r="Z9" i="35"/>
  <c r="J8" i="35"/>
  <c r="AC8" i="35" s="1"/>
  <c r="H8" i="35"/>
  <c r="AB8" i="35"/>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Q39" i="33"/>
  <c r="Z39" i="33" s="1"/>
  <c r="Q38" i="33"/>
  <c r="Z38" i="33"/>
  <c r="J38" i="33"/>
  <c r="AC38" i="33" s="1"/>
  <c r="H38" i="33"/>
  <c r="AB38" i="33" s="1"/>
  <c r="F38" i="33"/>
  <c r="Q37" i="33"/>
  <c r="Z37" i="33" s="1"/>
  <c r="Q36" i="33"/>
  <c r="Z36" i="33" s="1"/>
  <c r="Q35" i="33"/>
  <c r="Z35" i="33" s="1"/>
  <c r="H35" i="33"/>
  <c r="AB35" i="33" s="1"/>
  <c r="F35" i="33"/>
  <c r="S35" i="33" s="1"/>
  <c r="Q34" i="33"/>
  <c r="Z34" i="33"/>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18" i="20"/>
  <c r="B71" i="43" s="1"/>
  <c r="C17" i="20"/>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F46" i="21" s="1"/>
  <c r="B128" i="21"/>
  <c r="B126" i="21"/>
  <c r="B98" i="21"/>
  <c r="F31" i="21" s="1"/>
  <c r="S31" i="21" s="1"/>
  <c r="B96" i="21"/>
  <c r="B94" i="21"/>
  <c r="B92" i="21"/>
  <c r="F28" i="21" s="1"/>
  <c r="B90" i="21"/>
  <c r="J27" i="21" s="1"/>
  <c r="W27" i="21" s="1"/>
  <c r="B74" i="21"/>
  <c r="H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H12" i="21"/>
  <c r="AB12" i="21" s="1"/>
  <c r="J26" i="21"/>
  <c r="F45" i="39"/>
  <c r="J45" i="39"/>
  <c r="W45" i="39" s="1"/>
  <c r="H36" i="39"/>
  <c r="AB36" i="39" s="1"/>
  <c r="J36" i="39"/>
  <c r="AC36" i="39" s="1"/>
  <c r="H32" i="37"/>
  <c r="AB32" i="37" s="1"/>
  <c r="U8" i="37"/>
  <c r="F29" i="36"/>
  <c r="AA29" i="36" s="1"/>
  <c r="F16" i="36"/>
  <c r="S16" i="36" s="1"/>
  <c r="U22" i="36"/>
  <c r="W22" i="36"/>
  <c r="W31" i="36"/>
  <c r="H22" i="35"/>
  <c r="AB22" i="35" s="1"/>
  <c r="S31" i="35"/>
  <c r="H39" i="33"/>
  <c r="AB39" i="33" s="1"/>
  <c r="H39" i="37"/>
  <c r="AB39" i="37" s="1"/>
  <c r="F11" i="40"/>
  <c r="AA11" i="40" s="1"/>
  <c r="S8" i="40"/>
  <c r="H11" i="40"/>
  <c r="AB11" i="40" s="1"/>
  <c r="W8" i="40"/>
  <c r="U9" i="40"/>
  <c r="S39" i="40"/>
  <c r="F42" i="39"/>
  <c r="AA42" i="39" s="1"/>
  <c r="F41" i="39"/>
  <c r="AA41" i="39" s="1"/>
  <c r="H40" i="39"/>
  <c r="AB40" i="39" s="1"/>
  <c r="H39" i="39"/>
  <c r="U39" i="39" s="1"/>
  <c r="H34" i="39"/>
  <c r="E103" i="39"/>
  <c r="F103" i="39" s="1"/>
  <c r="G103" i="39" s="1"/>
  <c r="H19" i="39"/>
  <c r="AB19" i="39" s="1"/>
  <c r="F19" i="39"/>
  <c r="S19" i="39" s="1"/>
  <c r="H17" i="39"/>
  <c r="AB17" i="39" s="1"/>
  <c r="F17" i="39"/>
  <c r="AA17" i="39"/>
  <c r="J23" i="40"/>
  <c r="AC23" i="40" s="1"/>
  <c r="H42" i="39"/>
  <c r="AB42" i="39" s="1"/>
  <c r="J34" i="39"/>
  <c r="AC34" i="39"/>
  <c r="J31" i="39"/>
  <c r="AC31" i="39" s="1"/>
  <c r="H29" i="39"/>
  <c r="U29" i="39" s="1"/>
  <c r="J19" i="39"/>
  <c r="AC19" i="39" s="1"/>
  <c r="J17" i="39"/>
  <c r="W17" i="39" s="1"/>
  <c r="J29" i="39"/>
  <c r="AC29" i="39" s="1"/>
  <c r="F29" i="39"/>
  <c r="AA29" i="39"/>
  <c r="F11" i="21"/>
  <c r="S11" i="21" s="1"/>
  <c r="H11" i="39"/>
  <c r="AB11" i="39" s="1"/>
  <c r="H11" i="21"/>
  <c r="U11" i="21" s="1"/>
  <c r="J11" i="21"/>
  <c r="W11" i="21" s="1"/>
  <c r="H36" i="40"/>
  <c r="U36" i="40" s="1"/>
  <c r="F35" i="40"/>
  <c r="S35" i="40" s="1"/>
  <c r="J30" i="40"/>
  <c r="W30" i="40" s="1"/>
  <c r="F30" i="40"/>
  <c r="S30" i="40" s="1"/>
  <c r="H27" i="40"/>
  <c r="U27" i="40" s="1"/>
  <c r="H23" i="40"/>
  <c r="AB23" i="40" s="1"/>
  <c r="J11" i="40"/>
  <c r="W11" i="40" s="1"/>
  <c r="AA12" i="33"/>
  <c r="J34" i="36"/>
  <c r="W34" i="36" s="1"/>
  <c r="F22" i="35"/>
  <c r="AA22" i="35" s="1"/>
  <c r="H10" i="35"/>
  <c r="U10" i="35"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s="1"/>
  <c r="F25" i="33"/>
  <c r="J25" i="33"/>
  <c r="AC25" i="33" s="1"/>
  <c r="H25" i="33"/>
  <c r="U25" i="33" s="1"/>
  <c r="J23" i="33"/>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10" i="35"/>
  <c r="AC10" i="35" s="1"/>
  <c r="J14" i="21"/>
  <c r="W14" i="21" s="1"/>
  <c r="F14" i="21"/>
  <c r="S14" i="21" s="1"/>
  <c r="H28" i="21"/>
  <c r="U28" i="21" s="1"/>
  <c r="AB28" i="21"/>
  <c r="J28" i="21"/>
  <c r="W28" i="21" s="1"/>
  <c r="F30" i="21"/>
  <c r="S30" i="21" s="1"/>
  <c r="H44" i="21"/>
  <c r="U44" i="21" s="1"/>
  <c r="J46" i="21"/>
  <c r="W46" i="21" s="1"/>
  <c r="E119" i="21"/>
  <c r="F119" i="21" s="1"/>
  <c r="G119" i="21" s="1"/>
  <c r="H119" i="21" s="1"/>
  <c r="I119" i="21" s="1"/>
  <c r="J119" i="21" s="1"/>
  <c r="K119" i="21" s="1"/>
  <c r="L119" i="21" s="1"/>
  <c r="M119" i="21" s="1"/>
  <c r="F33" i="35"/>
  <c r="S33" i="35" s="1"/>
  <c r="J33" i="35"/>
  <c r="AC33" i="35" s="1"/>
  <c r="F30" i="35"/>
  <c r="S30" i="35" s="1"/>
  <c r="G89" i="35"/>
  <c r="H89" i="35" s="1"/>
  <c r="I89" i="35" s="1"/>
  <c r="J89" i="35" s="1"/>
  <c r="K89" i="35" s="1"/>
  <c r="L89" i="35" s="1"/>
  <c r="M89" i="35" s="1"/>
  <c r="H10" i="36"/>
  <c r="AB10" i="36" s="1"/>
  <c r="F28" i="36"/>
  <c r="S28" i="36" s="1"/>
  <c r="J29" i="33"/>
  <c r="W29" i="33" s="1"/>
  <c r="H29" i="33"/>
  <c r="U29" i="33" s="1"/>
  <c r="F29" i="33"/>
  <c r="S29" i="33" s="1"/>
  <c r="H31" i="33"/>
  <c r="AB31" i="33" s="1"/>
  <c r="H45" i="33"/>
  <c r="U45" i="33" s="1"/>
  <c r="J45" i="33"/>
  <c r="W45" i="33" s="1"/>
  <c r="F45" i="33"/>
  <c r="S45" i="33" s="1"/>
  <c r="J14" i="34"/>
  <c r="W14" i="34" s="1"/>
  <c r="F14" i="34"/>
  <c r="H14" i="34"/>
  <c r="U14" i="34" s="1"/>
  <c r="U30" i="34"/>
  <c r="H32" i="34"/>
  <c r="F32" i="34"/>
  <c r="AA32" i="34" s="1"/>
  <c r="J32" i="34"/>
  <c r="W32" i="34" s="1"/>
  <c r="J26" i="36"/>
  <c r="W26" i="36" s="1"/>
  <c r="H28" i="36"/>
  <c r="J11" i="36"/>
  <c r="AC11" i="36" s="1"/>
  <c r="H11" i="36"/>
  <c r="AB11" i="36" s="1"/>
  <c r="F11" i="36"/>
  <c r="AA11" i="36" s="1"/>
  <c r="H13" i="36"/>
  <c r="AB13" i="36" s="1"/>
  <c r="H36" i="37"/>
  <c r="U36" i="37" s="1"/>
  <c r="AB36" i="37"/>
  <c r="H37" i="37"/>
  <c r="H14" i="33"/>
  <c r="U14" i="33" s="1"/>
  <c r="F14" i="33"/>
  <c r="AA14" i="33" s="1"/>
  <c r="AB30" i="33"/>
  <c r="F30" i="33"/>
  <c r="F44" i="33"/>
  <c r="S44" i="33" s="1"/>
  <c r="J46" i="33"/>
  <c r="AC46" i="33" s="1"/>
  <c r="W46" i="33"/>
  <c r="F46" i="33"/>
  <c r="H46" i="33"/>
  <c r="F29" i="34"/>
  <c r="S29" i="34" s="1"/>
  <c r="H29" i="34"/>
  <c r="U29" i="34" s="1"/>
  <c r="J31" i="34"/>
  <c r="AC31" i="34" s="1"/>
  <c r="F31" i="34"/>
  <c r="S31" i="34" s="1"/>
  <c r="H45" i="34"/>
  <c r="U45" i="34" s="1"/>
  <c r="J45" i="34"/>
  <c r="W45" i="34" s="1"/>
  <c r="F45" i="34"/>
  <c r="S45" i="34" s="1"/>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H28" i="37"/>
  <c r="H38" i="37"/>
  <c r="AB38" i="37" s="1"/>
  <c r="J38" i="37"/>
  <c r="AC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s="1"/>
  <c r="AB14" i="33"/>
  <c r="AC32" i="34"/>
  <c r="J10" i="36"/>
  <c r="AC10" i="36" s="1"/>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F39" i="33"/>
  <c r="AA39" i="33" s="1"/>
  <c r="F42" i="33"/>
  <c r="AA42" i="33"/>
  <c r="F14" i="36"/>
  <c r="F22" i="36"/>
  <c r="AA22" i="36" s="1"/>
  <c r="F26" i="36"/>
  <c r="AA26" i="36" s="1"/>
  <c r="H27" i="34"/>
  <c r="U27" i="34" s="1"/>
  <c r="H35" i="34"/>
  <c r="U35" i="34" s="1"/>
  <c r="F41" i="34"/>
  <c r="S41" i="34" s="1"/>
  <c r="H41" i="34"/>
  <c r="U41" i="34" s="1"/>
  <c r="J41" i="34"/>
  <c r="AC41" i="34" s="1"/>
  <c r="F10" i="35"/>
  <c r="AA10" i="35"/>
  <c r="H23" i="37"/>
  <c r="AB23" i="37" s="1"/>
  <c r="J32" i="37"/>
  <c r="AC32" i="37" s="1"/>
  <c r="F36" i="37"/>
  <c r="AA36" i="37" s="1"/>
  <c r="F37" i="37"/>
  <c r="AA37" i="37" s="1"/>
  <c r="H32" i="40"/>
  <c r="AB32" i="40" s="1"/>
  <c r="J36" i="40"/>
  <c r="W36" i="40" s="1"/>
  <c r="H42" i="33"/>
  <c r="J23" i="37"/>
  <c r="W23" i="37" s="1"/>
  <c r="U11" i="40"/>
  <c r="U39" i="37"/>
  <c r="W47" i="34"/>
  <c r="AB10" i="33"/>
  <c r="S11" i="33"/>
  <c r="H37" i="21"/>
  <c r="AB37" i="21" s="1"/>
  <c r="F36" i="35"/>
  <c r="AA36" i="35" s="1"/>
  <c r="H9" i="37"/>
  <c r="AB9" i="37" s="1"/>
  <c r="F9" i="37"/>
  <c r="AA9" i="37" s="1"/>
  <c r="F11" i="37"/>
  <c r="AA11" i="37" s="1"/>
  <c r="S11" i="37"/>
  <c r="J42" i="39"/>
  <c r="AC42" i="39" s="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U19" i="40" s="1"/>
  <c r="F19" i="40"/>
  <c r="S13" i="40"/>
  <c r="S17" i="39"/>
  <c r="W43" i="39"/>
  <c r="U45" i="39"/>
  <c r="AB45" i="39"/>
  <c r="H25" i="39"/>
  <c r="AB25" i="39" s="1"/>
  <c r="J25" i="39"/>
  <c r="W25" i="39" s="1"/>
  <c r="F25" i="39"/>
  <c r="S25" i="39" s="1"/>
  <c r="F15" i="39"/>
  <c r="S15" i="39" s="1"/>
  <c r="H15" i="39"/>
  <c r="U15" i="39" s="1"/>
  <c r="J15" i="39"/>
  <c r="W15" i="39" s="1"/>
  <c r="H41" i="39"/>
  <c r="AB41" i="39" s="1"/>
  <c r="F11" i="39"/>
  <c r="AA11" i="39" s="1"/>
  <c r="H21" i="39"/>
  <c r="F32" i="39"/>
  <c r="S32" i="39" s="1"/>
  <c r="W29" i="39"/>
  <c r="W19" i="39"/>
  <c r="S42" i="39"/>
  <c r="W39" i="39"/>
  <c r="W8" i="39"/>
  <c r="W21" i="39"/>
  <c r="J11" i="39"/>
  <c r="AC11" i="39" s="1"/>
  <c r="J32" i="39"/>
  <c r="AC32" i="39" s="1"/>
  <c r="E66" i="39"/>
  <c r="E61" i="40"/>
  <c r="F34" i="43"/>
  <c r="C21" i="11"/>
  <c r="C29" i="11" s="1"/>
  <c r="D27" i="11" s="1"/>
  <c r="H55" i="39"/>
  <c r="G60" i="40"/>
  <c r="C60" i="40" s="1"/>
  <c r="H16" i="44"/>
  <c r="D17" i="43"/>
  <c r="I17" i="43"/>
  <c r="D108" i="9"/>
  <c r="F22" i="43"/>
  <c r="G22" i="43"/>
  <c r="H14" i="44"/>
  <c r="W40" i="39"/>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K106" i="43" s="1"/>
  <c r="I101" i="43"/>
  <c r="I102" i="43" s="1"/>
  <c r="G101" i="43"/>
  <c r="G105" i="43" s="1"/>
  <c r="E101" i="43"/>
  <c r="E102" i="43" s="1"/>
  <c r="C101" i="43"/>
  <c r="C104" i="43" s="1"/>
  <c r="N101" i="43"/>
  <c r="L101" i="43"/>
  <c r="J101" i="43"/>
  <c r="J102" i="43" s="1"/>
  <c r="H101" i="43"/>
  <c r="H107" i="43" s="1"/>
  <c r="F101" i="43"/>
  <c r="F104" i="43" s="1"/>
  <c r="D101" i="43"/>
  <c r="D103" i="43" s="1"/>
  <c r="S427" i="31"/>
  <c r="S363" i="31"/>
  <c r="T307" i="31"/>
  <c r="S93" i="31"/>
  <c r="S131" i="31"/>
  <c r="S179" i="31"/>
  <c r="C18" i="57"/>
  <c r="D18" i="57" s="1"/>
  <c r="D47" i="15"/>
  <c r="J37" i="37"/>
  <c r="W37" i="37" s="1"/>
  <c r="S14" i="39"/>
  <c r="AB29" i="35"/>
  <c r="U29" i="35"/>
  <c r="S14" i="34"/>
  <c r="AA14" i="34"/>
  <c r="U38" i="34"/>
  <c r="F40" i="34"/>
  <c r="AA40" i="34" s="1"/>
  <c r="U20" i="36"/>
  <c r="AB20" i="36"/>
  <c r="AA16" i="36"/>
  <c r="H13" i="21"/>
  <c r="U13" i="21" s="1"/>
  <c r="J13" i="21"/>
  <c r="W13" i="21" s="1"/>
  <c r="F13" i="21"/>
  <c r="S13" i="21" s="1"/>
  <c r="J45" i="21"/>
  <c r="AC45" i="21" s="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J19" i="40"/>
  <c r="AC19" i="40" s="1"/>
  <c r="W9" i="39"/>
  <c r="H32" i="39"/>
  <c r="U32" i="39" s="1"/>
  <c r="F21" i="39"/>
  <c r="S21" i="39" s="1"/>
  <c r="F31" i="37"/>
  <c r="AA31" i="37" s="1"/>
  <c r="F17" i="37"/>
  <c r="AA17" i="37" s="1"/>
  <c r="AA29" i="33"/>
  <c r="U33" i="40"/>
  <c r="U11" i="36"/>
  <c r="U32" i="34"/>
  <c r="AB32" i="34"/>
  <c r="H45" i="21"/>
  <c r="AB45" i="21" s="1"/>
  <c r="J14" i="36"/>
  <c r="AC14" i="36" s="1"/>
  <c r="J40" i="34"/>
  <c r="AC40" i="34" s="1"/>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W34" i="33"/>
  <c r="AC34" i="33"/>
  <c r="H27" i="21"/>
  <c r="AB27" i="21" s="1"/>
  <c r="F27" i="21"/>
  <c r="S27" i="21" s="1"/>
  <c r="J29" i="21"/>
  <c r="H29" i="21"/>
  <c r="AB29" i="21" s="1"/>
  <c r="F29" i="21"/>
  <c r="AA29" i="21" s="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H38" i="40"/>
  <c r="AB38" i="40" s="1"/>
  <c r="J40" i="40"/>
  <c r="AC40" i="40" s="1"/>
  <c r="F40" i="40"/>
  <c r="AA40" i="40" s="1"/>
  <c r="N6" i="43"/>
  <c r="M1" i="43"/>
  <c r="F101" i="9"/>
  <c r="F33" i="9"/>
  <c r="C25" i="57"/>
  <c r="F59" i="43"/>
  <c r="H63" i="43" s="1"/>
  <c r="G15" i="47"/>
  <c r="U15" i="37"/>
  <c r="H25" i="34"/>
  <c r="U25" i="34" s="1"/>
  <c r="J17" i="34"/>
  <c r="AC17" i="34" s="1"/>
  <c r="F17" i="34"/>
  <c r="AA17" i="34" s="1"/>
  <c r="H27" i="33"/>
  <c r="F43" i="33"/>
  <c r="S43" i="33" s="1"/>
  <c r="F125" i="33"/>
  <c r="G125" i="33" s="1"/>
  <c r="J43" i="33"/>
  <c r="AC43" i="33" s="1"/>
  <c r="U31" i="21"/>
  <c r="H27" i="36"/>
  <c r="AB27" i="36" s="1"/>
  <c r="F27" i="36"/>
  <c r="AA27" i="36"/>
  <c r="J28" i="34"/>
  <c r="W28" i="34" s="1"/>
  <c r="H11" i="34"/>
  <c r="U11" i="34" s="1"/>
  <c r="J11" i="37"/>
  <c r="W11" i="37" s="1"/>
  <c r="S45" i="21"/>
  <c r="AB13" i="21"/>
  <c r="F23" i="39"/>
  <c r="S23" i="39" s="1"/>
  <c r="S24" i="36"/>
  <c r="F44" i="34"/>
  <c r="AA44" i="34" s="1"/>
  <c r="J44" i="34"/>
  <c r="W44" i="34" s="1"/>
  <c r="S40" i="21"/>
  <c r="H10" i="37"/>
  <c r="AB43" i="33"/>
  <c r="AC27" i="36"/>
  <c r="W27" i="36"/>
  <c r="J32" i="33"/>
  <c r="W32" i="33" s="1"/>
  <c r="H32" i="33"/>
  <c r="AB32" i="33" s="1"/>
  <c r="U45"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8" i="40"/>
  <c r="S36" i="40"/>
  <c r="AA35" i="40"/>
  <c r="AC38" i="39"/>
  <c r="AB29" i="39"/>
  <c r="AC25" i="39"/>
  <c r="W27" i="39"/>
  <c r="AC27" i="39"/>
  <c r="AC15" i="39"/>
  <c r="U41" i="39"/>
  <c r="U42" i="39"/>
  <c r="U19" i="39"/>
  <c r="AB27" i="39"/>
  <c r="U27" i="39"/>
  <c r="AA27" i="39"/>
  <c r="S27" i="39"/>
  <c r="S40" i="39"/>
  <c r="S34" i="36"/>
  <c r="S12" i="36"/>
  <c r="AC16" i="36"/>
  <c r="W14" i="36"/>
  <c r="S26" i="36"/>
  <c r="AA25" i="36"/>
  <c r="S10" i="36"/>
  <c r="W18" i="36"/>
  <c r="AC18" i="36"/>
  <c r="W25" i="36"/>
  <c r="AC20" i="36"/>
  <c r="W28" i="36"/>
  <c r="U13" i="36"/>
  <c r="AB18" i="36"/>
  <c r="U18" i="36"/>
  <c r="S29" i="36"/>
  <c r="W35" i="35"/>
  <c r="W23" i="35"/>
  <c r="S23" i="35"/>
  <c r="W34" i="35"/>
  <c r="AC26" i="35"/>
  <c r="W28" i="35"/>
  <c r="AC27" i="35"/>
  <c r="U14" i="35"/>
  <c r="AB10" i="35"/>
  <c r="U8" i="35"/>
  <c r="S20" i="35"/>
  <c r="S10" i="35"/>
  <c r="S34" i="37"/>
  <c r="W26" i="37"/>
  <c r="AC12" i="37"/>
  <c r="J33" i="37"/>
  <c r="AC33" i="37" s="1"/>
  <c r="F33" i="37"/>
  <c r="S33" i="37" s="1"/>
  <c r="H99" i="37"/>
  <c r="I99" i="37" s="1"/>
  <c r="J99" i="37"/>
  <c r="K99" i="37" s="1"/>
  <c r="L99" i="37" s="1"/>
  <c r="M99" i="37" s="1"/>
  <c r="H33" i="37"/>
  <c r="U33" i="37" s="1"/>
  <c r="AC35" i="37"/>
  <c r="W35"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C21" i="37"/>
  <c r="W21" i="37"/>
  <c r="AA14" i="37"/>
  <c r="AC28" i="34"/>
  <c r="S38" i="34"/>
  <c r="W31" i="34"/>
  <c r="U21" i="34"/>
  <c r="AB21" i="34"/>
  <c r="AA41" i="34"/>
  <c r="W42" i="33"/>
  <c r="W11" i="33"/>
  <c r="W25" i="33"/>
  <c r="U34" i="33"/>
  <c r="U38" i="33"/>
  <c r="AC27" i="33"/>
  <c r="S23" i="33"/>
  <c r="S17" i="33"/>
  <c r="W17" i="33"/>
  <c r="U15" i="33"/>
  <c r="U9" i="33"/>
  <c r="S10" i="33"/>
  <c r="AC12" i="33"/>
  <c r="AC19" i="33"/>
  <c r="W21" i="33"/>
  <c r="AC21" i="33"/>
  <c r="AB41" i="33"/>
  <c r="U39" i="33"/>
  <c r="S42" i="33"/>
  <c r="S9" i="33"/>
  <c r="U43" i="21"/>
  <c r="U21" i="21"/>
  <c r="AA14" i="21"/>
  <c r="T493" i="31"/>
  <c r="T59" i="31"/>
  <c r="S221" i="31"/>
  <c r="S157" i="31"/>
  <c r="S467" i="31"/>
  <c r="S365" i="31"/>
  <c r="S77" i="31"/>
  <c r="S125" i="31"/>
  <c r="D33" i="50"/>
  <c r="D12" i="50"/>
  <c r="B26" i="60" s="1"/>
  <c r="D34" i="50"/>
  <c r="D13" i="50"/>
  <c r="B27" i="60" s="1"/>
  <c r="D31" i="50"/>
  <c r="D32" i="50" s="1"/>
  <c r="D10" i="50"/>
  <c r="D11" i="50" s="1"/>
  <c r="B25" i="60" s="1"/>
  <c r="D112" i="57"/>
  <c r="D35" i="50"/>
  <c r="D14" i="50"/>
  <c r="B28" i="60" s="1"/>
  <c r="C18" i="9"/>
  <c r="D18" i="9" s="1"/>
  <c r="D3" i="21"/>
  <c r="M6" i="43"/>
  <c r="M5" i="43"/>
  <c r="F81" i="43"/>
  <c r="H85" i="43" s="1"/>
  <c r="H13" i="44"/>
  <c r="G59" i="40"/>
  <c r="C59" i="40" s="1"/>
  <c r="H11" i="44"/>
  <c r="C51" i="10"/>
  <c r="A8" i="54" s="1"/>
  <c r="B8" i="60" s="1"/>
  <c r="F2" i="21"/>
  <c r="F2" i="35"/>
  <c r="F2" i="33"/>
  <c r="D36" i="57"/>
  <c r="A18" i="54"/>
  <c r="B15" i="60" s="1"/>
  <c r="S486" i="31"/>
  <c r="S474" i="31"/>
  <c r="T470" i="31"/>
  <c r="T438" i="31"/>
  <c r="T302" i="31"/>
  <c r="S404" i="31"/>
  <c r="S310" i="31"/>
  <c r="T294" i="31"/>
  <c r="T278" i="31"/>
  <c r="S76" i="31"/>
  <c r="T38" i="31"/>
  <c r="D32" i="9"/>
  <c r="F117" i="9"/>
  <c r="A132" i="9"/>
  <c r="C27" i="15"/>
  <c r="M20" i="15"/>
  <c r="D9" i="11"/>
  <c r="C9" i="11" s="1"/>
  <c r="D19" i="11"/>
  <c r="C19" i="12"/>
  <c r="H113" i="43"/>
  <c r="X7" i="43"/>
  <c r="E59" i="43"/>
  <c r="B57" i="43"/>
  <c r="E70" i="43"/>
  <c r="B68" i="43"/>
  <c r="C24" i="43" s="1"/>
  <c r="AI11" i="43"/>
  <c r="AI13" i="43" s="1"/>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s="1"/>
  <c r="K83" i="43"/>
  <c r="J83" i="43" s="1"/>
  <c r="D83" i="43"/>
  <c r="J107" i="43"/>
  <c r="J104" i="43"/>
  <c r="N105" i="43"/>
  <c r="E106" i="43"/>
  <c r="B115" i="43"/>
  <c r="C115" i="43" s="1"/>
  <c r="D116" i="43"/>
  <c r="E116" i="43" s="1"/>
  <c r="F116" i="43" s="1"/>
  <c r="G116" i="43" s="1"/>
  <c r="H116" i="43" s="1"/>
  <c r="D118" i="43"/>
  <c r="E118" i="43" s="1"/>
  <c r="F118" i="43" s="1"/>
  <c r="F35" i="15"/>
  <c r="F64" i="15" s="1"/>
  <c r="E18" i="1"/>
  <c r="C34" i="11" s="1"/>
  <c r="A2" i="9"/>
  <c r="S23" i="40"/>
  <c r="U40" i="40"/>
  <c r="S33" i="40"/>
  <c r="AC14" i="40"/>
  <c r="S14" i="40"/>
  <c r="U15" i="40"/>
  <c r="S11" i="40"/>
  <c r="W42" i="39"/>
  <c r="W34" i="39"/>
  <c r="W32" i="39"/>
  <c r="AA32" i="39"/>
  <c r="S11" i="39"/>
  <c r="AA25" i="39"/>
  <c r="S29" i="39"/>
  <c r="U40" i="39"/>
  <c r="U11" i="39"/>
  <c r="W36" i="39"/>
  <c r="S34" i="39"/>
  <c r="S39" i="39"/>
  <c r="U9" i="39"/>
  <c r="S20" i="36"/>
  <c r="AA13" i="36"/>
  <c r="S8" i="36"/>
  <c r="W29" i="35"/>
  <c r="U33" i="35"/>
  <c r="S36" i="35"/>
  <c r="U22" i="35"/>
  <c r="AA29" i="35"/>
  <c r="S22" i="35"/>
  <c r="U28" i="35"/>
  <c r="AB27" i="35"/>
  <c r="W36" i="35"/>
  <c r="S35" i="35"/>
  <c r="AC16" i="35"/>
  <c r="AA25" i="35"/>
  <c r="S28" i="35"/>
  <c r="AC34" i="37"/>
  <c r="U29" i="37"/>
  <c r="U30" i="37"/>
  <c r="U26" i="37"/>
  <c r="AC13" i="37"/>
  <c r="AA13" i="37"/>
  <c r="S9" i="37"/>
  <c r="J21" i="34"/>
  <c r="W21" i="34" s="1"/>
  <c r="AB28" i="34"/>
  <c r="W41" i="34"/>
  <c r="AA45" i="34"/>
  <c r="AB45" i="34"/>
  <c r="W29" i="34"/>
  <c r="AC45" i="34"/>
  <c r="U37" i="33"/>
  <c r="S32" i="33"/>
  <c r="U33" i="33"/>
  <c r="U30" i="33"/>
  <c r="AA36" i="33"/>
  <c r="W35" i="33"/>
  <c r="W40" i="33"/>
  <c r="S33" i="33"/>
  <c r="U32" i="33"/>
  <c r="AC45" i="33"/>
  <c r="AB36" i="33"/>
  <c r="W15" i="33"/>
  <c r="AA19" i="33"/>
  <c r="W8" i="33"/>
  <c r="G83" i="21"/>
  <c r="J21" i="21"/>
  <c r="AC21" i="21" s="1"/>
  <c r="AC46" i="21"/>
  <c r="C15" i="39"/>
  <c r="C17" i="39"/>
  <c r="C17" i="40"/>
  <c r="B54" i="43"/>
  <c r="B65" i="43"/>
  <c r="U30" i="40"/>
  <c r="B52" i="43"/>
  <c r="B56" i="43"/>
  <c r="B63" i="43"/>
  <c r="B67" i="43"/>
  <c r="AC21" i="40"/>
  <c r="U35" i="40"/>
  <c r="AB35" i="40"/>
  <c r="U37" i="40"/>
  <c r="AB37" i="40"/>
  <c r="AA28" i="40"/>
  <c r="AC28" i="40"/>
  <c r="AB21" i="40"/>
  <c r="AA21" i="40"/>
  <c r="W17" i="40"/>
  <c r="AC17" i="40"/>
  <c r="AB33" i="37"/>
  <c r="AA35" i="37"/>
  <c r="S35" i="37"/>
  <c r="W33"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H30" i="35"/>
  <c r="AB30" i="35" s="1"/>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E2" i="11"/>
  <c r="E2" i="37"/>
  <c r="D4" i="61"/>
  <c r="D3" i="61"/>
  <c r="F5" i="61"/>
  <c r="H23" i="31"/>
  <c r="E2" i="34"/>
  <c r="E2" i="33"/>
  <c r="F7" i="61"/>
  <c r="D5" i="61"/>
  <c r="E2" i="36"/>
  <c r="E2" i="21"/>
  <c r="E2" i="35"/>
  <c r="F3" i="61"/>
  <c r="F6" i="61"/>
  <c r="F4" i="61"/>
  <c r="H42" i="21" l="1"/>
  <c r="U42" i="21" s="1"/>
  <c r="J42" i="21"/>
  <c r="AC42" i="21" s="1"/>
  <c r="F42" i="21"/>
  <c r="AA42" i="21" s="1"/>
  <c r="S482" i="31"/>
  <c r="S490" i="31"/>
  <c r="S90" i="31"/>
  <c r="S370" i="31"/>
  <c r="S66" i="31"/>
  <c r="S386" i="31"/>
  <c r="S50" i="31"/>
  <c r="S442" i="31"/>
  <c r="S266" i="31"/>
  <c r="S498" i="31"/>
  <c r="S466" i="31"/>
  <c r="S122" i="31"/>
  <c r="S282" i="31"/>
  <c r="S42" i="31"/>
  <c r="AB31" i="34"/>
  <c r="U31" i="34"/>
  <c r="S38" i="37"/>
  <c r="AA38" i="37"/>
  <c r="AA38" i="40"/>
  <c r="S38" i="40"/>
  <c r="U12" i="35"/>
  <c r="AB12" i="35"/>
  <c r="W33" i="36"/>
  <c r="AC33" i="36"/>
  <c r="S36" i="39"/>
  <c r="AA36" i="39"/>
  <c r="AB14" i="21"/>
  <c r="U14" i="21"/>
  <c r="AA46" i="21"/>
  <c r="S46" i="21"/>
  <c r="S27" i="37"/>
  <c r="AC14" i="21"/>
  <c r="F31" i="39"/>
  <c r="S40" i="33"/>
  <c r="U31" i="36"/>
  <c r="M11" i="31"/>
  <c r="N11" i="31" s="1"/>
  <c r="O11" i="31" s="1"/>
  <c r="P11" i="31" s="1"/>
  <c r="Q11" i="31" s="1"/>
  <c r="R11" i="31" s="1"/>
  <c r="S11" i="31" s="1"/>
  <c r="G38" i="31"/>
  <c r="G46" i="31"/>
  <c r="G54" i="31"/>
  <c r="G62" i="31"/>
  <c r="G70" i="31"/>
  <c r="G78" i="31"/>
  <c r="G86" i="31"/>
  <c r="G94" i="31"/>
  <c r="G102" i="31"/>
  <c r="G110" i="31"/>
  <c r="G118" i="31"/>
  <c r="G126" i="31"/>
  <c r="G134" i="31"/>
  <c r="G142" i="31"/>
  <c r="G150" i="31"/>
  <c r="G158" i="31"/>
  <c r="G166" i="31"/>
  <c r="G174" i="31"/>
  <c r="G182" i="31"/>
  <c r="G190" i="31"/>
  <c r="G198" i="31"/>
  <c r="G206" i="31"/>
  <c r="G214" i="31"/>
  <c r="G222" i="31"/>
  <c r="G230" i="31"/>
  <c r="G238" i="31"/>
  <c r="G246" i="31"/>
  <c r="G254" i="31"/>
  <c r="G262" i="31"/>
  <c r="G270" i="31"/>
  <c r="G278" i="31"/>
  <c r="G286" i="31"/>
  <c r="G294" i="31"/>
  <c r="G302" i="31"/>
  <c r="G310" i="31"/>
  <c r="G318" i="31"/>
  <c r="G326" i="31"/>
  <c r="G334" i="31"/>
  <c r="G342" i="31"/>
  <c r="G350" i="31"/>
  <c r="G358" i="31"/>
  <c r="G366" i="31"/>
  <c r="G374" i="31"/>
  <c r="G382" i="31"/>
  <c r="G390" i="31"/>
  <c r="G398" i="31"/>
  <c r="G406" i="31"/>
  <c r="G414" i="31"/>
  <c r="G422" i="31"/>
  <c r="G430" i="31"/>
  <c r="G438" i="31"/>
  <c r="G446" i="31"/>
  <c r="G454" i="31"/>
  <c r="G462"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G32" i="31"/>
  <c r="G40" i="31"/>
  <c r="G48" i="31"/>
  <c r="G56" i="31"/>
  <c r="G64" i="31"/>
  <c r="G72" i="31"/>
  <c r="G80" i="31"/>
  <c r="G88" i="31"/>
  <c r="G96" i="31"/>
  <c r="G104" i="31"/>
  <c r="G112" i="31"/>
  <c r="G120" i="31"/>
  <c r="G128" i="31"/>
  <c r="G136" i="31"/>
  <c r="G144" i="31"/>
  <c r="G152" i="31"/>
  <c r="G160" i="31"/>
  <c r="G168" i="31"/>
  <c r="G176" i="31"/>
  <c r="G184" i="31"/>
  <c r="G192" i="31"/>
  <c r="G200" i="31"/>
  <c r="G208" i="31"/>
  <c r="G216" i="31"/>
  <c r="G224" i="31"/>
  <c r="G232" i="31"/>
  <c r="G240" i="31"/>
  <c r="G248" i="31"/>
  <c r="G256" i="31"/>
  <c r="G264" i="31"/>
  <c r="G272" i="31"/>
  <c r="G280" i="31"/>
  <c r="G288" i="31"/>
  <c r="G296" i="31"/>
  <c r="G304" i="31"/>
  <c r="G312" i="31"/>
  <c r="G320" i="31"/>
  <c r="G328" i="31"/>
  <c r="G336" i="31"/>
  <c r="G344" i="31"/>
  <c r="G352" i="31"/>
  <c r="G360" i="31"/>
  <c r="G368" i="31"/>
  <c r="G376" i="31"/>
  <c r="G384" i="31"/>
  <c r="G392" i="31"/>
  <c r="G400" i="31"/>
  <c r="G408" i="31"/>
  <c r="G416" i="31"/>
  <c r="G424" i="31"/>
  <c r="G432" i="31"/>
  <c r="G440" i="31"/>
  <c r="G448" i="31"/>
  <c r="G456" i="31"/>
  <c r="G464" i="31"/>
  <c r="G472" i="31"/>
  <c r="G480" i="31"/>
  <c r="G488" i="31"/>
  <c r="G496" i="31"/>
  <c r="G504" i="31"/>
  <c r="G512" i="31"/>
  <c r="G520" i="31"/>
  <c r="G29" i="31"/>
  <c r="G33" i="31"/>
  <c r="G41" i="31"/>
  <c r="G49" i="31"/>
  <c r="G57" i="31"/>
  <c r="G65" i="31"/>
  <c r="G73" i="31"/>
  <c r="G81" i="31"/>
  <c r="G89" i="31"/>
  <c r="G97" i="31"/>
  <c r="G105" i="31"/>
  <c r="G113" i="31"/>
  <c r="G121" i="31"/>
  <c r="G129" i="31"/>
  <c r="G137" i="31"/>
  <c r="G145" i="31"/>
  <c r="G153" i="31"/>
  <c r="G161" i="31"/>
  <c r="G169" i="31"/>
  <c r="G177" i="31"/>
  <c r="G185" i="31"/>
  <c r="G193" i="31"/>
  <c r="G201" i="31"/>
  <c r="G209" i="31"/>
  <c r="G217" i="31"/>
  <c r="G225" i="31"/>
  <c r="G233" i="31"/>
  <c r="G241" i="31"/>
  <c r="G249" i="31"/>
  <c r="G257" i="31"/>
  <c r="G265" i="31"/>
  <c r="G273" i="31"/>
  <c r="G281" i="31"/>
  <c r="G289" i="31"/>
  <c r="G297" i="31"/>
  <c r="G305" i="31"/>
  <c r="G313" i="31"/>
  <c r="G321" i="31"/>
  <c r="G329" i="31"/>
  <c r="G337" i="31"/>
  <c r="G345" i="31"/>
  <c r="G353" i="31"/>
  <c r="G361" i="31"/>
  <c r="G369" i="31"/>
  <c r="G377" i="31"/>
  <c r="G385" i="31"/>
  <c r="G393" i="31"/>
  <c r="G401" i="31"/>
  <c r="G409" i="31"/>
  <c r="G417" i="31"/>
  <c r="G425" i="31"/>
  <c r="G433" i="31"/>
  <c r="G441" i="31"/>
  <c r="G449" i="31"/>
  <c r="G457" i="31"/>
  <c r="G465" i="31"/>
  <c r="G473" i="31"/>
  <c r="G481" i="31"/>
  <c r="G489" i="31"/>
  <c r="G497" i="31"/>
  <c r="G505" i="31"/>
  <c r="G513" i="31"/>
  <c r="G521" i="31"/>
  <c r="G30" i="31"/>
  <c r="G34"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5" i="31"/>
  <c r="G43" i="31"/>
  <c r="G51" i="31"/>
  <c r="G59" i="31"/>
  <c r="G67" i="31"/>
  <c r="G75" i="31"/>
  <c r="G83" i="31"/>
  <c r="G91" i="31"/>
  <c r="G99" i="31"/>
  <c r="G107" i="31"/>
  <c r="G115" i="31"/>
  <c r="G123" i="31"/>
  <c r="G131" i="31"/>
  <c r="G139" i="31"/>
  <c r="G147" i="31"/>
  <c r="G155" i="31"/>
  <c r="G163" i="31"/>
  <c r="G171" i="31"/>
  <c r="G179" i="31"/>
  <c r="G187" i="31"/>
  <c r="G195" i="31"/>
  <c r="G203" i="31"/>
  <c r="G211" i="31"/>
  <c r="G219" i="31"/>
  <c r="G227" i="31"/>
  <c r="G235" i="31"/>
  <c r="G243" i="31"/>
  <c r="G251" i="31"/>
  <c r="G259" i="31"/>
  <c r="G267" i="31"/>
  <c r="G275" i="31"/>
  <c r="G283" i="31"/>
  <c r="G291" i="31"/>
  <c r="G299" i="31"/>
  <c r="G307" i="31"/>
  <c r="G315" i="31"/>
  <c r="G323" i="31"/>
  <c r="G331" i="31"/>
  <c r="G339" i="31"/>
  <c r="G347" i="31"/>
  <c r="G355" i="31"/>
  <c r="G363" i="31"/>
  <c r="G371" i="31"/>
  <c r="G379" i="31"/>
  <c r="G387" i="31"/>
  <c r="G395" i="31"/>
  <c r="G403" i="31"/>
  <c r="G411" i="31"/>
  <c r="G419" i="31"/>
  <c r="G427" i="31"/>
  <c r="G435" i="31"/>
  <c r="G443" i="31"/>
  <c r="G451" i="31"/>
  <c r="G459" i="31"/>
  <c r="G467" i="31"/>
  <c r="G475" i="31"/>
  <c r="G483" i="31"/>
  <c r="G491" i="31"/>
  <c r="G499" i="31"/>
  <c r="G507" i="31"/>
  <c r="G515" i="31"/>
  <c r="G523" i="31"/>
  <c r="G36" i="31"/>
  <c r="G44" i="31"/>
  <c r="G52" i="31"/>
  <c r="G60" i="31"/>
  <c r="G68" i="31"/>
  <c r="G76" i="31"/>
  <c r="G84" i="31"/>
  <c r="G92" i="31"/>
  <c r="G100" i="31"/>
  <c r="G108" i="31"/>
  <c r="G116" i="31"/>
  <c r="G124" i="31"/>
  <c r="G132" i="31"/>
  <c r="G140" i="31"/>
  <c r="G148" i="31"/>
  <c r="G156" i="31"/>
  <c r="G164" i="31"/>
  <c r="G172" i="31"/>
  <c r="G180" i="31"/>
  <c r="G188" i="31"/>
  <c r="G196" i="31"/>
  <c r="G204" i="31"/>
  <c r="G212" i="31"/>
  <c r="G220" i="31"/>
  <c r="G228" i="31"/>
  <c r="G236" i="31"/>
  <c r="G244" i="31"/>
  <c r="G252" i="31"/>
  <c r="G260" i="31"/>
  <c r="G268" i="31"/>
  <c r="G276" i="31"/>
  <c r="G284" i="31"/>
  <c r="G292" i="31"/>
  <c r="G300" i="31"/>
  <c r="G308" i="31"/>
  <c r="G316" i="31"/>
  <c r="G324" i="31"/>
  <c r="G332" i="31"/>
  <c r="G340" i="31"/>
  <c r="G348" i="31"/>
  <c r="G356" i="31"/>
  <c r="G364" i="31"/>
  <c r="G372" i="31"/>
  <c r="G380" i="31"/>
  <c r="G388" i="31"/>
  <c r="G396" i="31"/>
  <c r="G404" i="31"/>
  <c r="G412" i="31"/>
  <c r="G420" i="31"/>
  <c r="G428" i="31"/>
  <c r="G436" i="31"/>
  <c r="G444" i="31"/>
  <c r="G452" i="31"/>
  <c r="G460" i="31"/>
  <c r="G468" i="31"/>
  <c r="G476" i="31"/>
  <c r="G484" i="31"/>
  <c r="G492" i="31"/>
  <c r="G500" i="31"/>
  <c r="G508" i="31"/>
  <c r="G516" i="31"/>
  <c r="G524" i="31"/>
  <c r="G37" i="31"/>
  <c r="G45" i="31"/>
  <c r="G53" i="31"/>
  <c r="G61" i="31"/>
  <c r="G69" i="31"/>
  <c r="G77" i="31"/>
  <c r="G85" i="31"/>
  <c r="G93" i="31"/>
  <c r="G101" i="31"/>
  <c r="G109" i="31"/>
  <c r="G117" i="31"/>
  <c r="G125" i="31"/>
  <c r="G133" i="31"/>
  <c r="G141" i="31"/>
  <c r="G149" i="31"/>
  <c r="G157" i="31"/>
  <c r="G165" i="31"/>
  <c r="G173" i="31"/>
  <c r="G181" i="31"/>
  <c r="G189" i="31"/>
  <c r="G197" i="31"/>
  <c r="G205" i="31"/>
  <c r="G213" i="31"/>
  <c r="G221" i="31"/>
  <c r="G229" i="31"/>
  <c r="G237" i="31"/>
  <c r="G245" i="31"/>
  <c r="G253" i="31"/>
  <c r="G261" i="31"/>
  <c r="G269" i="31"/>
  <c r="G277" i="31"/>
  <c r="G285" i="31"/>
  <c r="G293" i="31"/>
  <c r="G301" i="31"/>
  <c r="G309" i="31"/>
  <c r="G317" i="31"/>
  <c r="G325" i="31"/>
  <c r="G333" i="31"/>
  <c r="G341" i="31"/>
  <c r="G349" i="31"/>
  <c r="G357" i="31"/>
  <c r="G365" i="31"/>
  <c r="G373" i="31"/>
  <c r="G381" i="31"/>
  <c r="G389" i="31"/>
  <c r="G397" i="31"/>
  <c r="G405" i="31"/>
  <c r="G413" i="31"/>
  <c r="G421" i="31"/>
  <c r="G429" i="31"/>
  <c r="G437" i="31"/>
  <c r="G445" i="31"/>
  <c r="G453" i="31"/>
  <c r="G461" i="31"/>
  <c r="G469" i="31"/>
  <c r="G477" i="31"/>
  <c r="G485" i="31"/>
  <c r="G493" i="31"/>
  <c r="G501" i="31"/>
  <c r="G509" i="31"/>
  <c r="G517" i="31"/>
  <c r="G525" i="31"/>
  <c r="G526" i="31"/>
  <c r="W30" i="35"/>
  <c r="AB28" i="40"/>
  <c r="C15" i="40"/>
  <c r="AA31" i="34"/>
  <c r="U12" i="21"/>
  <c r="W32" i="37"/>
  <c r="W29" i="36"/>
  <c r="U27" i="36"/>
  <c r="AB15" i="39"/>
  <c r="AC17" i="39"/>
  <c r="AB27" i="37"/>
  <c r="H34" i="35"/>
  <c r="AA21" i="39"/>
  <c r="AC13" i="39"/>
  <c r="AB19" i="40"/>
  <c r="F37" i="47"/>
  <c r="B35" i="47" s="1"/>
  <c r="W38" i="37"/>
  <c r="F31" i="33"/>
  <c r="AA31" i="33" s="1"/>
  <c r="H46" i="21"/>
  <c r="U46" i="21" s="1"/>
  <c r="AB39" i="39"/>
  <c r="S34" i="40"/>
  <c r="U41" i="21"/>
  <c r="G518" i="31"/>
  <c r="F33" i="36"/>
  <c r="AA30" i="40"/>
  <c r="F36" i="34"/>
  <c r="AA36" i="34" s="1"/>
  <c r="S8" i="39"/>
  <c r="F26" i="21"/>
  <c r="S26" i="21" s="1"/>
  <c r="F37" i="21"/>
  <c r="AA37" i="21" s="1"/>
  <c r="S31" i="36"/>
  <c r="G510" i="31"/>
  <c r="AB44" i="21"/>
  <c r="S37" i="40"/>
  <c r="W31" i="39"/>
  <c r="U32" i="35"/>
  <c r="AC8" i="36"/>
  <c r="H33" i="36"/>
  <c r="AB33" i="36" s="1"/>
  <c r="AC31" i="35"/>
  <c r="W31" i="35"/>
  <c r="G502" i="31"/>
  <c r="AA15" i="40"/>
  <c r="G494" i="31"/>
  <c r="AC41" i="21"/>
  <c r="W41" i="21"/>
  <c r="H102" i="43"/>
  <c r="AC28" i="21"/>
  <c r="AB11" i="37"/>
  <c r="W14" i="35"/>
  <c r="S22" i="36"/>
  <c r="J38" i="40"/>
  <c r="AC38" i="40" s="1"/>
  <c r="C21" i="40"/>
  <c r="U10" i="36"/>
  <c r="F32" i="40"/>
  <c r="AA32" i="40" s="1"/>
  <c r="J28" i="37"/>
  <c r="AC28" i="37" s="1"/>
  <c r="F47" i="34"/>
  <c r="J44" i="33"/>
  <c r="H11" i="35"/>
  <c r="S32" i="35"/>
  <c r="H26" i="21"/>
  <c r="AB26" i="21" s="1"/>
  <c r="F43" i="21"/>
  <c r="AA43" i="21" s="1"/>
  <c r="J9" i="36"/>
  <c r="AB38" i="39"/>
  <c r="U38" i="39"/>
  <c r="G486" i="31"/>
  <c r="W15" i="37"/>
  <c r="U38" i="37"/>
  <c r="AB32" i="39"/>
  <c r="M104" i="43"/>
  <c r="F103" i="43"/>
  <c r="H104" i="43"/>
  <c r="H61" i="43"/>
  <c r="AA19" i="37"/>
  <c r="AB17" i="40"/>
  <c r="U35" i="33"/>
  <c r="AC32" i="33"/>
  <c r="AB26" i="35"/>
  <c r="AA33" i="35"/>
  <c r="W23" i="40"/>
  <c r="M107" i="43"/>
  <c r="H81" i="43"/>
  <c r="W10" i="35"/>
  <c r="W45" i="21"/>
  <c r="AA27" i="33"/>
  <c r="B44" i="47"/>
  <c r="AA32" i="37"/>
  <c r="AC36" i="40"/>
  <c r="S8" i="34"/>
  <c r="W11" i="39"/>
  <c r="J14" i="37"/>
  <c r="AA28" i="36"/>
  <c r="J10" i="21"/>
  <c r="AC10" i="21" s="1"/>
  <c r="G478" i="31"/>
  <c r="AA30" i="35"/>
  <c r="U19" i="33"/>
  <c r="S26" i="35"/>
  <c r="I103" i="43"/>
  <c r="F106" i="43"/>
  <c r="W37" i="33"/>
  <c r="S31" i="37"/>
  <c r="AB23" i="35"/>
  <c r="U14" i="36"/>
  <c r="S11" i="36"/>
  <c r="W32" i="40"/>
  <c r="S24" i="35"/>
  <c r="U38" i="40"/>
  <c r="AA34" i="35"/>
  <c r="U25" i="36"/>
  <c r="J37" i="21"/>
  <c r="AB45" i="33"/>
  <c r="J13" i="34"/>
  <c r="U14" i="37"/>
  <c r="C19" i="39"/>
  <c r="B59" i="43"/>
  <c r="J39" i="40"/>
  <c r="G28" i="31"/>
  <c r="G470" i="31"/>
  <c r="X22" i="59"/>
  <c r="C5" i="11"/>
  <c r="C64" i="59"/>
  <c r="C63" i="59" s="1"/>
  <c r="T65" i="59"/>
  <c r="AB27" i="59"/>
  <c r="AB29" i="59"/>
  <c r="AA31" i="59"/>
  <c r="AA33" i="59"/>
  <c r="F36" i="59"/>
  <c r="F37" i="59" s="1"/>
  <c r="V37" i="59" s="1"/>
  <c r="E48" i="59"/>
  <c r="E49" i="59" s="1"/>
  <c r="U49" i="59" s="1"/>
  <c r="P65" i="59"/>
  <c r="AF10" i="43"/>
  <c r="I4" i="47"/>
  <c r="AB23" i="59"/>
  <c r="X26" i="59"/>
  <c r="X28" i="59"/>
  <c r="X35" i="59"/>
  <c r="S65" i="59"/>
  <c r="AE12" i="43"/>
  <c r="AE13" i="43" s="1"/>
  <c r="Y30" i="59"/>
  <c r="Z30" i="59" s="1"/>
  <c r="Y32" i="59"/>
  <c r="Z32" i="59" s="1"/>
  <c r="E53" i="59"/>
  <c r="U53" i="59" s="1"/>
  <c r="Y24" i="59"/>
  <c r="Z24" i="59" s="1"/>
  <c r="S515" i="31"/>
  <c r="S443" i="31"/>
  <c r="T75" i="31"/>
  <c r="S507" i="31"/>
  <c r="S171" i="31"/>
  <c r="T323" i="31"/>
  <c r="S387" i="31"/>
  <c r="S523" i="31"/>
  <c r="S35" i="31"/>
  <c r="S491" i="31"/>
  <c r="S83" i="31"/>
  <c r="S451" i="31"/>
  <c r="S211" i="31"/>
  <c r="S147" i="31"/>
  <c r="T259" i="31"/>
  <c r="S347" i="31"/>
  <c r="S395" i="31"/>
  <c r="S43" i="31"/>
  <c r="S499" i="31"/>
  <c r="S91" i="31"/>
  <c r="S195" i="31"/>
  <c r="S139" i="31"/>
  <c r="T275" i="31"/>
  <c r="S355" i="31"/>
  <c r="S411" i="31"/>
  <c r="S235" i="31"/>
  <c r="S397" i="31"/>
  <c r="T45" i="31"/>
  <c r="S517" i="31"/>
  <c r="T285" i="31"/>
  <c r="T317" i="31"/>
  <c r="S245" i="31"/>
  <c r="T291" i="31"/>
  <c r="S123" i="31"/>
  <c r="S333" i="31"/>
  <c r="S99" i="31"/>
  <c r="S189" i="31"/>
  <c r="T67" i="31"/>
  <c r="T477" i="31"/>
  <c r="S203" i="31"/>
  <c r="S163" i="31"/>
  <c r="S437" i="31"/>
  <c r="T269" i="31"/>
  <c r="T301" i="31"/>
  <c r="S331" i="31"/>
  <c r="S379" i="31"/>
  <c r="S419" i="31"/>
  <c r="S229" i="31"/>
  <c r="S440" i="31"/>
  <c r="S432" i="31"/>
  <c r="S520" i="31"/>
  <c r="S421" i="31"/>
  <c r="S357" i="31"/>
  <c r="S133" i="31"/>
  <c r="S197" i="31"/>
  <c r="S53" i="31"/>
  <c r="S485" i="31"/>
  <c r="S85" i="31"/>
  <c r="S389" i="31"/>
  <c r="S325" i="31"/>
  <c r="S501" i="31"/>
  <c r="S165" i="31"/>
  <c r="S37" i="31"/>
  <c r="S61" i="31"/>
  <c r="S69" i="31"/>
  <c r="S469" i="31"/>
  <c r="S117" i="31"/>
  <c r="S413" i="31"/>
  <c r="S381" i="31"/>
  <c r="S349" i="31"/>
  <c r="S509" i="31"/>
  <c r="S141" i="31"/>
  <c r="S173" i="31"/>
  <c r="S205" i="31"/>
  <c r="S429" i="31"/>
  <c r="S461" i="31"/>
  <c r="S101" i="31"/>
  <c r="T261" i="31"/>
  <c r="T277" i="31"/>
  <c r="T293" i="31"/>
  <c r="T309" i="31"/>
  <c r="S237" i="31"/>
  <c r="S253" i="31"/>
  <c r="S115" i="31"/>
  <c r="S405" i="31"/>
  <c r="S373" i="31"/>
  <c r="S341" i="31"/>
  <c r="S107" i="31"/>
  <c r="S459" i="31"/>
  <c r="S435" i="31"/>
  <c r="S149" i="31"/>
  <c r="S181" i="31"/>
  <c r="S213" i="31"/>
  <c r="S219" i="31"/>
  <c r="S187" i="31"/>
  <c r="S155" i="31"/>
  <c r="S445" i="31"/>
  <c r="S453" i="31"/>
  <c r="S109" i="31"/>
  <c r="T267" i="31"/>
  <c r="T283" i="31"/>
  <c r="T299" i="31"/>
  <c r="T315" i="31"/>
  <c r="S339" i="31"/>
  <c r="S371" i="31"/>
  <c r="S403" i="31"/>
  <c r="S525" i="31"/>
  <c r="S51" i="31"/>
  <c r="S483" i="31"/>
  <c r="S227" i="31"/>
  <c r="S243" i="31"/>
  <c r="S29" i="21"/>
  <c r="S246" i="3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AB10" i="34"/>
  <c r="U9" i="34"/>
  <c r="AA9" i="34"/>
  <c r="G41" i="11"/>
  <c r="E1" i="61"/>
  <c r="D24" i="15"/>
  <c r="D22" i="15"/>
  <c r="B23" i="60"/>
  <c r="C114" i="57"/>
  <c r="H109" i="57" s="1"/>
  <c r="D42" i="50"/>
  <c r="D43" i="50" s="1"/>
  <c r="U9" i="37"/>
  <c r="AB16" i="35"/>
  <c r="S14" i="33"/>
  <c r="H30" i="21"/>
  <c r="J30" i="21"/>
  <c r="AB12" i="34"/>
  <c r="U12" i="34"/>
  <c r="W9" i="34"/>
  <c r="W15" i="40"/>
  <c r="AB19" i="37"/>
  <c r="AA43" i="33"/>
  <c r="S43" i="39"/>
  <c r="S17" i="34"/>
  <c r="W19" i="37"/>
  <c r="AC24" i="36"/>
  <c r="U12" i="36"/>
  <c r="S26" i="37"/>
  <c r="AC36" i="34"/>
  <c r="AA12" i="37"/>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5" i="57"/>
  <c r="H110" i="57" s="1"/>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7" i="61"/>
  <c r="G1" i="61"/>
  <c r="D6" i="61"/>
  <c r="AB42" i="21" l="1"/>
  <c r="W28" i="37"/>
  <c r="C20" i="11"/>
  <c r="C28" i="11" s="1"/>
  <c r="C27" i="11" s="1"/>
  <c r="S17" i="59"/>
  <c r="AA26" i="21"/>
  <c r="W37" i="21"/>
  <c r="AC37" i="21"/>
  <c r="W13" i="34"/>
  <c r="AC13" i="34"/>
  <c r="U34" i="35"/>
  <c r="AB34" i="35"/>
  <c r="U11" i="35"/>
  <c r="AB11" i="35"/>
  <c r="AC39" i="40"/>
  <c r="W39" i="40"/>
  <c r="W38" i="40"/>
  <c r="AC10" i="34"/>
  <c r="S31" i="33"/>
  <c r="S36" i="34"/>
  <c r="AB46" i="21"/>
  <c r="U26" i="21"/>
  <c r="AA31" i="39"/>
  <c r="S31" i="39"/>
  <c r="AB37" i="39"/>
  <c r="S10" i="34"/>
  <c r="S33" i="36"/>
  <c r="AA33" i="36"/>
  <c r="W14" i="37"/>
  <c r="AC14" i="37"/>
  <c r="C8" i="62"/>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C31" i="12" l="1"/>
  <c r="F31" i="15"/>
  <c r="C6" i="15"/>
  <c r="C10" i="15" s="1"/>
  <c r="C5" i="15" s="1"/>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54" i="15"/>
  <c r="F22" i="11"/>
  <c r="F41" i="11" s="1"/>
  <c r="F24" i="15"/>
  <c r="F25" i="12"/>
  <c r="J26" i="15" l="1"/>
  <c r="AC34" i="34"/>
  <c r="W34" i="34"/>
  <c r="C15" i="15"/>
  <c r="C18" i="15"/>
  <c r="C16" i="15"/>
  <c r="C15" i="12"/>
  <c r="C12" i="12"/>
  <c r="D126" i="57"/>
  <c r="L108" i="57"/>
  <c r="F60" i="15"/>
  <c r="C50" i="15"/>
  <c r="C49" i="15" s="1"/>
  <c r="C67" i="15" s="1"/>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C23" i="15" l="1"/>
  <c r="C29" i="15" s="1"/>
  <c r="B2" i="12"/>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9" i="9"/>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9" i="57"/>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R27" i="31" s="1"/>
  <c r="D7" i="59"/>
  <c r="C6" i="59"/>
  <c r="G47" i="40"/>
  <c r="H47" i="40" s="1"/>
  <c r="E42" i="40"/>
  <c r="C106" i="57" l="1"/>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D127" i="9" s="1"/>
  <c r="H14" i="62" s="1"/>
  <c r="B7" i="62" s="1"/>
  <c r="E121" i="9"/>
  <c r="E4" i="52" s="1"/>
  <c r="B38" i="60" s="1"/>
  <c r="G121" i="9"/>
  <c r="I121" i="9"/>
  <c r="I113" i="9" l="1"/>
  <c r="D41" i="50"/>
  <c r="B63" i="60" s="1"/>
  <c r="D7" i="62"/>
  <c r="C7" i="62"/>
  <c r="D107" i="9"/>
  <c r="C104" i="9"/>
  <c r="H121" i="9"/>
  <c r="F121" i="9"/>
  <c r="G4" i="52"/>
  <c r="B41" i="60" s="1"/>
  <c r="I103" i="9"/>
  <c r="D121" i="9"/>
  <c r="D128" i="9" l="1"/>
  <c r="D11" i="52" s="1"/>
  <c r="D20" i="50"/>
  <c r="C103" i="9"/>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C98" i="57" s="1"/>
  <c r="E98" i="57" s="1"/>
  <c r="E99" i="57" s="1"/>
  <c r="D130" i="57"/>
  <c r="D17" i="50"/>
  <c r="M65" i="57"/>
  <c r="N65" i="57" s="1"/>
  <c r="M67" i="57"/>
  <c r="N67" i="57" s="1"/>
  <c r="M70" i="57"/>
  <c r="N70" i="57" s="1"/>
  <c r="M69" i="57"/>
  <c r="N69" i="57" s="1"/>
  <c r="M66" i="57"/>
  <c r="N66" i="57" s="1"/>
  <c r="M68" i="57"/>
  <c r="N68" i="57" s="1"/>
  <c r="G14" i="62"/>
  <c r="D8" i="52"/>
  <c r="B29" i="60"/>
  <c r="D16" i="50"/>
  <c r="B30" i="60" s="1"/>
  <c r="C81" i="57"/>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5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5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<sst xmlns="http://schemas.openxmlformats.org/spreadsheetml/2006/main" count="7122" uniqueCount="3087">
  <si>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</si>
  <si>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</si>
  <si>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</si>
  <si>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</si>
  <si>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</si>
  <si>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</si>
  <si>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</si>
  <si>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</si>
  <si>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</si>
  <si>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</si>
  <si>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</si>
  <si>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</si>
  <si>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</si>
  <si>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</si>
  <si>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</si>
  <si>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</si>
  <si>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</si>
  <si>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</si>
  <si>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</si>
  <si>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</si>
  <si>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</si>
  <si>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</si>
  <si>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</si>
  <si>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</si>
  <si>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</si>
  <si>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</si>
  <si>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</si>
  <si>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</si>
  <si>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</si>
  <si>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</si>
  <si>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</si>
  <si>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</si>
  <si>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</si>
  <si>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</si>
  <si>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</si>
  <si>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</si>
  <si>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</si>
  <si>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</si>
  <si>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</si>
  <si>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</si>
  <si>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</si>
  <si>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</si>
  <si>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</si>
  <si>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</si>
  <si>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</si>
  <si>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</si>
  <si>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</si>
  <si>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</si>
  <si>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</si>
  <si>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</si>
  <si>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</si>
  <si>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</si>
  <si>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</si>
  <si>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</si>
  <si>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</si>
  <si>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</si>
  <si>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</si>
  <si>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</si>
  <si>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</si>
  <si>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</si>
  <si>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</si>
  <si>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</si>
  <si>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</si>
  <si>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</si>
  <si>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</si>
  <si>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</si>
  <si>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</si>
  <si>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</si>
  <si>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</si>
  <si>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</si>
  <si>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</si>
  <si>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</si>
  <si>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</si>
  <si>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</si>
  <si>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</si>
  <si>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</si>
  <si>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</si>
  <si>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</si>
  <si>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</si>
  <si>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</si>
  <si>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</si>
  <si>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</si>
  <si>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</si>
  <si>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</si>
  <si>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</si>
  <si>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</si>
  <si>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</si>
  <si>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</si>
  <si>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</si>
  <si>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</si>
  <si>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</si>
  <si>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</si>
  <si>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</si>
  <si>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</si>
  <si>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</si>
  <si>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</si>
  <si>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</si>
  <si>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</si>
  <si>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</si>
  <si>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</si>
  <si>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</si>
  <si>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</si>
  <si>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</si>
  <si>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</si>
  <si>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</si>
  <si>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</si>
  <si>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</si>
  <si>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</si>
  <si>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</si>
  <si>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</si>
  <si>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</si>
  <si>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</si>
  <si>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</si>
  <si>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</si>
  <si>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</si>
  <si>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</si>
  <si>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</si>
  <si>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</si>
  <si>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</si>
  <si>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</si>
  <si>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</si>
  <si>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</si>
  <si>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</si>
  <si>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</si>
  <si>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</si>
  <si>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</si>
  <si>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</si>
  <si>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</si>
  <si>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</si>
  <si>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</si>
  <si>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</si>
  <si>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</si>
  <si>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</si>
  <si>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</si>
  <si>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</si>
  <si>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</si>
  <si>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</si>
  <si>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</si>
  <si>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</si>
  <si>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</si>
  <si>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</si>
  <si>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</si>
  <si>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</si>
  <si>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</si>
  <si>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</si>
  <si>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</si>
  <si>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</si>
  <si>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</si>
  <si>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</si>
  <si>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</si>
  <si>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</si>
  <si>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</si>
  <si>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</si>
  <si>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</si>
  <si>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</si>
  <si>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</si>
  <si>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</si>
  <si>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</si>
  <si>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</si>
  <si>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</si>
  <si>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</si>
  <si>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</si>
  <si>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</si>
  <si>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</si>
  <si>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</si>
  <si>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</si>
  <si>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</si>
  <si>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</si>
  <si>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</si>
  <si>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</si>
  <si>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</si>
  <si>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</si>
  <si>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</si>
  <si>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</si>
  <si>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</si>
  <si>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</si>
  <si>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</si>
  <si>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</si>
  <si>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</si>
  <si>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</si>
  <si>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</si>
  <si>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</si>
  <si>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</si>
  <si>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</si>
  <si>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</si>
  <si>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</si>
  <si>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</si>
  <si>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</si>
  <si>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</si>
  <si>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</si>
  <si>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</si>
  <si>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</si>
  <si>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</si>
  <si>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</si>
  <si>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</si>
  <si>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</si>
  <si>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</si>
  <si>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</si>
  <si>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</si>
  <si>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</si>
  <si>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</si>
  <si>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</si>
  <si>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</si>
  <si>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</si>
  <si>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</si>
  <si>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</si>
  <si>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</si>
  <si>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</si>
  <si>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</si>
  <si>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</si>
  <si>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</si>
  <si>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</si>
  <si>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</si>
  <si>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</si>
  <si>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</si>
  <si>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</si>
  <si>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</si>
  <si>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</si>
  <si>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</si>
  <si>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</si>
  <si>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</si>
  <si>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</si>
  <si>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</si>
  <si>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</si>
  <si>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</si>
  <si>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</si>
  <si>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</si>
  <si>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</si>
  <si>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</si>
  <si>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</si>
  <si>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</si>
  <si>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</si>
  <si>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</si>
  <si>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</si>
  <si>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</si>
  <si>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</si>
  <si>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</si>
  <si>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</si>
  <si>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</si>
  <si>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</si>
  <si>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</si>
  <si>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</si>
  <si>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</si>
  <si>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</si>
  <si>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</si>
  <si>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</si>
  <si>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</si>
  <si>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</si>
  <si>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</si>
  <si>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</si>
  <si>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</si>
  <si>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</si>
  <si>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</si>
  <si>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</si>
  <si>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</si>
  <si>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</si>
  <si>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</si>
  <si>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</si>
  <si>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</si>
  <si>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</si>
  <si>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</si>
  <si>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</si>
  <si>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</si>
  <si>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</si>
  <si>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</si>
  <si>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</si>
  <si>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</si>
  <si>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</si>
  <si>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</si>
  <si>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</si>
  <si>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</si>
  <si>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</si>
  <si>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</si>
  <si>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</si>
  <si>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</si>
  <si>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</si>
  <si>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</si>
  <si>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</si>
  <si>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</si>
  <si>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</si>
  <si>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</si>
  <si>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</si>
  <si>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</si>
  <si>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</si>
  <si>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</si>
  <si>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</si>
  <si>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</si>
  <si>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</si>
  <si>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</si>
  <si>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</si>
  <si>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</si>
  <si>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</si>
  <si>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</si>
  <si>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</si>
  <si>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</si>
  <si>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</si>
  <si>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</si>
  <si>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</si>
  <si>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</si>
  <si>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</si>
  <si>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</si>
  <si>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</si>
  <si>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</si>
  <si>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</si>
  <si>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</si>
  <si>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</si>
  <si>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</si>
  <si>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</si>
  <si>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</si>
  <si>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</si>
  <si>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</si>
  <si>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</si>
  <si>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</si>
  <si>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</si>
  <si>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</si>
  <si>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</si>
  <si>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</si>
  <si>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</si>
  <si>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</si>
  <si>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</si>
  <si>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</si>
  <si>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</si>
  <si>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</si>
  <si>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</si>
  <si>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</si>
  <si>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</si>
  <si>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</si>
  <si>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</si>
  <si>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</si>
  <si>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</si>
  <si>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</si>
  <si>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</si>
  <si>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</si>
  <si>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</si>
  <si>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</si>
  <si>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</si>
  <si>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</si>
  <si>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</si>
  <si>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</si>
  <si>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</si>
  <si>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</si>
  <si>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</si>
  <si>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</si>
  <si>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</si>
  <si>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</si>
  <si>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</si>
  <si>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</si>
  <si>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</si>
  <si>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</si>
  <si>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</si>
  <si>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</si>
  <si>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</si>
  <si>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</si>
  <si>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</si>
  <si>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</si>
  <si>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</si>
  <si>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</si>
  <si>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</si>
  <si>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</si>
  <si>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</si>
  <si>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</si>
  <si>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</si>
  <si>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</si>
  <si>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</si>
  <si>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</si>
  <si>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</si>
  <si>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</si>
  <si>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</si>
  <si>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</si>
  <si>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</si>
  <si>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</si>
  <si>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</si>
  <si>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</si>
  <si>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</si>
  <si>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</si>
  <si>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</si>
  <si>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</si>
  <si>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</si>
  <si>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</si>
  <si>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</si>
  <si>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</si>
  <si>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</si>
  <si>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</si>
  <si>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</si>
  <si>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</si>
  <si>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</si>
  <si>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</si>
  <si>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</si>
  <si>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</si>
  <si>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</si>
  <si>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</si>
  <si>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</si>
  <si>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</si>
  <si>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</si>
  <si>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</si>
  <si>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</si>
  <si>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</si>
  <si>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</si>
  <si>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</si>
  <si>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</si>
  <si>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</si>
  <si>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</si>
  <si>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</si>
  <si>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</si>
  <si>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</si>
  <si>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</si>
  <si>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</si>
  <si>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</si>
  <si>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</si>
  <si>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</si>
  <si>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</si>
  <si>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</si>
  <si>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</si>
  <si>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</si>
  <si>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</si>
  <si>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</si>
  <si>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</si>
  <si>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</si>
  <si>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</si>
  <si>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</si>
  <si>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</si>
  <si>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</si>
  <si>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</si>
  <si>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</si>
  <si>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</si>
  <si>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</si>
  <si>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</si>
  <si>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</si>
  <si>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</si>
  <si>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</si>
  <si>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</si>
  <si>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</si>
  <si>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</si>
  <si>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</si>
  <si>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</si>
  <si>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</si>
  <si>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</si>
  <si>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</si>
  <si>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</si>
  <si>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</si>
  <si>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</si>
  <si>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</si>
  <si>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</si>
  <si>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</si>
  <si>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</si>
  <si>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</si>
  <si>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</si>
  <si>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</si>
  <si>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</si>
  <si>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</si>
  <si>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</si>
  <si>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</si>
  <si>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</si>
  <si>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</si>
  <si>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</si>
  <si>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</si>
  <si>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</si>
  <si>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</si>
  <si>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</si>
  <si>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</si>
  <si>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</si>
  <si>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</si>
  <si>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</si>
  <si>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</si>
  <si>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</si>
  <si>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</si>
  <si>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</si>
  <si>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</si>
  <si>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</si>
  <si>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</si>
  <si>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</si>
  <si>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</si>
  <si>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</si>
  <si>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</si>
  <si>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</si>
  <si>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</si>
  <si>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</si>
  <si>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</si>
  <si>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</si>
  <si>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</si>
  <si>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</si>
  <si>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</si>
  <si>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</si>
  <si>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</si>
  <si>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</si>
  <si>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</si>
  <si>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</si>
  <si>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</si>
  <si>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</si>
  <si>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</si>
  <si>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</si>
  <si>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</si>
  <si>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</si>
  <si>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</si>
  <si>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</si>
  <si>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</si>
  <si>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</si>
  <si>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</si>
  <si>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</si>
  <si>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</si>
  <si>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</si>
  <si>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</si>
  <si>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</si>
  <si>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</si>
  <si>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</si>
  <si>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</si>
  <si>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</si>
  <si>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</si>
  <si>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</si>
  <si>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</si>
  <si>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</si>
  <si>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</si>
  <si>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</si>
  <si>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</si>
  <si>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</si>
  <si>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</si>
  <si>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</si>
  <si>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</si>
  <si>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</si>
  <si>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</si>
  <si>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</si>
  <si>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</si>
  <si>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</si>
  <si>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</si>
  <si>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</si>
  <si>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</si>
  <si>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</si>
  <si>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</si>
  <si>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</si>
  <si>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</si>
  <si>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</si>
  <si>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</si>
  <si>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</si>
  <si>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</si>
  <si>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</si>
  <si>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</si>
  <si>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</si>
  <si>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</si>
  <si>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</si>
  <si>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</si>
  <si>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</si>
  <si>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</si>
  <si>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</si>
  <si>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</si>
  <si>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</si>
  <si>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</si>
  <si>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</si>
  <si>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</si>
  <si>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</si>
  <si>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</si>
  <si>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</si>
  <si>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</si>
  <si>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</si>
  <si>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</si>
  <si>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</si>
  <si>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</si>
  <si>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</si>
  <si>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</si>
  <si>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</si>
  <si>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</si>
  <si>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</si>
  <si>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</si>
  <si>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</si>
  <si>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</si>
  <si>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</si>
  <si>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</si>
  <si>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</si>
  <si>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</si>
  <si>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</si>
  <si>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</si>
  <si>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</si>
  <si>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</si>
  <si>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</si>
  <si>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</si>
  <si>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</si>
  <si>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</si>
  <si>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</si>
  <si>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</si>
  <si>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</si>
  <si>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</si>
  <si>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</si>
  <si>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</si>
  <si>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</si>
  <si>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</si>
  <si>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</si>
  <si>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</si>
  <si>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</si>
  <si>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</si>
  <si>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</si>
  <si>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</si>
  <si>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</si>
  <si>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</si>
  <si>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</si>
  <si>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</si>
  <si>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</si>
  <si>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</si>
  <si>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</si>
  <si>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</si>
  <si>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</si>
  <si>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</si>
  <si>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</si>
  <si>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</si>
  <si>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</si>
  <si>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</si>
  <si>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</si>
  <si>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</si>
  <si>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</si>
  <si>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</si>
  <si>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</si>
  <si>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</si>
  <si>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</si>
  <si>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</si>
  <si>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</si>
  <si>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</si>
  <si>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</si>
  <si>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</si>
  <si>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</si>
  <si>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</si>
  <si>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</si>
  <si>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</si>
  <si>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</si>
  <si>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</si>
  <si>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</si>
  <si>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</si>
  <si>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</si>
  <si>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</si>
  <si>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</si>
  <si>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</si>
  <si>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</si>
  <si>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</si>
  <si>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</si>
  <si>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</si>
  <si>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</si>
  <si>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</si>
  <si>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</si>
  <si>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</si>
  <si>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</si>
  <si>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</si>
  <si>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</si>
  <si>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</si>
  <si>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</si>
  <si>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</si>
  <si>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</si>
  <si>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</si>
  <si>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</si>
  <si>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</si>
  <si>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</si>
  <si>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</si>
  <si>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</si>
  <si>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</si>
  <si>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</si>
  <si>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</si>
  <si>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</si>
  <si>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</si>
  <si>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</si>
  <si>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</si>
  <si>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</si>
  <si>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</si>
  <si>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</si>
  <si>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</si>
  <si>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</si>
  <si>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</si>
  <si>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</si>
  <si>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</si>
  <si>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</si>
  <si>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</si>
  <si>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</si>
  <si>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</si>
  <si>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</si>
  <si>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</si>
  <si>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</si>
  <si>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</si>
  <si>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</si>
  <si>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</si>
  <si>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</si>
  <si>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</si>
  <si>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</si>
  <si>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</si>
  <si>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</si>
  <si>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</si>
  <si>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</si>
  <si>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</si>
  <si>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</si>
  <si>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</si>
  <si>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</si>
  <si>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</si>
  <si>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</si>
  <si>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</si>
  <si>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</si>
  <si>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</si>
  <si>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</si>
  <si>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</si>
  <si>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</si>
  <si>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</si>
  <si>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</si>
  <si>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</si>
  <si>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</si>
  <si>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</si>
  <si>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</si>
  <si>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</si>
  <si>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</si>
  <si>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</si>
  <si>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</si>
  <si>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</si>
  <si>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</si>
  <si>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</si>
  <si>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</si>
  <si>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</si>
  <si>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</si>
  <si>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</si>
  <si>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</si>
  <si>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</si>
  <si>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</si>
  <si>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</si>
  <si>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</si>
  <si>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</si>
  <si>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</si>
  <si>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</si>
  <si>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</si>
  <si>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</si>
  <si>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</si>
  <si>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</si>
  <si>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</si>
  <si>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</si>
  <si>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</si>
  <si>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</si>
  <si>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</si>
  <si>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</si>
  <si>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</si>
  <si>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</si>
  <si>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</si>
  <si>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</si>
  <si>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</si>
  <si>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</si>
  <si>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</si>
  <si>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</si>
  <si>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</si>
  <si>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</si>
  <si>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</si>
  <si>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</si>
  <si>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</si>
  <si>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</si>
  <si>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</si>
  <si>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</si>
  <si>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</si>
  <si>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</si>
  <si>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</si>
  <si>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</si>
  <si>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</si>
  <si>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</si>
  <si>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</si>
  <si>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</si>
  <si>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</si>
  <si>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</si>
  <si>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</si>
  <si>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</si>
  <si>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</si>
  <si>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</si>
  <si>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</si>
  <si>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</si>
  <si>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</si>
  <si>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</si>
  <si>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</si>
  <si>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</si>
  <si>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</si>
  <si>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</si>
  <si>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</si>
  <si>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</si>
  <si>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</si>
  <si>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</si>
  <si>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</si>
  <si>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</si>
  <si>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</si>
  <si>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</si>
  <si>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</si>
  <si>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</si>
  <si>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</si>
  <si>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</si>
  <si>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</si>
  <si>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</si>
  <si>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</si>
  <si>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</si>
  <si>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</si>
  <si>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</si>
  <si>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</si>
  <si>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</si>
  <si>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</si>
  <si>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</si>
  <si>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</si>
  <si>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</si>
  <si>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</si>
  <si>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</si>
  <si>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</si>
  <si>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</si>
  <si>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</si>
  <si>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</si>
  <si>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</si>
  <si>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</si>
  <si>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</si>
  <si>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</si>
  <si>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</si>
  <si>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</si>
  <si>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</si>
  <si>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</si>
  <si>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</si>
  <si>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</si>
  <si>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</si>
  <si>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</si>
  <si>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</si>
  <si>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</si>
  <si>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</si>
  <si>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</si>
  <si>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</si>
  <si>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</si>
  <si>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</si>
  <si>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</si>
  <si>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</si>
  <si>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</si>
  <si>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</si>
  <si>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</si>
  <si>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</si>
  <si>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</si>
  <si>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</si>
  <si>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</si>
  <si>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</si>
  <si>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</si>
  <si>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</si>
  <si>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</si>
  <si>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</si>
  <si>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</si>
  <si>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</si>
  <si>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</si>
  <si>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</si>
  <si>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</si>
  <si>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</si>
  <si>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</si>
  <si>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</si>
  <si>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</si>
  <si>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</si>
  <si>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</si>
  <si>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</si>
  <si>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</si>
  <si>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</si>
  <si>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</si>
  <si>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</si>
  <si>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</si>
  <si>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</si>
  <si>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</si>
  <si>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</si>
  <si>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</si>
  <si>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</si>
  <si>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</si>
  <si>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</si>
  <si>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</si>
  <si>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</si>
  <si>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</si>
  <si>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</si>
  <si>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</si>
  <si>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</si>
  <si>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</si>
  <si>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</si>
  <si>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</si>
  <si>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</si>
  <si>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</si>
  <si>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</si>
  <si>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</si>
  <si>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</si>
  <si>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</si>
  <si>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</si>
  <si>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</si>
  <si>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</si>
  <si>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</si>
  <si>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</si>
  <si>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</si>
  <si>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</si>
  <si>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</si>
  <si>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</si>
  <si>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</si>
  <si>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</si>
  <si>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</si>
  <si>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</si>
  <si>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</si>
  <si>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</si>
  <si>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</si>
  <si>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</si>
  <si>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</si>
  <si>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</si>
  <si>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</si>
  <si>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</si>
  <si>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</si>
  <si>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</si>
  <si>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</si>
  <si>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</si>
  <si>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</si>
  <si>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</si>
  <si>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</si>
  <si>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</si>
  <si>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</si>
  <si>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</si>
  <si>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</si>
  <si>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</si>
  <si>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</si>
  <si>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</si>
  <si>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</si>
  <si>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</si>
  <si>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</si>
  <si>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</si>
  <si>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</si>
  <si>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</si>
  <si>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</si>
  <si>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</si>
  <si>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</si>
  <si>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</si>
  <si>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</si>
  <si>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</si>
  <si>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</si>
  <si>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</si>
  <si>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</si>
  <si>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</si>
  <si>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</si>
  <si>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</si>
  <si>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</si>
  <si>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</si>
  <si>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</si>
  <si>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</si>
  <si>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</si>
  <si>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</si>
  <si>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</si>
  <si>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</si>
  <si>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</si>
  <si>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</si>
  <si>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</si>
  <si>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</si>
  <si>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</si>
  <si>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</si>
  <si>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</si>
  <si>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</si>
  <si>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</si>
  <si>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</si>
  <si>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</si>
  <si>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</si>
  <si>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</si>
  <si>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</si>
  <si>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</si>
  <si>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</si>
  <si>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</si>
  <si>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</si>
  <si>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</si>
  <si>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</si>
  <si>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</si>
  <si>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</si>
  <si>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</si>
  <si>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</si>
  <si>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</si>
  <si>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</si>
  <si>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</si>
  <si>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</si>
  <si>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</si>
  <si>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</si>
  <si>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</si>
  <si>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</si>
  <si>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</si>
  <si>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</si>
  <si>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</si>
  <si>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</si>
  <si>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</si>
  <si>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</si>
  <si>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</si>
  <si>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</si>
  <si>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</si>
  <si>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</si>
  <si>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</si>
  <si>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</si>
  <si>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</si>
  <si>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</si>
  <si>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</si>
  <si>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</si>
  <si>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</si>
  <si>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</si>
  <si>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</si>
  <si>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</si>
  <si>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</si>
  <si>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</si>
  <si>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</si>
  <si>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</si>
  <si>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</si>
  <si>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</si>
  <si>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</si>
  <si>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</si>
  <si>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</si>
  <si>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</si>
  <si>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</si>
  <si>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</si>
  <si>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</si>
  <si>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</si>
  <si>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</si>
  <si>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</si>
  <si>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</si>
  <si>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</si>
  <si>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</si>
  <si>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</si>
  <si>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</si>
  <si>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</si>
  <si>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</si>
  <si>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</si>
  <si>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</si>
  <si>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</si>
  <si>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</si>
  <si>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</si>
  <si>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</si>
  <si>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</si>
  <si>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</si>
  <si>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</si>
  <si>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</si>
  <si>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</si>
  <si>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</si>
  <si>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</si>
  <si>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</si>
  <si>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</si>
  <si>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</si>
  <si>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</si>
  <si>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</si>
  <si>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</si>
  <si>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</si>
  <si>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</si>
  <si>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</si>
  <si>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</si>
  <si>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</si>
  <si>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</si>
  <si>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</si>
  <si>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</si>
  <si>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</si>
  <si>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</si>
  <si>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</si>
  <si>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</si>
  <si>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</si>
  <si>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</si>
  <si>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</si>
  <si>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</si>
  <si>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</si>
  <si>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</si>
  <si>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</si>
  <si>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</si>
  <si>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</si>
  <si>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</si>
  <si>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</si>
  <si>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</si>
  <si>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</si>
  <si>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</si>
  <si>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</si>
  <si>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</si>
  <si>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</si>
  <si>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</si>
  <si>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</si>
  <si>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</si>
  <si>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</si>
  <si>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</si>
  <si>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</si>
  <si>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</si>
  <si>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</si>
  <si>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</si>
  <si>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</si>
  <si>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</si>
  <si>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</si>
  <si>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</si>
  <si>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</si>
  <si>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</si>
  <si>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</si>
  <si>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</si>
  <si>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</si>
  <si>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</si>
  <si>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</si>
  <si>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</si>
  <si>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</si>
  <si>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</si>
  <si>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</si>
  <si>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</si>
  <si>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</si>
  <si>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</si>
  <si>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</si>
  <si>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</si>
  <si>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</si>
  <si>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</si>
  <si>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</si>
  <si>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</si>
  <si>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</si>
  <si>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</si>
  <si>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</si>
  <si>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</si>
  <si>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</si>
  <si>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</si>
  <si>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</si>
  <si>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</si>
  <si>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</si>
  <si>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</si>
  <si>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</si>
  <si>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</si>
  <si>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</si>
  <si>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</si>
  <si>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</si>
  <si>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</si>
  <si>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</si>
  <si>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</si>
  <si>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</si>
  <si>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</si>
  <si>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</si>
  <si>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</si>
  <si>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</si>
  <si>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</si>
  <si>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</si>
  <si>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</si>
  <si>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</si>
  <si>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</si>
  <si>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</si>
  <si>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</si>
  <si>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</si>
  <si>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</si>
  <si>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</si>
  <si>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</si>
  <si>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</si>
  <si>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</si>
  <si>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</si>
  <si>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</si>
  <si>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</si>
  <si>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</si>
  <si>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</si>
  <si>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</si>
  <si>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</si>
  <si>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</si>
  <si>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</si>
  <si>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</si>
  <si>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</si>
  <si>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</si>
  <si>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</si>
  <si>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</si>
  <si>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</si>
  <si>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</si>
  <si>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</si>
  <si>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</si>
  <si>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</si>
  <si>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</si>
  <si>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</si>
  <si>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</si>
  <si>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</si>
  <si>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</si>
  <si>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</si>
  <si>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</si>
  <si>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</si>
  <si>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</si>
  <si>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</si>
  <si>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</si>
  <si>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</si>
  <si>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</si>
  <si>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</si>
  <si>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</si>
  <si>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</si>
  <si>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</si>
  <si>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</si>
  <si>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</si>
  <si>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</si>
  <si>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</si>
  <si>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</si>
  <si>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</si>
  <si>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</si>
  <si>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</si>
  <si>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</si>
  <si>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</si>
  <si>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</si>
  <si>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</si>
  <si>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</si>
  <si>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</si>
  <si>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</si>
  <si>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</si>
  <si>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</si>
  <si>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</si>
  <si>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</si>
  <si>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</si>
  <si>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</si>
  <si>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</si>
  <si>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</si>
  <si>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</si>
  <si>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</si>
  <si>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</si>
  <si>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</si>
  <si>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</si>
  <si>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</si>
  <si>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</si>
  <si>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</si>
  <si>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</si>
  <si>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</si>
  <si>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</si>
  <si>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</si>
  <si>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</si>
  <si>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</si>
  <si>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</si>
  <si>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</si>
  <si>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</si>
  <si>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</si>
  <si>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</si>
  <si>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</si>
  <si>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</si>
  <si>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</si>
  <si>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</si>
  <si>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</si>
  <si>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</si>
  <si>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</si>
  <si>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</si>
  <si>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</si>
  <si>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</si>
  <si>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</si>
  <si>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</si>
  <si>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</si>
  <si>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</si>
  <si>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</si>
  <si>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</si>
  <si>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</si>
  <si>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</si>
  <si>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</si>
  <si>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</si>
  <si>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</si>
  <si>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</si>
  <si>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</si>
  <si>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</si>
  <si>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</si>
  <si>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</si>
  <si>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</si>
  <si>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</si>
  <si>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</si>
  <si>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</si>
  <si>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</si>
  <si>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</si>
  <si>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</si>
  <si>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</si>
  <si>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</si>
  <si>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</si>
  <si>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</si>
  <si>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</si>
  <si>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</si>
  <si>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</si>
  <si>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</si>
  <si>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</si>
  <si>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</si>
  <si>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</si>
  <si>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</si>
  <si>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</si>
  <si>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</si>
  <si>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</si>
  <si>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</si>
  <si>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</si>
  <si>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</si>
  <si>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</si>
  <si>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</si>
  <si>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</si>
  <si>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</si>
  <si>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</si>
  <si>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</si>
  <si>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</si>
  <si>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</si>
  <si>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</si>
  <si>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</si>
  <si>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</si>
  <si>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</si>
  <si>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</si>
  <si>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</si>
  <si>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</si>
  <si>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</si>
  <si>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</si>
  <si>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</si>
  <si>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</si>
  <si>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</si>
  <si>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</si>
  <si>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</si>
  <si>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</si>
  <si>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</si>
  <si>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</si>
  <si>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</si>
  <si>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</si>
  <si>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</si>
  <si>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</si>
  <si>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</si>
  <si>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</si>
  <si>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</si>
  <si>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</si>
  <si>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</si>
  <si>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</si>
  <si>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</si>
  <si>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</si>
  <si>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</si>
  <si>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</si>
  <si>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</si>
  <si>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</si>
  <si>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</si>
  <si>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</si>
  <si>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</si>
  <si>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</si>
  <si>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</si>
  <si>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</si>
  <si>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</si>
  <si>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</si>
  <si>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</si>
  <si>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</si>
  <si>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</si>
  <si>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</si>
  <si>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</si>
  <si>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</si>
  <si>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</si>
  <si>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</si>
  <si>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</si>
  <si>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</si>
  <si>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</si>
  <si>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</si>
  <si>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</si>
  <si>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</si>
  <si>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</si>
  <si>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</si>
  <si>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</si>
  <si>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</si>
  <si>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</si>
  <si>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</si>
  <si>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</si>
  <si>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</si>
  <si>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</si>
  <si>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</si>
  <si>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</si>
  <si>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</si>
  <si>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</si>
  <si>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</si>
  <si>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</si>
  <si>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</si>
  <si>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</si>
  <si>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</si>
  <si>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</si>
  <si>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</si>
  <si>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</si>
  <si>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</si>
  <si>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</si>
  <si>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</si>
  <si>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</si>
  <si>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</si>
  <si>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</si>
  <si>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</si>
  <si>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</si>
  <si>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</si>
  <si>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</si>
  <si>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</si>
  <si>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</si>
  <si>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</si>
  <si>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</si>
  <si>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</si>
  <si>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</si>
  <si>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</si>
  <si>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</si>
  <si>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</si>
  <si>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</si>
  <si>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</si>
  <si>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</si>
  <si>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</si>
  <si>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</si>
  <si>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</si>
  <si>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</si>
  <si>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</si>
  <si>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</si>
  <si>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</si>
  <si>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</si>
  <si>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</si>
  <si>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</si>
  <si>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</si>
  <si>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</si>
  <si>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</si>
  <si>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</si>
  <si>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</si>
  <si>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</si>
  <si>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</si>
  <si>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</si>
  <si>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</si>
  <si>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</si>
  <si>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</si>
  <si>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</si>
  <si>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</si>
  <si>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</si>
  <si>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</si>
  <si>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</si>
  <si>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</si>
  <si>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</si>
  <si>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</si>
  <si>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</si>
  <si>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</si>
  <si>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</si>
  <si>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</si>
  <si>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</si>
  <si>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</si>
  <si>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</si>
  <si>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</si>
  <si>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</si>
  <si>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</si>
  <si>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</si>
  <si>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</si>
  <si>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</si>
  <si>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</si>
  <si>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</si>
  <si>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</si>
  <si>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</si>
  <si>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</si>
  <si>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</si>
  <si>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</si>
  <si>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</si>
  <si>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</si>
  <si>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</si>
  <si>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</si>
  <si>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</si>
  <si>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</si>
  <si>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</si>
  <si>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</si>
  <si>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</si>
  <si>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</si>
  <si>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</si>
  <si>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</si>
  <si>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</si>
  <si>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</si>
  <si>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</si>
  <si>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</si>
  <si>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</si>
  <si>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</si>
  <si>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</si>
  <si>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</si>
  <si>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</si>
  <si>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</si>
  <si>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</si>
  <si>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</si>
  <si>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</si>
  <si>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</si>
  <si>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</si>
  <si>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</si>
  <si>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</si>
  <si>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</si>
  <si>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</si>
  <si>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</si>
  <si>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</si>
  <si>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</si>
  <si>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</si>
  <si>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</si>
  <si>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</si>
  <si>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</si>
  <si>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</si>
  <si>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</si>
  <si>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</si>
  <si>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</si>
  <si>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</si>
  <si>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</si>
  <si>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</si>
  <si>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</si>
  <si>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</si>
  <si>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</si>
  <si>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</si>
  <si>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</si>
  <si>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</si>
  <si>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</si>
  <si>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</si>
  <si>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</si>
  <si>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</si>
  <si>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</si>
  <si>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</si>
  <si>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</si>
  <si>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</si>
  <si>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</si>
  <si>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</si>
  <si>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</si>
  <si>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</si>
  <si>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</si>
  <si>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</si>
  <si>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</si>
  <si>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</si>
  <si>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</si>
  <si>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</si>
  <si>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</si>
  <si>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</si>
  <si>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</si>
  <si>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</si>
  <si>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</si>
  <si>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</si>
  <si>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</si>
  <si>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</si>
  <si>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</si>
  <si>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</si>
  <si>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</si>
  <si>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</si>
  <si>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</si>
  <si>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</si>
  <si>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</si>
  <si>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</si>
  <si>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</si>
  <si>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</si>
  <si>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</si>
  <si>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</si>
  <si>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</si>
  <si>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</si>
  <si>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</si>
  <si>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</si>
  <si>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</si>
  <si>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</si>
  <si>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</si>
  <si>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</si>
  <si>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</si>
  <si>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</si>
  <si>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</si>
  <si>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</si>
  <si>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</si>
  <si>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</si>
  <si>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</si>
  <si>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</si>
  <si>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</si>
  <si>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</si>
  <si>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</si>
  <si>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</si>
  <si>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</si>
  <si>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</si>
  <si>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</si>
  <si>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</si>
  <si>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</si>
  <si>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</si>
  <si>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</si>
  <si>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</si>
  <si>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</si>
  <si>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</si>
  <si>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</si>
  <si>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</si>
  <si>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</si>
  <si>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</si>
  <si>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</si>
  <si>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</si>
  <si>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</si>
  <si>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</si>
  <si>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</si>
  <si>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</si>
  <si>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</si>
  <si>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</si>
  <si>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</si>
  <si>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</si>
  <si>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</si>
  <si>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</si>
  <si>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</si>
  <si>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</si>
  <si>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</si>
  <si>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</si>
  <si>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</si>
  <si>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</si>
  <si>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</si>
  <si>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</si>
  <si>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</si>
  <si>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</si>
  <si>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</si>
  <si>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</si>
  <si>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</si>
  <si>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</si>
  <si>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</si>
  <si>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</si>
  <si>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</si>
  <si>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</si>
  <si>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</si>
  <si>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</si>
  <si>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</si>
  <si>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</si>
  <si>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</si>
  <si>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</si>
  <si>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</si>
  <si>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</si>
  <si>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</si>
  <si>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</si>
  <si>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</si>
  <si>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</si>
  <si>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</si>
  <si>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</si>
  <si>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</si>
  <si>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</si>
  <si>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</si>
  <si>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</si>
  <si>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</si>
  <si>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</si>
  <si>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</si>
  <si>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</si>
  <si>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</si>
  <si>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</si>
  <si>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</si>
  <si>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</si>
  <si>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</si>
  <si>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</si>
  <si>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</si>
  <si>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</si>
  <si>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</si>
  <si>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</si>
  <si>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</si>
  <si>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</si>
  <si>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</si>
  <si>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</si>
  <si>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</si>
  <si>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</si>
  <si>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</si>
  <si>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</si>
  <si>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</si>
  <si>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</si>
  <si>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</si>
  <si>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</si>
  <si>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</si>
  <si>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</si>
  <si>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</si>
  <si>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</si>
  <si>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</si>
  <si>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</si>
  <si>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</si>
  <si>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</si>
  <si>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</si>
  <si>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</si>
  <si>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</si>
  <si>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</si>
  <si>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</si>
  <si>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</si>
  <si>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</si>
  <si>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</si>
  <si>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</si>
  <si>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</si>
  <si>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</si>
  <si>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</si>
  <si>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</si>
  <si>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</si>
  <si>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</si>
  <si>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</si>
  <si>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</si>
  <si>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</si>
  <si>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</si>
  <si>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</si>
  <si>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</si>
  <si>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</si>
  <si>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</si>
  <si>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</si>
  <si>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</si>
  <si>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</si>
  <si>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</si>
  <si>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</si>
  <si>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</si>
  <si>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</si>
  <si>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</si>
  <si>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</si>
  <si>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</si>
  <si>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</si>
  <si>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</si>
  <si>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</si>
  <si>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</si>
  <si>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</si>
  <si>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</si>
  <si>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</si>
  <si>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</si>
  <si>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</si>
  <si>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</si>
  <si>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</si>
  <si>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</si>
  <si>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</si>
  <si>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</si>
  <si>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</si>
  <si>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</si>
  <si>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</si>
  <si>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</si>
  <si>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</si>
  <si>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</si>
  <si>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</si>
  <si>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</si>
  <si>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</si>
  <si>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</si>
  <si>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</si>
  <si>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</si>
  <si>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</si>
  <si>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</si>
  <si>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</si>
  <si>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</si>
  <si>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</si>
  <si>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</si>
  <si>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</si>
  <si>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</si>
  <si>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</si>
  <si>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</si>
  <si>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</si>
  <si>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</si>
  <si>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</si>
  <si>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</si>
  <si>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</si>
  <si>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</si>
  <si>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</si>
  <si>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</si>
  <si>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</si>
  <si>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</si>
  <si>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</si>
  <si>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</si>
  <si>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</si>
  <si>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</si>
  <si>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</si>
  <si>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</si>
  <si>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</si>
  <si>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</si>
  <si>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</si>
  <si>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</si>
  <si>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</si>
  <si>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</si>
  <si>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</si>
  <si>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</si>
  <si>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</si>
  <si>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</si>
  <si>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</si>
  <si>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</si>
  <si>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</si>
  <si>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</si>
  <si>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</si>
  <si>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</si>
  <si>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</si>
  <si>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</si>
  <si>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</si>
  <si>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</si>
  <si>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</si>
  <si>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</si>
  <si>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</si>
  <si>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</si>
  <si>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</si>
  <si>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</si>
  <si>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</si>
  <si>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</si>
  <si>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</si>
  <si>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</si>
  <si>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</si>
  <si>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</si>
  <si>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</si>
  <si>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</si>
  <si>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</si>
  <si>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</si>
  <si>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</si>
  <si>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</si>
  <si>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</si>
  <si>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</si>
  <si>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</si>
  <si>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</si>
  <si>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</si>
  <si>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</si>
  <si>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</si>
  <si>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</si>
  <si>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</si>
  <si>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</si>
  <si>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</si>
  <si>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</si>
  <si>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</si>
  <si>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</si>
  <si>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</si>
  <si>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</si>
  <si>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</si>
  <si>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</si>
  <si>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</si>
  <si>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</si>
  <si>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</si>
  <si>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</si>
  <si>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</si>
  <si>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</si>
  <si>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</si>
  <si>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</si>
  <si>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</si>
  <si>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</si>
  <si>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</si>
  <si>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</si>
  <si>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</si>
  <si>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</si>
  <si>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</si>
  <si>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</si>
  <si>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</si>
  <si>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</si>
  <si>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</si>
  <si>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</si>
  <si>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</si>
  <si>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</si>
  <si>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</si>
  <si>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</si>
  <si>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</si>
  <si>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</si>
  <si>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</si>
  <si>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</si>
  <si>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</si>
  <si>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</si>
  <si>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</si>
  <si>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</si>
  <si>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</si>
  <si>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</si>
  <si>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</si>
  <si>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</si>
  <si>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</si>
  <si>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</si>
  <si>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</si>
  <si>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</si>
  <si>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</si>
  <si>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</si>
  <si>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</si>
  <si>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</si>
  <si>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</si>
  <si>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</si>
  <si>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</si>
  <si>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</si>
  <si>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</si>
  <si>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</si>
  <si>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</si>
  <si>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</si>
  <si>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</si>
  <si>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</si>
  <si>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</si>
  <si>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</si>
  <si>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</si>
  <si>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</si>
  <si>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</si>
  <si>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</si>
  <si>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</si>
  <si>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</si>
  <si>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</si>
  <si>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</si>
  <si>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</si>
  <si>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</si>
  <si>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</si>
  <si>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</si>
  <si>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</si>
  <si>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</si>
  <si>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</si>
  <si>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</si>
  <si>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</si>
  <si>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</si>
  <si>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</si>
  <si>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</si>
  <si>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</si>
  <si>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</si>
  <si>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</si>
  <si>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</si>
  <si>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</si>
  <si>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</si>
  <si>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</si>
  <si>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</si>
  <si>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</si>
  <si>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</si>
  <si>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</si>
  <si>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</si>
  <si>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</si>
  <si>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</si>
  <si>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</si>
  <si>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</si>
  <si>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</si>
  <si>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</si>
  <si>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</si>
  <si>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</si>
  <si>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</si>
  <si>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</si>
  <si>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</si>
  <si>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</si>
  <si>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</si>
  <si>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</si>
  <si>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</si>
  <si>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</si>
  <si>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</si>
  <si>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</si>
  <si>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</si>
  <si>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</si>
  <si>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</si>
  <si>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</si>
  <si>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</si>
  <si>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</si>
  <si>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</si>
  <si>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</si>
  <si>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</si>
  <si>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</si>
  <si>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</si>
  <si>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</si>
  <si>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</si>
  <si>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</si>
  <si>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</si>
  <si>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</si>
  <si>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</si>
  <si>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</si>
  <si>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</si>
  <si>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</si>
  <si>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</si>
  <si>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</si>
  <si>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</si>
  <si>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</si>
  <si>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</si>
  <si>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</si>
  <si>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</si>
  <si>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</si>
  <si>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</si>
  <si>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</si>
  <si>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</si>
  <si>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</si>
  <si>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</si>
  <si>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</si>
  <si>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</si>
  <si>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</si>
  <si>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</si>
  <si>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</si>
  <si>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</si>
  <si>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</si>
  <si>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</si>
  <si>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</si>
  <si>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</si>
  <si>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</si>
  <si>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</si>
  <si>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</si>
  <si>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</si>
  <si>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</si>
  <si>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</si>
  <si>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</si>
  <si>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</si>
  <si>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</si>
  <si>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</si>
  <si>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</si>
  <si>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</si>
  <si>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</si>
  <si>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</si>
  <si>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</si>
  <si>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</si>
  <si>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</si>
  <si>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</si>
  <si>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</si>
  <si>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</si>
  <si>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</si>
  <si>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</si>
  <si>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</si>
  <si>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</si>
  <si>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</si>
  <si>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</si>
  <si>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</si>
  <si>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</si>
  <si>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</si>
  <si>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</si>
  <si>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</si>
  <si>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</si>
  <si>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</si>
  <si>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</si>
  <si>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</si>
  <si>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</si>
  <si>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</si>
  <si>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</si>
  <si>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</si>
  <si>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</si>
  <si>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</si>
  <si>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</si>
  <si>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</si>
  <si>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</si>
  <si>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</si>
  <si>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</si>
  <si>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</si>
  <si>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</si>
  <si>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</si>
  <si>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</si>
  <si>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</si>
  <si>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</si>
  <si>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</si>
  <si>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</si>
  <si>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</si>
  <si>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</si>
  <si>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</si>
  <si>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</si>
  <si>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</si>
  <si>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</si>
  <si>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</si>
  <si>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</si>
  <si>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</si>
  <si>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</si>
  <si>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</si>
  <si>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</si>
  <si>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</si>
  <si>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</si>
  <si>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</si>
  <si>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</si>
  <si>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</si>
  <si>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</si>
  <si>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</si>
  <si>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</si>
  <si>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</si>
  <si>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</si>
  <si>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</si>
  <si>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</si>
  <si>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</si>
  <si>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</si>
  <si>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</si>
  <si>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</si>
  <si>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</si>
  <si>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</si>
  <si>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</si>
  <si>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</si>
  <si>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</si>
  <si>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</si>
  <si>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</si>
  <si>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</si>
  <si>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</si>
  <si>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</si>
  <si>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</si>
  <si>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</si>
  <si>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</si>
  <si>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</si>
  <si>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</si>
  <si>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</si>
  <si>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</si>
  <si>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</si>
  <si>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</si>
  <si>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</si>
  <si>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</si>
  <si>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</si>
  <si>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</si>
  <si>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</si>
  <si>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</si>
  <si>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</si>
  <si>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</si>
  <si>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</si>
  <si>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</si>
  <si>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</si>
  <si>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</si>
  <si>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</si>
  <si>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</si>
  <si>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</si>
  <si>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</si>
  <si>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</si>
  <si>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</si>
  <si>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</si>
  <si>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</si>
  <si>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</si>
  <si>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</si>
  <si>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</si>
  <si>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</si>
  <si>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</si>
  <si>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</si>
  <si>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</si>
  <si>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</si>
  <si>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</si>
  <si>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</si>
  <si>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</si>
  <si>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</si>
  <si>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</si>
  <si>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</si>
  <si>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</si>
  <si>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</si>
  <si>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</si>
  <si>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</si>
  <si>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</si>
  <si>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</si>
  <si>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</si>
  <si>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</si>
  <si>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</si>
  <si>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</si>
  <si>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</si>
  <si>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</si>
  <si>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</si>
  <si>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</si>
  <si>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</si>
  <si>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</si>
  <si>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</si>
  <si>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</si>
  <si>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</si>
  <si>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</si>
  <si>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</si>
  <si>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</si>
  <si>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</si>
  <si>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</si>
  <si>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</si>
  <si>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</si>
  <si>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</si>
  <si>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</si>
  <si>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</si>
  <si>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</si>
  <si>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</si>
  <si>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</si>
  <si>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</si>
  <si>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</si>
  <si>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</si>
  <si>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</si>
  <si>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</si>
  <si>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</si>
  <si>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</si>
  <si>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</si>
  <si>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</si>
  <si>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</si>
  <si>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</si>
  <si>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</si>
  <si>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</si>
  <si>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</si>
  <si>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</si>
  <si>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</si>
  <si>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</si>
  <si>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</si>
  <si>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</si>
  <si>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</si>
  <si>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</si>
  <si>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</si>
  <si>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</si>
  <si>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</si>
  <si>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</si>
  <si>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</si>
  <si>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</si>
  <si>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</si>
  <si>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</si>
  <si>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</si>
  <si>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</si>
  <si>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</si>
  <si>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</si>
  <si>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</si>
  <si>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</si>
  <si>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</si>
  <si>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</si>
  <si>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</si>
  <si>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</si>
  <si>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</si>
  <si>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</si>
  <si>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</si>
  <si>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</si>
  <si>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</si>
  <si>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</si>
  <si>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</si>
  <si>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</si>
  <si>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</si>
  <si>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</si>
  <si>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</si>
  <si>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</si>
  <si>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</si>
  <si>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</si>
  <si>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</si>
  <si>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</si>
  <si>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</si>
  <si>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</si>
  <si>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</si>
  <si>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</si>
  <si>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</si>
  <si>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</si>
  <si>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</si>
  <si>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</si>
  <si>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</si>
  <si>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</si>
  <si>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</si>
  <si>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</si>
  <si>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</si>
  <si>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</si>
  <si>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</si>
  <si>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</si>
  <si>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</si>
  <si>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</si>
  <si>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</si>
  <si>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</si>
  <si>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</si>
  <si>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</si>
  <si>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</si>
  <si>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</si>
  <si>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</si>
  <si>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</si>
  <si>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</si>
  <si>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</si>
  <si>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</si>
  <si>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</si>
  <si>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</si>
  <si>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</si>
  <si>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</si>
  <si>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</si>
  <si>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</si>
  <si>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</si>
  <si>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</si>
  <si>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</si>
  <si>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</si>
  <si>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</si>
  <si>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</si>
  <si>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</si>
  <si>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</si>
  <si>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</si>
  <si>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</si>
  <si>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</si>
  <si>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</si>
  <si>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</si>
  <si>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</si>
  <si>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</si>
  <si>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</si>
  <si>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</si>
  <si>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</si>
  <si>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</si>
  <si>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</si>
  <si>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</si>
  <si>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</si>
  <si>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</si>
  <si>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</si>
  <si>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</si>
  <si>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</si>
  <si>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</si>
  <si>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</si>
  <si>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</si>
  <si>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</si>
  <si>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</si>
  <si>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</si>
  <si>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</si>
  <si>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</si>
  <si>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</si>
  <si>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</si>
  <si>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</si>
  <si>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</si>
  <si>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</si>
  <si>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</si>
  <si>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</si>
  <si>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</si>
  <si>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</si>
  <si>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</si>
  <si>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</si>
  <si>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</si>
  <si>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</si>
  <si>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</si>
  <si>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</si>
  <si>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</si>
  <si>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</si>
  <si>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</si>
  <si>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</si>
  <si>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</si>
  <si>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</si>
  <si>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</si>
  <si>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</si>
  <si>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</si>
  <si>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</si>
  <si>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</si>
  <si>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</si>
  <si>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</si>
  <si>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</si>
  <si>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</si>
  <si>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</si>
  <si>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</si>
  <si>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</si>
  <si>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</si>
  <si>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</si>
  <si>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</si>
  <si>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</si>
  <si>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</si>
  <si>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</si>
  <si>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</si>
  <si>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</si>
  <si>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</si>
  <si>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</si>
  <si>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</si>
  <si>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</si>
  <si>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</si>
  <si>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</si>
  <si>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</si>
  <si>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</si>
  <si>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</si>
  <si>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</si>
  <si>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</si>
  <si>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</si>
  <si>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</si>
  <si>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</si>
  <si>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</si>
  <si>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</si>
  <si>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</si>
  <si>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</si>
  <si>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</si>
  <si>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</si>
  <si>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</si>
  <si>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</si>
  <si>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</si>
  <si>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</si>
  <si>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</si>
  <si>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</si>
  <si>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</si>
  <si>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</si>
  <si>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</si>
  <si>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</si>
  <si>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</si>
  <si>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</si>
  <si>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</si>
  <si>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</si>
  <si>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</si>
  <si>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</si>
  <si>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</si>
  <si>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</si>
  <si>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</si>
  <si>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</si>
  <si>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</si>
  <si>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</si>
  <si>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</si>
  <si>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</si>
  <si>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</si>
  <si>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</si>
  <si>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</si>
  <si>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</si>
  <si>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</si>
  <si>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</si>
  <si>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</si>
  <si>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</si>
  <si>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</si>
  <si>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</si>
  <si>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</si>
  <si>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</si>
  <si>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</si>
  <si>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</si>
  <si>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</si>
  <si>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</si>
  <si>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</si>
  <si>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</si>
  <si>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</si>
  <si>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</si>
  <si>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</si>
  <si>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</si>
  <si>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</si>
  <si>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</si>
  <si>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</si>
  <si>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</si>
  <si>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</si>
  <si>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</si>
  <si>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</si>
  <si>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</si>
  <si>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</si>
  <si>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</si>
  <si>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</si>
  <si>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</si>
  <si>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</si>
  <si>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</si>
  <si>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</si>
  <si>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</si>
  <si>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</si>
  <si>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</si>
  <si>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</si>
  <si>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</si>
  <si>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</si>
  <si>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</si>
  <si>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</si>
  <si>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</si>
  <si>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</si>
  <si>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</si>
  <si>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</si>
  <si>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</si>
  <si>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</si>
  <si>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</si>
  <si>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</si>
  <si>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</si>
  <si>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</si>
  <si>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</si>
  <si>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</si>
  <si>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</si>
  <si>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</si>
  <si>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</si>
  <si>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</si>
  <si>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</si>
  <si>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</si>
  <si>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</si>
  <si>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</si>
  <si>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</si>
  <si>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</si>
  <si>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</si>
  <si>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</si>
  <si>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</si>
  <si>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</si>
  <si>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</si>
  <si>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</si>
  <si>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</si>
  <si>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</si>
  <si>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</si>
  <si>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</si>
  <si>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</si>
  <si>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</si>
  <si>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</si>
  <si>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</si>
  <si>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</si>
  <si>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</si>
  <si>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</si>
  <si>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</si>
  <si>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</si>
  <si>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</si>
  <si>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</si>
  <si>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</si>
  <si>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</si>
  <si>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</si>
  <si>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</si>
  <si>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</si>
  <si>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</si>
  <si>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</si>
  <si>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</si>
  <si>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</si>
  <si>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</si>
  <si>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</si>
  <si>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</si>
  <si>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</si>
  <si>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</si>
  <si>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</si>
  <si>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</si>
  <si>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</si>
  <si>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</si>
  <si>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</si>
  <si>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</si>
  <si>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</si>
  <si>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</si>
  <si>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</si>
  <si>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</si>
  <si>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</si>
  <si>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</si>
  <si>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</si>
  <si>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</si>
  <si>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</si>
  <si>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</si>
  <si>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</si>
  <si>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</si>
  <si>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</si>
  <si>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</si>
  <si>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</si>
  <si>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</si>
  <si>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</si>
  <si>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</si>
  <si>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</si>
  <si>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</si>
  <si>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</si>
  <si>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</si>
  <si>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</si>
  <si>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</si>
  <si>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</si>
  <si>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</si>
  <si>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</si>
  <si>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</si>
  <si>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</si>
  <si>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</si>
  <si>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</si>
  <si>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</si>
  <si>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</si>
  <si>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</si>
  <si>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</si>
  <si>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</si>
  <si>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</si>
  <si>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</si>
  <si>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</si>
  <si>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</si>
  <si>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</si>
  <si>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</si>
  <si>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</si>
  <si>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</si>
  <si>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</si>
  <si>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</si>
  <si>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</si>
  <si>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</si>
  <si>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</si>
  <si>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</si>
  <si>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</si>
  <si>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</si>
  <si>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</si>
  <si>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</si>
  <si>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</si>
  <si>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</si>
  <si>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</si>
  <si>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</si>
  <si>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</si>
  <si>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</si>
  <si>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</si>
  <si>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</si>
  <si>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</si>
  <si>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</si>
  <si>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</si>
  <si>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</si>
  <si>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</si>
  <si>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</si>
  <si>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</si>
  <si>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</si>
  <si>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</si>
  <si>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</si>
  <si>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</si>
  <si>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</si>
  <si>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</si>
  <si>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</si>
  <si>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</si>
  <si>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</si>
  <si>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</si>
  <si>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</si>
  <si>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</si>
  <si>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</si>
  <si>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</si>
  <si>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</si>
  <si>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</si>
  <si>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</si>
  <si>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</si>
  <si>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</si>
  <si>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</si>
  <si>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</si>
  <si>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</si>
  <si>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</si>
  <si>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</si>
  <si>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</si>
  <si>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</si>
  <si>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</si>
  <si>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</si>
  <si>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</si>
  <si>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</si>
  <si>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</si>
  <si>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</si>
  <si>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</si>
  <si>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</si>
  <si>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</si>
  <si>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</si>
  <si>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</si>
  <si>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</si>
  <si>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</si>
  <si>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</si>
  <si>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</si>
  <si>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</si>
  <si>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</si>
  <si>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</si>
  <si>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</si>
  <si>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</si>
  <si>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</si>
  <si>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</si>
  <si>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</si>
  <si>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</si>
  <si>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</si>
  <si>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</si>
  <si>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</si>
  <si>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</si>
  <si>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</si>
  <si>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</si>
  <si>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</si>
  <si>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</si>
  <si>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</si>
  <si>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</si>
  <si>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</si>
  <si>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</si>
  <si>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</si>
  <si>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</si>
  <si>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</si>
  <si>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</si>
  <si>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</si>
  <si>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</si>
  <si>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</si>
  <si>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</si>
  <si>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</si>
  <si>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</si>
  <si>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</si>
  <si>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</si>
  <si>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</si>
  <si>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</si>
  <si>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</si>
  <si>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</si>
  <si>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</si>
  <si>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</si>
  <si>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</si>
  <si>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</si>
  <si>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</si>
  <si>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</si>
  <si>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</si>
  <si>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</si>
  <si>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</si>
  <si>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</si>
  <si>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</si>
  <si>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</si>
  <si>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</si>
  <si>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</si>
  <si>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</si>
  <si>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</si>
  <si>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</si>
  <si>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</si>
  <si>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</si>
  <si>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</si>
  <si>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</si>
  <si>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</si>
  <si>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</si>
  <si>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</si>
  <si>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</si>
  <si>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</si>
  <si>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</si>
  <si>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</si>
  <si>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</si>
  <si>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</si>
  <si>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</si>
  <si>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</si>
  <si>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</si>
  <si>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</si>
  <si>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</si>
  <si>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</si>
  <si>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</si>
  <si>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</si>
  <si>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</si>
  <si>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</si>
  <si>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</si>
  <si>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</si>
  <si>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</si>
  <si>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</si>
  <si>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</si>
  <si>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</si>
  <si>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</si>
  <si>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</si>
  <si>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</si>
  <si>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</si>
  <si>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</si>
  <si>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</si>
  <si>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</si>
  <si>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</si>
  <si>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</si>
  <si>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</si>
  <si>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</si>
  <si>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</si>
  <si>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</si>
  <si>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</si>
  <si>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</si>
  <si>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</si>
  <si>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</si>
  <si>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</si>
  <si>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</si>
  <si>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</si>
  <si>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</si>
  <si>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</si>
  <si>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</si>
  <si>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</si>
  <si>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</si>
  <si>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</si>
  <si>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</si>
  <si>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</si>
  <si>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</si>
  <si>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</si>
  <si>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</si>
  <si>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</si>
  <si>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</si>
  <si>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</si>
  <si>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</si>
  <si>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</si>
  <si>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</si>
  <si>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</si>
  <si>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</si>
  <si>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</si>
  <si>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</si>
  <si>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</si>
  <si>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</si>
  <si>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</si>
  <si>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</si>
  <si>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</si>
  <si>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</si>
  <si>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</si>
  <si>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</si>
  <si>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</si>
  <si>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</si>
  <si>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</si>
  <si>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</si>
  <si>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</si>
  <si>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</si>
  <si>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</si>
  <si>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</si>
  <si>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</si>
  <si>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</si>
  <si>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</si>
  <si>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</si>
  <si>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</si>
  <si>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</si>
  <si>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</si>
  <si>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</si>
  <si>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</si>
  <si>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</si>
  <si>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</si>
  <si>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</si>
  <si>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</si>
  <si>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</si>
  <si>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</si>
  <si>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</si>
  <si>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</si>
  <si>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</si>
  <si>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</si>
  <si>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</si>
  <si>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</si>
  <si>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</si>
  <si>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</si>
  <si>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</si>
  <si>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</si>
  <si>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</si>
  <si>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</si>
  <si>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</si>
  <si>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</si>
  <si>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</si>
  <si>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</si>
  <si>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</si>
  <si>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</si>
  <si>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</si>
  <si>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</si>
  <si>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</si>
  <si>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</si>
  <si>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</si>
  <si>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</si>
  <si>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</si>
  <si>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</si>
  <si>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</si>
  <si>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</si>
  <si>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</si>
  <si>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</si>
  <si>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</si>
  <si>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</si>
  <si>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</si>
  <si>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</si>
  <si>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</si>
  <si>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</si>
  <si>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</si>
  <si>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</si>
  <si>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</si>
  <si>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</si>
  <si>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</si>
  <si>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</si>
  <si>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</si>
  <si>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</si>
  <si>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</si>
  <si>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</si>
  <si>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</si>
  <si>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</si>
  <si>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</si>
  <si>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</si>
  <si>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</si>
  <si>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</si>
  <si>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</si>
  <si>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</si>
  <si>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</si>
  <si>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</si>
  <si>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</si>
  <si>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</si>
  <si>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</si>
  <si>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</si>
  <si>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</si>
  <si>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</si>
  <si>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</si>
  <si>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</si>
  <si>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</si>
  <si>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</si>
  <si>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</si>
  <si>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</si>
  <si>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</si>
  <si>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</si>
  <si>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</si>
  <si>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</si>
  <si>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</si>
  <si>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</si>
  <si>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</si>
  <si>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</si>
  <si>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</si>
  <si>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</si>
  <si>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</si>
  <si>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</si>
  <si>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</si>
  <si>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</si>
  <si>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</si>
  <si>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</si>
  <si>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</si>
  <si>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</si>
  <si>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</si>
  <si>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</si>
  <si>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</si>
  <si>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</si>
  <si>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</si>
  <si>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</si>
  <si>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</si>
  <si>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</si>
  <si>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</si>
  <si>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</si>
  <si>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</si>
  <si>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</si>
  <si>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</si>
  <si>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</si>
  <si>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</si>
  <si>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</si>
  <si>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</si>
  <si>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</si>
  <si>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</si>
  <si>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</si>
  <si>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</si>
  <si>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</si>
  <si>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</si>
  <si>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</si>
  <si>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</si>
  <si>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</si>
  <si>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</si>
  <si>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</si>
  <si>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</si>
  <si>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</si>
  <si>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</si>
  <si>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</si>
  <si>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</si>
  <si>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</si>
  <si>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</si>
  <si>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</si>
  <si>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</si>
  <si>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</si>
  <si>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</si>
  <si>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</si>
  <si>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</si>
  <si>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</si>
  <si>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</si>
  <si>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</si>
  <si>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</si>
  <si>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</si>
  <si>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</si>
  <si>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</si>
  <si>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</si>
  <si>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</si>
  <si>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</si>
  <si>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</si>
  <si>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</si>
  <si>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</si>
  <si>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</si>
  <si>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</si>
  <si>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</si>
  <si>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</si>
  <si>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</si>
  <si>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</si>
  <si>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</si>
  <si>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</si>
  <si>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</si>
  <si>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</si>
  <si>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</si>
  <si>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</si>
  <si>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</si>
  <si>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</si>
  <si>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</si>
  <si>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</si>
  <si>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</si>
  <si>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</si>
  <si>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</si>
  <si>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</si>
  <si>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</si>
  <si>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</si>
  <si>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</si>
  <si>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</si>
  <si>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</si>
  <si>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</si>
  <si>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</si>
  <si>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</si>
  <si>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</si>
  <si>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</si>
  <si>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</si>
  <si>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</si>
  <si>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</si>
  <si>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</si>
  <si>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</si>
  <si>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</si>
  <si>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</si>
  <si>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</si>
  <si>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</si>
  <si>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</si>
  <si>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</si>
  <si>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</si>
  <si>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</si>
  <si>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</si>
  <si>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</si>
  <si>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</si>
  <si>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</si>
  <si>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</si>
  <si>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</si>
  <si>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</si>
  <si>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</si>
  <si>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</si>
  <si>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</si>
  <si>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</si>
  <si>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</si>
  <si>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</si>
  <si>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</si>
  <si>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</si>
  <si>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</si>
  <si>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</si>
  <si>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</si>
  <si>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</si>
  <si>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</si>
  <si>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</si>
  <si>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</si>
  <si>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</si>
  <si>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</si>
  <si>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</si>
  <si>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</si>
  <si>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</si>
  <si>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</si>
  <si>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</si>
  <si>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</si>
  <si>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</si>
  <si>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</si>
  <si>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</si>
  <si>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</si>
  <si>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</si>
  <si>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</si>
  <si>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</si>
  <si>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</si>
  <si>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</si>
  <si>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</si>
  <si>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</si>
  <si>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</si>
  <si>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</si>
  <si>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</si>
  <si>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</si>
  <si>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</si>
  <si>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</si>
  <si>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</si>
  <si>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</si>
  <si>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</si>
  <si>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</si>
  <si>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</si>
  <si>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</si>
  <si>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</si>
  <si>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</si>
  <si>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</si>
  <si>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</si>
  <si>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</si>
  <si>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</si>
  <si>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</si>
  <si>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</si>
  <si>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</si>
  <si>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</si>
  <si>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</si>
  <si>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</si>
  <si>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</si>
  <si>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</si>
  <si>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</si>
  <si>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</si>
  <si>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</si>
  <si>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</si>
  <si>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</si>
  <si>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</si>
  <si>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</si>
  <si>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</si>
  <si>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</si>
  <si>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</si>
  <si>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</si>
  <si>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</si>
  <si>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</si>
  <si>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</si>
  <si>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</si>
  <si>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</si>
  <si>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</si>
  <si>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</si>
  <si>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</si>
  <si>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</si>
  <si>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</si>
  <si>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</si>
  <si>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</si>
  <si>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</si>
  <si>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</si>
  <si>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</si>
  <si>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</si>
  <si>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</si>
  <si>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</si>
  <si>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</si>
  <si>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</si>
  <si>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</si>
  <si>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</si>
  <si>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</si>
  <si>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</si>
  <si>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</si>
  <si>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</si>
  <si>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</si>
  <si>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</si>
  <si>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</si>
  <si>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</si>
  <si>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</si>
  <si>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</si>
  <si>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</si>
  <si>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</si>
  <si>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</si>
  <si>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</si>
  <si>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</si>
  <si>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</si>
  <si>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</si>
  <si>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</si>
  <si>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</si>
  <si>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</si>
  <si>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</si>
  <si>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</si>
  <si>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</si>
  <si>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</si>
  <si>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</si>
  <si>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</si>
  <si>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</si>
  <si>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</si>
  <si>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</si>
  <si>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</si>
  <si>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</si>
  <si>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</si>
  <si>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</si>
  <si>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</si>
  <si>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</si>
  <si>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</si>
  <si>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</si>
  <si>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</si>
  <si>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</si>
  <si>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</si>
  <si>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</si>
  <si>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</si>
  <si>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</si>
  <si>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</si>
  <si>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</si>
  <si>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</si>
  <si>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</si>
  <si>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</si>
  <si>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</si>
  <si>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</si>
  <si>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</si>
  <si>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</si>
  <si>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</si>
  <si>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</si>
  <si>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</si>
  <si>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</si>
  <si>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</si>
  <si>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</si>
  <si>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</si>
  <si>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</si>
  <si>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</si>
  <si>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</si>
  <si>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</si>
  <si>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</si>
  <si>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</si>
  <si>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</si>
  <si>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</si>
  <si>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</si>
  <si>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</si>
  <si>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</si>
  <si>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</si>
  <si>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</si>
  <si>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</si>
  <si>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</si>
  <si>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</si>
  <si>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</si>
  <si>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</si>
  <si>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</si>
  <si>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</si>
  <si>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</si>
  <si>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</si>
  <si>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</si>
  <si>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</si>
  <si>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</si>
  <si>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</si>
  <si>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</si>
  <si>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</si>
  <si>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</si>
  <si>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</si>
  <si>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</si>
  <si>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</si>
  <si>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</si>
  <si>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</si>
  <si>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</si>
  <si>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</si>
  <si>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</si>
  <si>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</si>
  <si>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</si>
  <si>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</si>
  <si>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</si>
  <si>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</si>
  <si>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</si>
  <si>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</si>
  <si>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</si>
  <si>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</si>
  <si>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</si>
  <si>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</si>
  <si>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</si>
  <si>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</si>
  <si>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</si>
  <si>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</si>
  <si>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</si>
  <si>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</si>
  <si>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</si>
  <si>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</si>
  <si>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</si>
  <si>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</si>
  <si>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</si>
  <si>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</si>
  <si>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</si>
  <si>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</si>
  <si>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</si>
  <si>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</si>
  <si>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</si>
  <si>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</si>
  <si>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</si>
  <si>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</si>
  <si>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</si>
  <si>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</si>
  <si>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</si>
  <si>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</si>
  <si>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</si>
  <si>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</si>
  <si>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</si>
  <si>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</si>
  <si>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</si>
  <si>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</si>
  <si>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</si>
  <si>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</si>
  <si>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</si>
  <si>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</si>
  <si>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</si>
  <si>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</si>
  <si>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</si>
  <si>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</si>
  <si>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</si>
  <si>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</si>
  <si>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</si>
  <si>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</si>
  <si>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</si>
  <si>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</si>
  <si>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</si>
  <si>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中区</t>
    <phoneticPr fontId="21" type="noConversion"/>
  </si>
  <si>
    <t>估价对象1（结果表）</t>
  </si>
  <si>
    <r>
      <t>1</t>
    </r>
    <r>
      <rPr>
        <sz val="10"/>
        <color rgb="FF000000"/>
        <rFont val="宋体"/>
        <family val="2"/>
        <charset val="134"/>
      </rPr>
      <t>撞</t>
    </r>
    <r>
      <rPr>
        <sz val="10"/>
        <color indexed="8"/>
        <rFont val="Arial"/>
        <family val="2"/>
      </rPr>
      <t>1604</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</si>
</sst>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6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6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93" fillId="0" borderId="11" xfId="0" applyNumberFormat="1" applyFont="1" applyFill="1" applyBorder="1" applyAlignment="1" applyProtection="1">
      <alignment horizontal="left" vertical="center" wrapText="1"/>
      <protection locked="0"/>
    </xf>
    <xf numFmtId="196" fontId="43" fillId="5" borderId="1"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cellXfs>
  <cellStyles count="32">
    <cellStyle name="百分比 2" xfId="28" xr:uid="{00000000-0005-0000-0000-000000000000}"/>
    <cellStyle name="百分比 3" xfId="31" xr:uid="{00000000-0005-0000-0000-000001000000}"/>
    <cellStyle name="常规" xfId="0" builtinId="0"/>
    <cellStyle name="常规 10" xfId="14" xr:uid="{00000000-0005-0000-0000-000003000000}"/>
    <cellStyle name="常规 16" xfId="8" xr:uid="{00000000-0005-0000-0000-000004000000}"/>
    <cellStyle name="常规 16 2" xfId="24" xr:uid="{00000000-0005-0000-0000-000005000000}"/>
    <cellStyle name="常规 2" xfId="1" xr:uid="{00000000-0005-0000-0000-000006000000}"/>
    <cellStyle name="常规 2 2" xfId="6" xr:uid="{00000000-0005-0000-0000-000007000000}"/>
    <cellStyle name="常规 2 2 2" xfId="22" xr:uid="{00000000-0005-0000-0000-000008000000}"/>
    <cellStyle name="常规 2 2 2 2 3" xfId="29" xr:uid="{00000000-0005-0000-0000-000009000000}"/>
    <cellStyle name="常规 2 3" xfId="15" xr:uid="{00000000-0005-0000-0000-00000A000000}"/>
    <cellStyle name="常规 3" xfId="2" xr:uid="{00000000-0005-0000-0000-00000B000000}"/>
    <cellStyle name="常规 3 2" xfId="3" xr:uid="{00000000-0005-0000-0000-00000C000000}"/>
    <cellStyle name="常规 3 2 2" xfId="17" xr:uid="{00000000-0005-0000-0000-00000D000000}"/>
    <cellStyle name="常规 3 3" xfId="16" xr:uid="{00000000-0005-0000-0000-00000E000000}"/>
    <cellStyle name="常规 4" xfId="4" xr:uid="{00000000-0005-0000-0000-00000F000000}"/>
    <cellStyle name="常规 4 2" xfId="18" xr:uid="{00000000-0005-0000-0000-000010000000}"/>
    <cellStyle name="常规 5" xfId="5" xr:uid="{00000000-0005-0000-0000-000011000000}"/>
    <cellStyle name="常规 5 2" xfId="19" xr:uid="{00000000-0005-0000-0000-000012000000}"/>
    <cellStyle name="常规 6" xfId="9" xr:uid="{00000000-0005-0000-0000-000013000000}"/>
    <cellStyle name="常规 6 2" xfId="7" xr:uid="{00000000-0005-0000-0000-000014000000}"/>
    <cellStyle name="常规 6 2 2" xfId="11" xr:uid="{00000000-0005-0000-0000-000015000000}"/>
    <cellStyle name="常规 6 2 2 2" xfId="30" xr:uid="{00000000-0005-0000-0000-000016000000}"/>
    <cellStyle name="常规 6 2 3" xfId="27" xr:uid="{00000000-0005-0000-0000-000017000000}"/>
    <cellStyle name="常规 6 2 4" xfId="23" xr:uid="{00000000-0005-0000-0000-000018000000}"/>
    <cellStyle name="常规 6 3" xfId="20" xr:uid="{00000000-0005-0000-0000-000019000000}"/>
    <cellStyle name="常规 7" xfId="10" xr:uid="{00000000-0005-0000-0000-00001A000000}"/>
    <cellStyle name="常规 7 2" xfId="21" xr:uid="{00000000-0005-0000-0000-00001B000000}"/>
    <cellStyle name="常规 8" xfId="12" xr:uid="{00000000-0005-0000-0000-00001C000000}"/>
    <cellStyle name="常规 8 2" xfId="25" xr:uid="{00000000-0005-0000-0000-00001D000000}"/>
    <cellStyle name="常规 9" xfId="13" xr:uid="{00000000-0005-0000-0000-00001E000000}"/>
    <cellStyle name="常规 9 2" xfId="26" xr:uid="{00000000-0005-0000-0000-00001F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0</xdr:rowOff>
    </xdr:from>
    <xdr:to>
      <xdr:col>29</xdr:col>
      <xdr:colOff>327986</xdr:colOff>
      <xdr:row>45</xdr:row>
      <xdr:rowOff>27571</xdr:rowOff>
    </xdr:to>
    <xdr:pic>
      <xdr:nvPicPr>
        <xdr:cNvPr id="2" name="图片 1">
          <a:extLst>
            <a:ext uri="{FF2B5EF4-FFF2-40B4-BE49-F238E27FC236}">
              <a16:creationId xmlns:a16="http://schemas.microsoft.com/office/drawing/2014/main" id="{1640BA66-B0EB-CCC9-7290-4F912E8C4465}"/>
            </a:ext>
          </a:extLst>
        </xdr:cNvPr>
        <xdr:cNvPicPr>
          <a:picLocks noChangeAspect="1"/>
        </xdr:cNvPicPr>
      </xdr:nvPicPr>
      <xdr:blipFill>
        <a:blip xmlns:r="http://schemas.openxmlformats.org/officeDocument/2006/relationships" r:embed="rId1"/>
        <a:stretch>
          <a:fillRect/>
        </a:stretch>
      </xdr:blipFill>
      <xdr:spPr>
        <a:xfrm>
          <a:off x="292100" y="0"/>
          <a:ext cx="17714286" cy="8028571"/>
        </a:xfrm>
        <a:prstGeom prst="rect">
          <a:avLst/>
        </a:prstGeom>
      </xdr:spPr>
    </xdr:pic>
    <xdr:clientData/>
  </xdr:twoCellAnchor>
  <xdr:twoCellAnchor editAs="oneCell">
    <xdr:from>
      <xdr:col>1</xdr:col>
      <xdr:colOff>0</xdr:colOff>
      <xdr:row>48</xdr:row>
      <xdr:rowOff>0</xdr:rowOff>
    </xdr:from>
    <xdr:to>
      <xdr:col>29</xdr:col>
      <xdr:colOff>580831</xdr:colOff>
      <xdr:row>94</xdr:row>
      <xdr:rowOff>62207</xdr:rowOff>
    </xdr:to>
    <xdr:pic>
      <xdr:nvPicPr>
        <xdr:cNvPr id="3" name="图片 2">
          <a:extLst>
            <a:ext uri="{FF2B5EF4-FFF2-40B4-BE49-F238E27FC236}">
              <a16:creationId xmlns:a16="http://schemas.microsoft.com/office/drawing/2014/main" id="{E99EE9FA-9A9A-8C6B-CCF3-4F71F5DD1239}"/>
            </a:ext>
          </a:extLst>
        </xdr:cNvPr>
        <xdr:cNvPicPr>
          <a:picLocks noChangeAspect="1"/>
        </xdr:cNvPicPr>
      </xdr:nvPicPr>
      <xdr:blipFill>
        <a:blip xmlns:r="http://schemas.openxmlformats.org/officeDocument/2006/relationships" r:embed="rId2"/>
        <a:stretch>
          <a:fillRect/>
        </a:stretch>
      </xdr:blipFill>
      <xdr:spPr>
        <a:xfrm>
          <a:off x="611909" y="8312727"/>
          <a:ext cx="17714286" cy="8028571"/>
        </a:xfrm>
        <a:prstGeom prst="rect">
          <a:avLst/>
        </a:prstGeom>
      </xdr:spPr>
    </xdr:pic>
    <xdr:clientData/>
  </xdr:twoCellAnchor>
  <xdr:twoCellAnchor editAs="oneCell">
    <xdr:from>
      <xdr:col>1</xdr:col>
      <xdr:colOff>0</xdr:colOff>
      <xdr:row>96</xdr:row>
      <xdr:rowOff>0</xdr:rowOff>
    </xdr:from>
    <xdr:to>
      <xdr:col>29</xdr:col>
      <xdr:colOff>580831</xdr:colOff>
      <xdr:row>142</xdr:row>
      <xdr:rowOff>62208</xdr:rowOff>
    </xdr:to>
    <xdr:pic>
      <xdr:nvPicPr>
        <xdr:cNvPr id="4" name="图片 3">
          <a:extLst>
            <a:ext uri="{FF2B5EF4-FFF2-40B4-BE49-F238E27FC236}">
              <a16:creationId xmlns:a16="http://schemas.microsoft.com/office/drawing/2014/main" id="{923AE29D-D1FA-42F7-F6C9-EA235DEB3061}"/>
            </a:ext>
          </a:extLst>
        </xdr:cNvPr>
        <xdr:cNvPicPr>
          <a:picLocks noChangeAspect="1"/>
        </xdr:cNvPicPr>
      </xdr:nvPicPr>
      <xdr:blipFill>
        <a:blip xmlns:r="http://schemas.openxmlformats.org/officeDocument/2006/relationships" r:embed="rId3"/>
        <a:stretch>
          <a:fillRect/>
        </a:stretch>
      </xdr:blipFill>
      <xdr:spPr>
        <a:xfrm>
          <a:off x="611909" y="16625455"/>
          <a:ext cx="17714286" cy="8028571"/>
        </a:xfrm>
        <a:prstGeom prst="rect">
          <a:avLst/>
        </a:prstGeom>
      </xdr:spPr>
    </xdr:pic>
    <xdr:clientData/>
  </xdr:twoCellAnchor>
  <xdr:twoCellAnchor editAs="oneCell">
    <xdr:from>
      <xdr:col>1</xdr:col>
      <xdr:colOff>0</xdr:colOff>
      <xdr:row>147</xdr:row>
      <xdr:rowOff>0</xdr:rowOff>
    </xdr:from>
    <xdr:to>
      <xdr:col>22</xdr:col>
      <xdr:colOff>207052</xdr:colOff>
      <xdr:row>189</xdr:row>
      <xdr:rowOff>126363</xdr:rowOff>
    </xdr:to>
    <xdr:pic>
      <xdr:nvPicPr>
        <xdr:cNvPr id="5" name="图片 4">
          <a:extLst>
            <a:ext uri="{FF2B5EF4-FFF2-40B4-BE49-F238E27FC236}">
              <a16:creationId xmlns:a16="http://schemas.microsoft.com/office/drawing/2014/main" id="{AD8E6CCB-D8F9-0690-A91E-E3CA972606A2}"/>
            </a:ext>
          </a:extLst>
        </xdr:cNvPr>
        <xdr:cNvPicPr>
          <a:picLocks noChangeAspect="1"/>
        </xdr:cNvPicPr>
      </xdr:nvPicPr>
      <xdr:blipFill>
        <a:blip xmlns:r="http://schemas.openxmlformats.org/officeDocument/2006/relationships" r:embed="rId4"/>
        <a:stretch>
          <a:fillRect/>
        </a:stretch>
      </xdr:blipFill>
      <xdr:spPr>
        <a:xfrm>
          <a:off x="611909" y="25457727"/>
          <a:ext cx="13057143"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84" customWidth="1"/>
    <col min="2" max="2" width="94.90625" style="1170" customWidth="1"/>
    <col min="3" max="16384" width="9" style="1180"/>
  </cols>
  <sheetData>
    <row r="1" spans="1:2" s="1175" customFormat="1" ht="16" thickBot="1">
      <c r="A1" s="1173" t="s">
        <v>1038</v>
      </c>
      <c r="B1" s="1174" t="s">
        <v>1100</v>
      </c>
    </row>
    <row r="2" spans="1:2" s="1177" customFormat="1" ht="16"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 thickBot="1">
      <c r="A5" s="1179" t="s">
        <v>1042</v>
      </c>
      <c r="B5" s="1164" t="str">
        <f>'预评函-封皮'!B21</f>
        <v>康正预评字号</v>
      </c>
    </row>
    <row r="6" spans="1:2" s="1177" customFormat="1" ht="16"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估价对象为北京市房地产，为XX所有。根据《不动产权证书》[]，估价对象建筑面积为108.17平方米，（分摊）出让国有建设用地使用权面积为平方米。估价对象用途为。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 thickBot="1">
      <c r="A15" s="1179" t="s">
        <v>1052</v>
      </c>
      <c r="B15" s="1166" t="str">
        <f>'预评函-1'!A18</f>
        <v>本次评估采用的主估价方法为比较法和收益法。</v>
      </c>
    </row>
    <row r="16" spans="1:2" ht="16"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108.17</v>
      </c>
    </row>
    <row r="19" spans="1:2">
      <c r="A19" s="1178" t="s">
        <v>1056</v>
      </c>
      <c r="B19" s="1165">
        <f ca="1">'预评函-2（1）'!D7</f>
        <v>196</v>
      </c>
    </row>
    <row r="20" spans="1:2">
      <c r="A20" s="1178" t="s">
        <v>1094</v>
      </c>
      <c r="B20" s="1165" t="str">
        <f>'预评函-2（1）'!C7</f>
        <v>总价（万元）</v>
      </c>
    </row>
    <row r="21" spans="1:2">
      <c r="A21" s="1178" t="s">
        <v>1057</v>
      </c>
      <c r="B21" s="1165">
        <f ca="1">'预评函-2（1）'!D9</f>
        <v>18135</v>
      </c>
    </row>
    <row r="22" spans="1:2">
      <c r="A22" s="1178" t="s">
        <v>1058</v>
      </c>
      <c r="B22" s="1165" t="str">
        <f ca="1">'预评函-2（1）'!D8</f>
        <v>壹佰玖拾陆万元整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196</v>
      </c>
    </row>
    <row r="30" spans="1:2">
      <c r="A30" s="1178" t="s">
        <v>1064</v>
      </c>
      <c r="B30" s="1165" t="str">
        <f ca="1">'预评函-2（1）'!D16</f>
        <v>壹佰玖拾陆万元整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 ca="1">'预评函-2（2）'!D4</f>
        <v>128</v>
      </c>
    </row>
    <row r="38" spans="1:2">
      <c r="A38" s="1178" t="s">
        <v>1072</v>
      </c>
      <c r="B38" s="1165">
        <f ca="1">'预评函-2（2）'!E4</f>
        <v>11806</v>
      </c>
    </row>
    <row r="39" spans="1:2">
      <c r="A39" s="1178" t="s">
        <v>1073</v>
      </c>
      <c r="B39" s="1165" t="str">
        <f ca="1">'预评函-2（2）'!D5</f>
        <v>壹佰贰拾捌万元整</v>
      </c>
    </row>
    <row r="40" spans="1:2">
      <c r="A40" s="1178" t="s">
        <v>1074</v>
      </c>
      <c r="B40" s="1165">
        <f ca="1">'预评函-2（2）'!F4</f>
        <v>68</v>
      </c>
    </row>
    <row r="41" spans="1:2">
      <c r="A41" s="1178" t="s">
        <v>1075</v>
      </c>
      <c r="B41" s="1165">
        <f ca="1">'预评函-2（2）'!G4</f>
        <v>6329</v>
      </c>
    </row>
    <row r="42" spans="1:2" s="1175" customFormat="1" ht="16" thickBot="1">
      <c r="A42" s="1179" t="s">
        <v>1076</v>
      </c>
      <c r="B42" s="1167" t="str">
        <f ca="1">'预评函-2（2）'!F5</f>
        <v>陆拾捌万元整</v>
      </c>
    </row>
    <row r="43" spans="1:2" ht="16"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6" thickTop="1">
      <c r="A52" s="1176" t="s">
        <v>1085</v>
      </c>
      <c r="B52" s="1171">
        <f>'预评函-3'!A4</f>
        <v>0</v>
      </c>
    </row>
    <row r="53" spans="1:2">
      <c r="A53" s="1178" t="s">
        <v>1086</v>
      </c>
      <c r="B53" s="1165">
        <f>'预评函-3'!B4</f>
        <v>0</v>
      </c>
    </row>
    <row r="54" spans="1:2">
      <c r="A54" s="1178" t="s">
        <v>1087</v>
      </c>
      <c r="B54" s="1169">
        <f>'预评函-3'!A5</f>
        <v>0</v>
      </c>
    </row>
    <row r="55" spans="1:2" s="1175" customFormat="1" ht="16" thickBot="1">
      <c r="A55" s="1179" t="s">
        <v>1088</v>
      </c>
      <c r="B55" s="1167">
        <f>'预评函-3'!B5</f>
        <v>0</v>
      </c>
    </row>
    <row r="56" spans="1:2" ht="16" thickTop="1">
      <c r="A56" s="1181" t="s">
        <v>1097</v>
      </c>
      <c r="B56" s="1165" t="str">
        <f>'预评函-2（1）'!B15</f>
        <v>3.房地产抵押价值</v>
      </c>
    </row>
    <row r="57" spans="1:2">
      <c r="A57" s="1181" t="s">
        <v>1098</v>
      </c>
      <c r="B57" s="1165" t="str">
        <f>'预评函-2（1）'!B18</f>
        <v>——</v>
      </c>
    </row>
    <row r="58" spans="1:2" s="1175" customFormat="1" ht="16" thickBot="1">
      <c r="A58" s="1182" t="s">
        <v>1099</v>
      </c>
      <c r="B58" s="1166" t="str">
        <f>'预评函-2（1）'!B21</f>
        <v>——</v>
      </c>
    </row>
    <row r="59" spans="1:2" ht="16"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0">
      <c r="A62" s="1181" t="s">
        <v>1186</v>
      </c>
      <c r="B62" s="1165">
        <f ca="1">'预评函-2（1）'!D38</f>
        <v>18135</v>
      </c>
    </row>
    <row r="63" spans="1:2" s="1177" customFormat="1" ht="30">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 thickBot="1">
      <c r="A67" s="1182" t="s">
        <v>1114</v>
      </c>
      <c r="B67" s="1166" t="str">
        <f>'预评函-2（2）'!A12</f>
        <v/>
      </c>
    </row>
    <row r="68" spans="1:2" ht="16"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G13" sqref="G13"/>
    </sheetView>
  </sheetViews>
  <sheetFormatPr defaultColWidth="10" defaultRowHeight="12.5"/>
  <cols>
    <col min="1" max="1" width="18.6328125" style="825" customWidth="1"/>
    <col min="2" max="2" width="15" style="825" customWidth="1"/>
    <col min="3" max="3" width="14.08984375" style="825" customWidth="1"/>
    <col min="4" max="4" width="12.453125" style="825" customWidth="1"/>
    <col min="5" max="5" width="13.90625" style="825" customWidth="1"/>
    <col min="6" max="6" width="15" style="825" customWidth="1"/>
    <col min="7" max="7" width="14.90625" style="825" customWidth="1"/>
    <col min="8" max="8" width="4.269531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5">
        <v>44688</v>
      </c>
      <c r="C2" s="2851" t="s">
        <v>1473</v>
      </c>
      <c r="D2" s="2555">
        <f>B2</f>
        <v>44688</v>
      </c>
      <c r="E2" s="822"/>
      <c r="F2" s="822"/>
      <c r="G2" s="1160"/>
      <c r="H2" s="2863"/>
    </row>
    <row r="3" spans="1:17" ht="13.5"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ht="13">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6">
      <c r="A6" s="2855" t="s">
        <v>1480</v>
      </c>
      <c r="B6" s="2560" t="s">
        <v>2980</v>
      </c>
      <c r="C6" s="3332" t="s">
        <v>3041</v>
      </c>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2981</v>
      </c>
      <c r="C7" s="1492" t="str">
        <f>IF(B7="自然人","姓名","名称")</f>
        <v>姓名</v>
      </c>
      <c r="D7" s="1405" t="s">
        <v>2660</v>
      </c>
      <c r="E7" s="823"/>
      <c r="F7" s="823"/>
      <c r="G7" s="1161"/>
    </row>
    <row r="8" spans="1:17" ht="25.5" thickTop="1">
      <c r="A8" s="3413" t="s">
        <v>1483</v>
      </c>
      <c r="B8" s="1406" t="s">
        <v>1484</v>
      </c>
      <c r="C8" s="3426" t="s">
        <v>3086</v>
      </c>
      <c r="D8" s="3427"/>
      <c r="E8" s="2563" t="s">
        <v>1485</v>
      </c>
      <c r="F8" s="2564" t="s">
        <v>1486</v>
      </c>
      <c r="G8" s="2565" t="str">
        <f>C6</f>
        <v>经济技术开发区荣华南路16号</v>
      </c>
    </row>
    <row r="9" spans="1:17" ht="25">
      <c r="A9" s="3413"/>
      <c r="B9" s="259" t="s">
        <v>1487</v>
      </c>
      <c r="C9" s="3333" t="s">
        <v>3043</v>
      </c>
      <c r="D9" s="1407" t="s">
        <v>2982</v>
      </c>
      <c r="E9" s="2857" t="s">
        <v>1488</v>
      </c>
      <c r="F9" s="2566"/>
      <c r="G9" s="2567"/>
    </row>
    <row r="10" spans="1:17" ht="13.5" thickBot="1">
      <c r="A10" s="3413"/>
      <c r="B10" s="259" t="s">
        <v>1489</v>
      </c>
      <c r="C10" s="3428"/>
      <c r="D10" s="3429"/>
      <c r="E10" s="2858" t="s">
        <v>1490</v>
      </c>
      <c r="F10" s="2568"/>
      <c r="G10" s="2569"/>
    </row>
    <row r="11" spans="1:17" ht="13.5" thickBot="1">
      <c r="A11" s="3413"/>
      <c r="B11" s="1409" t="s">
        <v>1491</v>
      </c>
      <c r="C11" s="3430"/>
      <c r="D11" s="3431"/>
      <c r="E11" s="809"/>
      <c r="F11" s="809"/>
      <c r="G11" s="828"/>
    </row>
    <row r="12" spans="1:17" ht="25.5" thickBot="1">
      <c r="A12" s="3417" t="s">
        <v>2767</v>
      </c>
      <c r="B12" s="2859" t="s">
        <v>1492</v>
      </c>
      <c r="C12" s="806">
        <v>108.17</v>
      </c>
      <c r="D12" s="1410" t="s">
        <v>1493</v>
      </c>
      <c r="E12" s="1411" t="s">
        <v>2983</v>
      </c>
      <c r="F12" s="1412" t="s">
        <v>2987</v>
      </c>
      <c r="G12" s="828"/>
    </row>
    <row r="13" spans="1:17" ht="21" customHeight="1" thickBot="1">
      <c r="A13" s="3418"/>
      <c r="B13" s="2860" t="s">
        <v>1494</v>
      </c>
      <c r="C13" s="807"/>
      <c r="D13" s="1413" t="s">
        <v>1495</v>
      </c>
      <c r="E13" s="1414"/>
      <c r="F13" s="809"/>
      <c r="G13" s="828"/>
      <c r="I13" s="3436"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5" thickBot="1">
      <c r="A14" s="2570"/>
      <c r="B14" s="2874" t="s">
        <v>2768</v>
      </c>
      <c r="C14" s="2571"/>
      <c r="D14" s="809"/>
      <c r="E14" s="809"/>
      <c r="F14" s="809"/>
      <c r="G14" s="828"/>
      <c r="I14" s="3436"/>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5" thickBot="1">
      <c r="A15" s="2572"/>
      <c r="B15" s="2861" t="s">
        <v>1497</v>
      </c>
      <c r="C15" s="824"/>
      <c r="D15" s="823"/>
      <c r="E15" s="823"/>
      <c r="F15" s="823"/>
      <c r="G15" s="1161"/>
      <c r="I15" s="3436"/>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32" t="s">
        <v>1502</v>
      </c>
      <c r="C17" s="3433"/>
      <c r="D17" s="3434" t="s">
        <v>1503</v>
      </c>
      <c r="E17" s="3435"/>
      <c r="F17" s="1417" t="s">
        <v>1504</v>
      </c>
      <c r="G17" s="1418"/>
      <c r="J17" s="2863"/>
    </row>
    <row r="18" spans="1:66" ht="26">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ht="13">
      <c r="A20" s="1418" t="s">
        <v>1506</v>
      </c>
      <c r="B20" s="2577" t="s">
        <v>1507</v>
      </c>
      <c r="C20" s="2578"/>
      <c r="D20" s="2579" t="s">
        <v>1507</v>
      </c>
      <c r="E20" s="2578"/>
      <c r="F20" s="809"/>
      <c r="G20" s="1284"/>
    </row>
    <row r="21" spans="1:66" ht="13">
      <c r="A21" s="1284"/>
      <c r="B21" s="2580" t="s">
        <v>1508</v>
      </c>
      <c r="C21" s="2846"/>
      <c r="D21" s="1422" t="s">
        <v>1508</v>
      </c>
      <c r="E21" s="2581"/>
      <c r="F21" s="809"/>
      <c r="G21" s="1284"/>
    </row>
    <row r="22" spans="1:66" ht="13">
      <c r="A22" s="1284"/>
      <c r="B22" s="809" t="s">
        <v>1509</v>
      </c>
      <c r="C22" s="2582"/>
      <c r="D22" s="809" t="s">
        <v>1509</v>
      </c>
      <c r="E22" s="2581"/>
      <c r="F22" s="809"/>
      <c r="G22" s="1284"/>
    </row>
    <row r="23" spans="1:66" s="2845" customFormat="1" ht="16"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45" t="s">
        <v>2766</v>
      </c>
      <c r="B24" s="3445"/>
      <c r="C24" s="3445"/>
      <c r="D24" s="3445"/>
      <c r="E24" s="3445"/>
      <c r="F24" s="3445"/>
      <c r="G24" s="3445"/>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ht="13">
      <c r="A28" s="801" t="s">
        <v>1516</v>
      </c>
      <c r="B28" s="799"/>
      <c r="C28" s="3420" t="s">
        <v>1516</v>
      </c>
      <c r="D28" s="3421"/>
      <c r="E28" s="799"/>
      <c r="F28" s="801" t="s">
        <v>1516</v>
      </c>
      <c r="G28" s="799"/>
      <c r="K28" s="2864"/>
    </row>
    <row r="29" spans="1:66" ht="13">
      <c r="A29" s="802" t="s">
        <v>1517</v>
      </c>
      <c r="B29" s="796"/>
      <c r="C29" s="3422" t="s">
        <v>1518</v>
      </c>
      <c r="D29" s="3423"/>
      <c r="E29" s="796"/>
      <c r="F29" s="802" t="s">
        <v>1518</v>
      </c>
      <c r="G29" s="796"/>
      <c r="K29" s="2864"/>
    </row>
    <row r="30" spans="1:66" ht="13">
      <c r="A30" s="802" t="s">
        <v>1519</v>
      </c>
      <c r="B30" s="796"/>
      <c r="C30" s="3422" t="s">
        <v>1519</v>
      </c>
      <c r="D30" s="3423"/>
      <c r="E30" s="796"/>
      <c r="F30" s="802" t="s">
        <v>1520</v>
      </c>
      <c r="G30" s="796"/>
      <c r="K30" s="2864"/>
    </row>
    <row r="31" spans="1:66" ht="13">
      <c r="A31" s="802" t="s">
        <v>1521</v>
      </c>
      <c r="B31" s="796"/>
      <c r="C31" s="3442" t="s">
        <v>1522</v>
      </c>
      <c r="D31" s="809"/>
      <c r="E31" s="2589" t="str">
        <f>E32&amp;" "&amp;E33&amp;" "&amp;E34&amp;" "&amp;E35</f>
        <v xml:space="preserve">   </v>
      </c>
      <c r="F31" s="802" t="s">
        <v>1523</v>
      </c>
      <c r="G31" s="796"/>
    </row>
    <row r="32" spans="1:66" ht="13">
      <c r="A32" s="802" t="s">
        <v>1524</v>
      </c>
      <c r="B32" s="796"/>
      <c r="C32" s="3443"/>
      <c r="D32" s="259" t="s">
        <v>1525</v>
      </c>
      <c r="E32" s="796"/>
      <c r="F32" s="802" t="s">
        <v>1526</v>
      </c>
      <c r="G32" s="796"/>
    </row>
    <row r="33" spans="1:7" ht="26.5" thickBot="1">
      <c r="A33" s="803" t="s">
        <v>1527</v>
      </c>
      <c r="B33" s="800"/>
      <c r="C33" s="3443"/>
      <c r="D33" s="259" t="s">
        <v>1528</v>
      </c>
      <c r="E33" s="796"/>
      <c r="F33" s="802" t="s">
        <v>1529</v>
      </c>
      <c r="G33" s="796"/>
    </row>
    <row r="34" spans="1:7" ht="13">
      <c r="A34" s="801" t="s">
        <v>1530</v>
      </c>
      <c r="B34" s="799"/>
      <c r="C34" s="3443"/>
      <c r="D34" s="259" t="s">
        <v>1531</v>
      </c>
      <c r="E34" s="796"/>
      <c r="F34" s="802" t="s">
        <v>1532</v>
      </c>
      <c r="G34" s="796"/>
    </row>
    <row r="35" spans="1:7" ht="13.5" thickBot="1">
      <c r="A35" s="802" t="s">
        <v>1533</v>
      </c>
      <c r="B35" s="796"/>
      <c r="C35" s="3444"/>
      <c r="D35" s="259" t="s">
        <v>1534</v>
      </c>
      <c r="E35" s="796"/>
      <c r="F35" s="803" t="s">
        <v>1535</v>
      </c>
      <c r="G35" s="2590"/>
    </row>
    <row r="36" spans="1:7" ht="13">
      <c r="A36" s="802" t="s">
        <v>1492</v>
      </c>
      <c r="B36" s="796"/>
      <c r="C36" s="3422" t="s">
        <v>1536</v>
      </c>
      <c r="D36" s="3423"/>
      <c r="E36" s="796"/>
      <c r="F36" s="2591" t="s">
        <v>1537</v>
      </c>
      <c r="G36" s="799"/>
    </row>
    <row r="37" spans="1:7" ht="26.5" thickBot="1">
      <c r="A37" s="802" t="s">
        <v>1538</v>
      </c>
      <c r="B37" s="796"/>
      <c r="C37" s="3424" t="s">
        <v>1539</v>
      </c>
      <c r="D37" s="3425"/>
      <c r="E37" s="800"/>
      <c r="F37" s="1430" t="s">
        <v>1540</v>
      </c>
      <c r="G37" s="796"/>
    </row>
    <row r="38" spans="1:7" ht="13.5" thickBot="1">
      <c r="A38" s="802" t="s">
        <v>1541</v>
      </c>
      <c r="B38" s="796"/>
      <c r="C38" s="3414" t="s">
        <v>1542</v>
      </c>
      <c r="D38" s="1410" t="s">
        <v>1526</v>
      </c>
      <c r="E38" s="799"/>
      <c r="F38" s="803" t="s">
        <v>1543</v>
      </c>
      <c r="G38" s="800"/>
    </row>
    <row r="39" spans="1:7" ht="13">
      <c r="A39" s="802" t="s">
        <v>1544</v>
      </c>
      <c r="B39" s="796"/>
      <c r="C39" s="3415"/>
      <c r="D39" s="259" t="s">
        <v>1533</v>
      </c>
      <c r="E39" s="796"/>
      <c r="F39" s="801" t="s">
        <v>1545</v>
      </c>
      <c r="G39" s="799"/>
    </row>
    <row r="40" spans="1:7" ht="13">
      <c r="A40" s="802" t="s">
        <v>1546</v>
      </c>
      <c r="B40" s="796"/>
      <c r="C40" s="3415" t="s">
        <v>1547</v>
      </c>
      <c r="D40" s="259" t="s">
        <v>1492</v>
      </c>
      <c r="E40" s="796"/>
      <c r="F40" s="802" t="s">
        <v>1548</v>
      </c>
      <c r="G40" s="796"/>
    </row>
    <row r="41" spans="1:7" ht="24.75" customHeight="1" thickBot="1">
      <c r="A41" s="803" t="s">
        <v>1549</v>
      </c>
      <c r="B41" s="800"/>
      <c r="C41" s="3416"/>
      <c r="D41" s="1413" t="s">
        <v>1494</v>
      </c>
      <c r="E41" s="800"/>
      <c r="F41" s="803" t="s">
        <v>1550</v>
      </c>
      <c r="G41" s="800"/>
    </row>
    <row r="42" spans="1:7" ht="26">
      <c r="A42" s="804" t="s">
        <v>1551</v>
      </c>
      <c r="B42" s="2592"/>
      <c r="C42" s="3437" t="s">
        <v>1551</v>
      </c>
      <c r="D42" s="3438"/>
      <c r="E42" s="2592"/>
      <c r="F42" s="801" t="s">
        <v>1552</v>
      </c>
      <c r="G42" s="2592"/>
    </row>
    <row r="43" spans="1:7" ht="13">
      <c r="A43" s="819" t="s">
        <v>1553</v>
      </c>
      <c r="B43" s="2593"/>
      <c r="C43" s="1422"/>
      <c r="D43" s="2580"/>
      <c r="E43" s="2593"/>
      <c r="F43" s="819"/>
      <c r="G43" s="2593"/>
    </row>
    <row r="44" spans="1:7" ht="13">
      <c r="A44" s="819" t="s">
        <v>1507</v>
      </c>
      <c r="B44" s="820"/>
      <c r="C44" s="1422"/>
      <c r="D44" s="1488" t="s">
        <v>1507</v>
      </c>
      <c r="E44" s="820"/>
      <c r="F44" s="819" t="s">
        <v>1507</v>
      </c>
      <c r="G44" s="820"/>
    </row>
    <row r="45" spans="1:7" ht="13">
      <c r="A45" s="819" t="s">
        <v>1508</v>
      </c>
      <c r="B45" s="820"/>
      <c r="C45" s="1422"/>
      <c r="D45" s="2580" t="s">
        <v>1508</v>
      </c>
      <c r="E45" s="820"/>
      <c r="F45" s="819" t="s">
        <v>1508</v>
      </c>
      <c r="G45" s="820"/>
    </row>
    <row r="46" spans="1:7" ht="13">
      <c r="A46" s="819" t="s">
        <v>1509</v>
      </c>
      <c r="B46" s="820"/>
      <c r="C46" s="1422"/>
      <c r="D46" s="2580" t="s">
        <v>1509</v>
      </c>
      <c r="E46" s="820"/>
      <c r="F46" s="819" t="s">
        <v>1509</v>
      </c>
      <c r="G46" s="820"/>
    </row>
    <row r="47" spans="1:7" ht="13">
      <c r="A47" s="819" t="s">
        <v>1510</v>
      </c>
      <c r="B47" s="820"/>
      <c r="C47" s="1422"/>
      <c r="D47" s="2580" t="s">
        <v>1510</v>
      </c>
      <c r="E47" s="820"/>
      <c r="F47" s="819" t="s">
        <v>1510</v>
      </c>
      <c r="G47" s="820"/>
    </row>
    <row r="48" spans="1:7">
      <c r="A48" s="819"/>
      <c r="B48" s="820"/>
      <c r="C48" s="1422"/>
      <c r="D48" s="2580"/>
      <c r="E48" s="820"/>
      <c r="F48" s="819"/>
      <c r="G48" s="820"/>
    </row>
    <row r="49" spans="1:66" ht="13.5" thickBot="1">
      <c r="A49" s="803" t="s">
        <v>1554</v>
      </c>
      <c r="B49" s="800"/>
      <c r="C49" s="3439" t="s">
        <v>1554</v>
      </c>
      <c r="D49" s="3440"/>
      <c r="E49" s="818"/>
      <c r="F49" s="803" t="s">
        <v>1555</v>
      </c>
      <c r="G49" s="800"/>
    </row>
    <row r="50" spans="1:66" ht="13">
      <c r="A50" s="802" t="s">
        <v>1556</v>
      </c>
      <c r="B50" s="817"/>
      <c r="C50" s="3414" t="s">
        <v>1557</v>
      </c>
      <c r="D50" s="3441"/>
      <c r="E50" s="2594"/>
      <c r="F50" s="835"/>
      <c r="G50" s="836"/>
    </row>
    <row r="51" spans="1:66" ht="13.5" thickBot="1">
      <c r="A51" s="802" t="s">
        <v>1558</v>
      </c>
      <c r="B51" s="817"/>
      <c r="C51" s="3416" t="s">
        <v>1559</v>
      </c>
      <c r="D51" s="3419"/>
      <c r="E51" s="800"/>
      <c r="F51" s="809"/>
      <c r="G51" s="828"/>
    </row>
    <row r="52" spans="1:66" ht="13">
      <c r="A52" s="802" t="s">
        <v>1537</v>
      </c>
      <c r="B52" s="796"/>
      <c r="C52" s="809"/>
      <c r="D52" s="809"/>
      <c r="E52" s="809"/>
      <c r="F52" s="809"/>
      <c r="G52" s="828"/>
    </row>
    <row r="53" spans="1:66" ht="26.5"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446" t="s">
        <v>0</v>
      </c>
      <c r="B1" s="3446" t="s">
        <v>2</v>
      </c>
      <c r="C1" s="3446" t="s">
        <v>3</v>
      </c>
      <c r="D1" s="3447" t="s">
        <v>67</v>
      </c>
      <c r="E1" s="3447" t="s">
        <v>68</v>
      </c>
      <c r="F1" s="3447"/>
      <c r="G1" s="3447"/>
      <c r="H1" s="3447"/>
      <c r="I1" s="3447"/>
      <c r="J1" s="3447"/>
      <c r="K1" s="3447"/>
      <c r="L1" s="3447"/>
      <c r="M1" s="3447"/>
    </row>
    <row r="2" spans="1:13" ht="27" customHeight="1">
      <c r="A2" s="3446"/>
      <c r="B2" s="3446"/>
      <c r="C2" s="3446"/>
      <c r="D2" s="3447"/>
      <c r="E2" s="3447" t="s">
        <v>51</v>
      </c>
      <c r="F2" s="3447" t="s">
        <v>52</v>
      </c>
      <c r="G2" s="3447"/>
      <c r="H2" s="3447"/>
      <c r="I2" s="3447"/>
      <c r="J2" s="3447" t="s">
        <v>53</v>
      </c>
      <c r="K2" s="3447"/>
      <c r="L2" s="3447"/>
      <c r="M2" s="3447"/>
    </row>
    <row r="3" spans="1:13" ht="45">
      <c r="A3" s="3446"/>
      <c r="B3" s="3446"/>
      <c r="C3" s="3446"/>
      <c r="D3" s="3447"/>
      <c r="E3" s="3447"/>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7" t="s">
        <v>69</v>
      </c>
      <c r="B9" s="3447"/>
      <c r="C9" s="34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L14" sqref="L14"/>
    </sheetView>
  </sheetViews>
  <sheetFormatPr defaultColWidth="13.7265625" defaultRowHeight="12.5"/>
  <cols>
    <col min="1" max="1" width="20.90625" style="2649" customWidth="1"/>
    <col min="2" max="2" width="16.7265625" style="2596" customWidth="1"/>
    <col min="3" max="3" width="18.26953125" style="2636" customWidth="1"/>
    <col min="4" max="4" width="34.08984375" style="2650" customWidth="1"/>
    <col min="5" max="5" width="17.6328125" style="2650" customWidth="1"/>
    <col min="6" max="6" width="15.453125" style="2595" customWidth="1"/>
    <col min="7" max="8" width="9.08984375" style="2928" customWidth="1"/>
    <col min="9" max="9" width="15" style="2636" bestFit="1" customWidth="1"/>
    <col min="10" max="14" width="8.90625" style="2636" customWidth="1"/>
    <col min="15" max="16" width="12.36328125" style="2636" customWidth="1"/>
    <col min="17" max="17" width="8.6328125" style="2636" customWidth="1"/>
    <col min="18" max="18" width="12.453125" style="2636" customWidth="1"/>
    <col min="19" max="19" width="8.453125" style="2636" customWidth="1"/>
    <col min="20" max="21" width="10.90625" style="2636" customWidth="1"/>
    <col min="22" max="23" width="12.453125" style="2636" customWidth="1"/>
    <col min="24" max="24" width="12.08984375" style="2636" customWidth="1"/>
    <col min="25" max="25" width="7.453125" style="2636" customWidth="1"/>
    <col min="26" max="26" width="6.36328125" style="2636" customWidth="1"/>
    <col min="27" max="32" width="6.7265625" style="2636" customWidth="1"/>
    <col min="33" max="33" width="6.453125" style="2636" customWidth="1"/>
    <col min="34" max="36" width="7.26953125" style="2636" customWidth="1"/>
    <col min="37" max="41" width="8" style="2636" customWidth="1"/>
    <col min="42" max="16384" width="13.7265625" style="2596"/>
  </cols>
  <sheetData>
    <row r="1" spans="1:41" ht="18" thickBot="1">
      <c r="A1" s="2882" t="s">
        <v>1561</v>
      </c>
      <c r="B1" s="945"/>
      <c r="D1" s="2595"/>
      <c r="E1" s="2595"/>
    </row>
    <row r="2" spans="1:41" s="2599" customFormat="1" ht="15" thickBot="1">
      <c r="A2" s="2883" t="s">
        <v>1562</v>
      </c>
      <c r="B2" s="2884">
        <f>项目基本情况!D2</f>
        <v>44688</v>
      </c>
      <c r="C2" s="1652"/>
      <c r="D2" s="3448"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3029</v>
      </c>
      <c r="C3" s="1652"/>
      <c r="D3" s="3449"/>
      <c r="E3" s="2601" t="s">
        <v>2984</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4.5" thickBot="1">
      <c r="A4" s="2605" t="s">
        <v>1565</v>
      </c>
      <c r="B4" s="2600" t="s">
        <v>2988</v>
      </c>
      <c r="C4" s="1652"/>
      <c r="D4" s="3449"/>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4.5" thickBot="1">
      <c r="A5" s="2602" t="s">
        <v>1566</v>
      </c>
      <c r="B5" s="2603">
        <f>项目基本情况!C12</f>
        <v>108.17</v>
      </c>
      <c r="C5" s="1652"/>
      <c r="D5" s="2885" t="s">
        <v>1567</v>
      </c>
      <c r="E5" s="2604"/>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4.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5" thickBot="1">
      <c r="A7" s="2931"/>
      <c r="D7" s="2932"/>
      <c r="E7" s="2932"/>
      <c r="F7" s="2929"/>
      <c r="G7" s="2929"/>
      <c r="H7" s="2929"/>
    </row>
    <row r="8" spans="1:41" s="1652" customFormat="1" ht="14" hidden="1">
      <c r="A8" s="2931"/>
      <c r="D8" s="2932"/>
      <c r="E8" s="2932"/>
      <c r="F8" s="2929"/>
      <c r="G8" s="2929"/>
      <c r="H8" s="2929"/>
    </row>
    <row r="9" spans="1:41" s="1652" customFormat="1" ht="14.5" hidden="1" thickBot="1">
      <c r="C9" s="3051"/>
      <c r="D9" s="2929"/>
      <c r="E9" s="2929"/>
      <c r="F9" s="2929"/>
      <c r="G9" s="2929"/>
      <c r="H9" s="2929"/>
    </row>
    <row r="10" spans="1:41" s="2599" customFormat="1" ht="14.5" thickBot="1">
      <c r="A10" s="2886" t="s">
        <v>1570</v>
      </c>
      <c r="B10" s="2608" t="s">
        <v>3042</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5">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5">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0.08</v>
      </c>
      <c r="C18" s="1652"/>
      <c r="D18" s="2899" t="str">
        <f>IF(B26=0,"建安总额","在建建安")</f>
        <v>建安总额</v>
      </c>
      <c r="E18" s="2900">
        <f>ROUND(B5*E17*IF(B26=0,1,E20),0)</f>
        <v>432680</v>
      </c>
      <c r="F18" s="2620">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4.5"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4.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4.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
      <c r="A25" s="2908" t="s">
        <v>1597</v>
      </c>
      <c r="B25" s="2909">
        <f>B21+B23</f>
        <v>2</v>
      </c>
      <c r="C25" s="1652"/>
      <c r="D25" s="2889" t="s">
        <v>1600</v>
      </c>
      <c r="E25" s="3310">
        <v>0.02</v>
      </c>
      <c r="F25" s="2634" t="s">
        <v>2785</v>
      </c>
      <c r="I25" s="2928"/>
    </row>
    <row r="26" spans="1:41" ht="14.5" thickBot="1">
      <c r="A26" s="2906" t="s">
        <v>1599</v>
      </c>
      <c r="B26" s="2910">
        <f>B22-B23</f>
        <v>0</v>
      </c>
      <c r="D26" s="2890" t="s">
        <v>1602</v>
      </c>
      <c r="E26" s="3311">
        <v>0.02</v>
      </c>
      <c r="F26" s="2634" t="s">
        <v>2785</v>
      </c>
      <c r="G26" s="2929"/>
      <c r="H26" s="2929"/>
      <c r="I26" s="1652"/>
      <c r="J26" s="1652"/>
      <c r="K26" s="1652"/>
      <c r="L26" s="1652"/>
      <c r="M26" s="1652"/>
      <c r="N26" s="1652"/>
    </row>
    <row r="27" spans="1:41" ht="14.5" thickBot="1">
      <c r="A27" s="2911" t="s">
        <v>1601</v>
      </c>
      <c r="B27" s="2629">
        <v>2008</v>
      </c>
      <c r="C27" s="1652"/>
      <c r="D27" s="3116" t="s">
        <v>3044</v>
      </c>
      <c r="E27" s="2912">
        <f ca="1">IF(D27="利息：取LPR",存贷款利率!G1,存贷款利率!G1+F27)</f>
        <v>4.2000000000000003E-2</v>
      </c>
      <c r="F27" s="3117">
        <v>5.0000000000000001E-3</v>
      </c>
      <c r="G27" s="2929"/>
      <c r="H27" s="2929"/>
      <c r="K27" s="1652"/>
      <c r="N27" s="1652"/>
    </row>
    <row r="28" spans="1:41" ht="14.5" thickBot="1">
      <c r="A28" s="945"/>
      <c r="B28" s="945"/>
      <c r="D28" s="2893" t="s">
        <v>1604</v>
      </c>
      <c r="E28" s="3312">
        <v>0.15</v>
      </c>
      <c r="G28" s="2929"/>
      <c r="H28" s="2929"/>
      <c r="K28" s="1652"/>
      <c r="N28" s="1652"/>
    </row>
    <row r="29" spans="1:41" ht="14.5">
      <c r="A29" s="2913" t="s">
        <v>1603</v>
      </c>
      <c r="B29" s="2630" t="s">
        <v>2990</v>
      </c>
      <c r="D29" s="2895" t="s">
        <v>1605</v>
      </c>
      <c r="E29" s="2914">
        <f>E30+E31</f>
        <v>5.5000000000000007E-2</v>
      </c>
      <c r="F29" s="1277"/>
      <c r="G29" s="2929"/>
      <c r="H29" s="2929"/>
      <c r="K29" s="1652"/>
      <c r="N29" s="1652"/>
    </row>
    <row r="30" spans="1:41" ht="14">
      <c r="A30" s="2890" t="str">
        <f>IF(B29="租赁期内按合同租金","合同租金","市场租金")</f>
        <v>市场租金</v>
      </c>
      <c r="B30" s="3318">
        <v>2.6</v>
      </c>
      <c r="D30" s="2897" t="s">
        <v>1607</v>
      </c>
      <c r="E30" s="2632">
        <v>0.05</v>
      </c>
      <c r="F30" s="2916">
        <f>IF(B2&lt;DATE(2016,5,1),0,E30)</f>
        <v>0.05</v>
      </c>
      <c r="G30" s="2929"/>
      <c r="H30" s="2929"/>
      <c r="K30" s="1652"/>
      <c r="N30" s="1652"/>
    </row>
    <row r="31" spans="1:41" ht="14">
      <c r="A31" s="2890" t="s">
        <v>1606</v>
      </c>
      <c r="B31" s="2915">
        <f ca="1">存贷款利率!I1</f>
        <v>1.4999999999999999E-2</v>
      </c>
      <c r="D31" s="2897" t="s">
        <v>1609</v>
      </c>
      <c r="E31" s="2917">
        <f>E30*(E32+E33+E34)+E35</f>
        <v>5.000000000000001E-3</v>
      </c>
      <c r="F31" s="1277"/>
      <c r="G31" s="2929"/>
      <c r="H31" s="2929"/>
      <c r="K31" s="1652"/>
      <c r="N31" s="1652"/>
    </row>
    <row r="32" spans="1:41" ht="14">
      <c r="A32" s="2890" t="s">
        <v>1608</v>
      </c>
      <c r="B32" s="3309">
        <v>0.03</v>
      </c>
      <c r="D32" s="2897" t="s">
        <v>1611</v>
      </c>
      <c r="E32" s="2633">
        <v>0.05</v>
      </c>
      <c r="F32" s="2634" t="s">
        <v>2671</v>
      </c>
      <c r="G32" s="2929"/>
      <c r="H32" s="2929"/>
      <c r="K32" s="1652"/>
      <c r="L32" s="1652"/>
      <c r="M32" s="1652"/>
      <c r="N32" s="1652"/>
    </row>
    <row r="33" spans="1:14" ht="14">
      <c r="A33" s="2890" t="s">
        <v>1610</v>
      </c>
      <c r="B33" s="2617">
        <v>0.1</v>
      </c>
      <c r="D33" s="2897" t="s">
        <v>1613</v>
      </c>
      <c r="E33" s="2632">
        <v>0.03</v>
      </c>
      <c r="F33" s="1276" t="s">
        <v>1614</v>
      </c>
      <c r="G33" s="2929"/>
      <c r="H33" s="2929"/>
      <c r="K33" s="1652"/>
      <c r="L33" s="1652"/>
      <c r="M33" s="1652"/>
      <c r="N33" s="1652"/>
    </row>
    <row r="34" spans="1:14" s="2636" customFormat="1" ht="14.5">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4.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4">
      <c r="A36" s="2919" t="s">
        <v>1617</v>
      </c>
      <c r="B36" s="2920"/>
      <c r="D36" s="2921" t="s">
        <v>1620</v>
      </c>
      <c r="E36" s="2640">
        <v>0.03</v>
      </c>
      <c r="F36" s="1278" t="s">
        <v>1621</v>
      </c>
      <c r="G36" s="2929"/>
      <c r="H36" s="2929"/>
      <c r="I36" s="1652"/>
      <c r="J36" s="1652"/>
      <c r="K36" s="1652"/>
      <c r="L36" s="1652"/>
      <c r="M36" s="1652"/>
      <c r="N36" s="1652"/>
    </row>
    <row r="37" spans="1:14" s="2636" customFormat="1" ht="14.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5">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4.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5">
      <c r="A42" s="2889" t="s">
        <v>1627</v>
      </c>
      <c r="B42" s="2641"/>
      <c r="D42" s="2644" t="s">
        <v>1632</v>
      </c>
      <c r="E42" s="2631"/>
      <c r="F42" s="1278">
        <v>30</v>
      </c>
      <c r="G42" s="2929"/>
      <c r="H42" s="2929"/>
      <c r="I42" s="1652"/>
      <c r="J42" s="1652"/>
      <c r="K42" s="1652"/>
      <c r="L42" s="1652"/>
      <c r="M42" s="1652"/>
      <c r="N42" s="1652"/>
    </row>
    <row r="43" spans="1:14" ht="14.5">
      <c r="A43" s="2890" t="s">
        <v>1631</v>
      </c>
      <c r="B43" s="2643">
        <v>365</v>
      </c>
      <c r="D43" s="2644" t="s">
        <v>1634</v>
      </c>
      <c r="E43" s="2631"/>
      <c r="F43" s="1278">
        <v>24</v>
      </c>
      <c r="G43" s="2929"/>
      <c r="H43" s="2929"/>
      <c r="I43" s="1652"/>
      <c r="J43" s="1652"/>
      <c r="K43" s="1652"/>
      <c r="L43" s="1652"/>
      <c r="M43" s="1652"/>
      <c r="N43" s="1652"/>
    </row>
    <row r="44" spans="1:14" ht="14.5">
      <c r="A44" s="2890" t="s">
        <v>1633</v>
      </c>
      <c r="B44" s="2631"/>
      <c r="D44" s="2644" t="s">
        <v>1636</v>
      </c>
      <c r="E44" s="2631"/>
      <c r="F44" s="1278">
        <v>18</v>
      </c>
      <c r="G44" s="2636"/>
      <c r="H44" s="2636"/>
      <c r="I44" s="2929"/>
      <c r="J44" s="1652"/>
      <c r="K44" s="1652"/>
      <c r="L44" s="1652"/>
      <c r="M44" s="1652"/>
      <c r="N44" s="1652"/>
    </row>
    <row r="45" spans="1:14" ht="14">
      <c r="A45" s="2890" t="s">
        <v>1635</v>
      </c>
      <c r="B45" s="2645">
        <v>0.01</v>
      </c>
      <c r="C45" s="2526" t="s">
        <v>2783</v>
      </c>
      <c r="D45" s="2644" t="s">
        <v>1638</v>
      </c>
      <c r="E45" s="2631"/>
      <c r="F45" s="1278">
        <v>12</v>
      </c>
      <c r="G45" s="2636"/>
      <c r="H45" s="2636"/>
      <c r="M45" s="1652"/>
      <c r="N45" s="1652"/>
    </row>
    <row r="46" spans="1:14" ht="14">
      <c r="A46" s="2890" t="s">
        <v>1637</v>
      </c>
      <c r="B46" s="2646">
        <v>1E-3</v>
      </c>
      <c r="C46" s="2526" t="s">
        <v>2781</v>
      </c>
      <c r="D46" s="2644" t="s">
        <v>1400</v>
      </c>
      <c r="E46" s="2631"/>
      <c r="F46" s="1278">
        <v>3</v>
      </c>
      <c r="G46" s="2636"/>
      <c r="H46" s="2636"/>
      <c r="M46" s="1652"/>
      <c r="N46" s="1652"/>
    </row>
    <row r="47" spans="1:14" ht="14.5" thickBot="1">
      <c r="A47" s="2893" t="s">
        <v>1639</v>
      </c>
      <c r="B47" s="3319">
        <v>0.01</v>
      </c>
      <c r="C47" s="2526" t="s">
        <v>2782</v>
      </c>
      <c r="D47" s="2644" t="s">
        <v>1640</v>
      </c>
      <c r="E47" s="2631"/>
      <c r="F47" s="1278">
        <v>1.5</v>
      </c>
      <c r="G47" s="2636"/>
      <c r="H47" s="2636"/>
      <c r="M47" s="1652"/>
      <c r="N47" s="1652"/>
    </row>
    <row r="48" spans="1:14" ht="14">
      <c r="A48" s="2636"/>
      <c r="B48" s="2636"/>
      <c r="D48" s="2644" t="s">
        <v>1641</v>
      </c>
      <c r="E48" s="2631"/>
      <c r="F48" s="1278"/>
      <c r="G48" s="2636"/>
      <c r="H48" s="2636"/>
      <c r="M48" s="1652"/>
      <c r="N48" s="1652"/>
    </row>
    <row r="49" spans="1:41" ht="14">
      <c r="A49" s="2636"/>
      <c r="B49" s="2636"/>
      <c r="D49" s="2644" t="s">
        <v>1642</v>
      </c>
      <c r="E49" s="2631"/>
      <c r="F49" s="1278"/>
      <c r="G49" s="2636"/>
      <c r="H49" s="2636"/>
      <c r="M49" s="1652"/>
      <c r="N49" s="1652"/>
    </row>
    <row r="50" spans="1:41" ht="14">
      <c r="A50" s="2636"/>
      <c r="B50" s="2636"/>
      <c r="D50" s="2644" t="s">
        <v>1643</v>
      </c>
      <c r="E50" s="2631"/>
      <c r="F50" s="1278"/>
      <c r="G50" s="2636"/>
      <c r="H50" s="2636"/>
      <c r="M50" s="1652"/>
      <c r="N50" s="1652"/>
    </row>
    <row r="51" spans="1:41" s="945" customFormat="1" ht="14.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
      <c r="D52" s="2929"/>
      <c r="E52" s="2929"/>
      <c r="F52" s="2929"/>
      <c r="G52" s="2929"/>
      <c r="H52" s="2929"/>
      <c r="I52" s="1652"/>
      <c r="J52" s="1652"/>
      <c r="K52" s="1652"/>
      <c r="L52" s="1652"/>
      <c r="M52" s="1652"/>
      <c r="N52" s="1652"/>
    </row>
    <row r="53" spans="1:41" s="2636" customFormat="1" ht="14">
      <c r="D53" s="2929"/>
      <c r="E53" s="2929"/>
      <c r="F53" s="2929"/>
      <c r="G53" s="2929"/>
      <c r="H53" s="2929"/>
      <c r="I53" s="1652"/>
      <c r="J53" s="1652"/>
      <c r="K53" s="1652"/>
      <c r="L53" s="1652"/>
      <c r="M53" s="1652"/>
      <c r="N53" s="1652"/>
    </row>
    <row r="54" spans="1:41" s="2636" customFormat="1" ht="14">
      <c r="D54" s="2929"/>
      <c r="E54" s="2929"/>
      <c r="F54" s="2929"/>
      <c r="G54" s="2929"/>
      <c r="H54" s="2929"/>
      <c r="I54" s="1652"/>
      <c r="J54" s="1652"/>
      <c r="K54" s="1652"/>
      <c r="L54" s="1652"/>
      <c r="M54" s="1652"/>
      <c r="N54" s="1652"/>
    </row>
    <row r="55" spans="1:41" s="2636" customFormat="1" ht="14">
      <c r="D55" s="2929"/>
      <c r="E55" s="2929"/>
      <c r="F55" s="2929"/>
      <c r="G55" s="2929"/>
      <c r="H55" s="2929"/>
      <c r="I55" s="1652"/>
      <c r="J55" s="1652"/>
      <c r="K55" s="1652"/>
      <c r="L55" s="1652"/>
      <c r="M55" s="1652"/>
      <c r="N55" s="1652"/>
    </row>
    <row r="56" spans="1:41" s="2636" customFormat="1" ht="14">
      <c r="D56" s="2929"/>
      <c r="E56" s="2929"/>
      <c r="F56" s="2929"/>
      <c r="G56" s="2929"/>
      <c r="H56" s="2929"/>
      <c r="I56" s="1652"/>
      <c r="J56" s="1652"/>
      <c r="K56" s="1652"/>
      <c r="L56" s="1652"/>
      <c r="M56" s="1652"/>
      <c r="N56" s="1652"/>
    </row>
    <row r="57" spans="1:41" s="2636" customFormat="1" ht="14">
      <c r="D57" s="2929"/>
      <c r="E57" s="2929"/>
      <c r="F57" s="2929"/>
      <c r="G57" s="2929"/>
      <c r="H57" s="2929"/>
      <c r="I57" s="1652"/>
      <c r="J57" s="1652"/>
      <c r="K57" s="1652"/>
      <c r="L57" s="1652"/>
      <c r="M57" s="1652"/>
      <c r="N57" s="1652"/>
    </row>
    <row r="58" spans="1:41" s="2636" customFormat="1" ht="14">
      <c r="D58" s="2929"/>
      <c r="E58" s="2929"/>
      <c r="F58" s="2929"/>
      <c r="G58" s="2929"/>
      <c r="H58" s="2929"/>
      <c r="I58" s="1652"/>
      <c r="J58" s="1652"/>
      <c r="K58" s="1652"/>
      <c r="L58" s="1652"/>
      <c r="M58" s="1652"/>
      <c r="N58" s="1652"/>
    </row>
    <row r="59" spans="1:41" s="2636" customFormat="1" ht="14">
      <c r="D59" s="2929"/>
      <c r="E59" s="2929"/>
      <c r="F59" s="2929"/>
      <c r="G59" s="2929"/>
      <c r="H59" s="2929"/>
      <c r="I59" s="1652"/>
      <c r="J59" s="1652"/>
      <c r="K59" s="1652"/>
      <c r="L59" s="1652"/>
      <c r="M59" s="2930"/>
      <c r="N59" s="1652"/>
    </row>
    <row r="60" spans="1:41" s="2636" customFormat="1" ht="14">
      <c r="D60" s="2929"/>
      <c r="E60" s="2929"/>
      <c r="F60" s="2929"/>
      <c r="G60" s="2929"/>
      <c r="H60" s="2929"/>
      <c r="I60" s="1652"/>
      <c r="J60" s="1652"/>
      <c r="K60" s="1652"/>
      <c r="L60" s="1652"/>
      <c r="M60" s="1652"/>
      <c r="N60" s="1652"/>
    </row>
    <row r="61" spans="1:41" s="2636" customFormat="1" ht="14">
      <c r="D61" s="2929"/>
      <c r="E61" s="2929"/>
      <c r="F61" s="2929"/>
      <c r="G61" s="2929"/>
      <c r="H61" s="2929"/>
      <c r="I61" s="1652"/>
      <c r="J61" s="1652"/>
      <c r="K61" s="1652"/>
      <c r="L61" s="1652"/>
      <c r="M61" s="1652"/>
      <c r="N61" s="1652"/>
    </row>
    <row r="62" spans="1:41" s="2636" customFormat="1" ht="14">
      <c r="D62" s="2929"/>
      <c r="E62" s="2929"/>
      <c r="F62" s="2929"/>
      <c r="G62" s="2929"/>
      <c r="H62" s="2929"/>
      <c r="I62" s="1652"/>
      <c r="J62" s="1652"/>
      <c r="K62" s="1652"/>
      <c r="L62" s="1652"/>
      <c r="M62" s="1652"/>
      <c r="N62" s="1652"/>
    </row>
    <row r="63" spans="1:41" s="2636" customFormat="1" ht="14">
      <c r="D63" s="2929"/>
      <c r="E63" s="2929"/>
      <c r="F63" s="2929"/>
      <c r="G63" s="2929"/>
      <c r="H63" s="2929"/>
      <c r="I63" s="1652"/>
      <c r="J63" s="1652"/>
      <c r="K63" s="1652"/>
      <c r="L63" s="1652"/>
      <c r="M63" s="1652"/>
      <c r="N63" s="1652"/>
    </row>
    <row r="64" spans="1:41" s="2636" customFormat="1" ht="14">
      <c r="D64" s="2929"/>
      <c r="E64" s="2929"/>
      <c r="F64" s="2929"/>
      <c r="G64" s="2929"/>
      <c r="H64" s="2929"/>
      <c r="I64" s="1652"/>
      <c r="J64" s="1652"/>
      <c r="K64" s="1652"/>
      <c r="L64" s="1652"/>
      <c r="M64" s="1652"/>
      <c r="N64" s="1652"/>
    </row>
    <row r="65" spans="1:14" s="2636" customFormat="1" ht="14">
      <c r="D65" s="2929"/>
      <c r="E65" s="2929"/>
      <c r="F65" s="2929"/>
      <c r="G65" s="2929"/>
      <c r="H65" s="2929"/>
      <c r="I65" s="1652"/>
      <c r="J65" s="1652"/>
      <c r="K65" s="1652"/>
      <c r="L65" s="1652"/>
      <c r="M65" s="1652"/>
      <c r="N65" s="1652"/>
    </row>
    <row r="66" spans="1:14" s="2636" customFormat="1" ht="14">
      <c r="D66" s="2929"/>
      <c r="E66" s="2929"/>
      <c r="F66" s="2929"/>
      <c r="G66" s="2929"/>
      <c r="H66" s="2929"/>
      <c r="I66" s="1652"/>
      <c r="J66" s="1652"/>
      <c r="K66" s="1652"/>
      <c r="L66" s="1652"/>
      <c r="M66" s="1652"/>
      <c r="N66" s="1652"/>
    </row>
    <row r="67" spans="1:14" s="2636" customFormat="1" ht="14">
      <c r="A67" s="2933"/>
      <c r="D67" s="2929"/>
      <c r="E67" s="2929"/>
      <c r="F67" s="2929"/>
      <c r="G67" s="2929"/>
      <c r="H67" s="2929"/>
      <c r="I67" s="1652"/>
      <c r="J67" s="1652"/>
      <c r="K67" s="1652"/>
      <c r="L67" s="1652"/>
      <c r="M67" s="1652"/>
      <c r="N67" s="1652"/>
    </row>
    <row r="68" spans="1:14" s="2636" customFormat="1" ht="14">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
  <cols>
    <col min="1" max="1" width="14.7265625" style="2599" customWidth="1"/>
    <col min="2" max="2" width="24.453125" style="2612" customWidth="1"/>
    <col min="3" max="3" width="28.36328125" style="2671" customWidth="1"/>
    <col min="4" max="4" width="2.6328125" style="2671" customWidth="1"/>
    <col min="5" max="5" width="5.90625" style="2671" customWidth="1"/>
    <col min="6" max="6" width="27" style="2612" customWidth="1"/>
    <col min="7" max="7" width="32.36328125" style="2672" customWidth="1"/>
    <col min="8" max="8" width="11.90625" style="2668" customWidth="1"/>
    <col min="9" max="9" width="16.7265625" style="2669" customWidth="1"/>
    <col min="10" max="10" width="2.6328125" style="2668" customWidth="1"/>
    <col min="11" max="11" width="11.90625" style="2668" customWidth="1"/>
    <col min="12" max="12" width="16.7265625" style="2669" customWidth="1"/>
    <col min="13" max="13" width="2.6328125" style="2668" customWidth="1"/>
    <col min="14" max="14" width="11.90625" style="2668" customWidth="1"/>
    <col min="15" max="15" width="16.7265625" style="2669" customWidth="1"/>
    <col min="16" max="16" width="2.6328125" style="2668" customWidth="1"/>
    <col min="17" max="17" width="11.90625" style="2668" customWidth="1"/>
    <col min="18" max="18" width="16.7265625" style="2670" customWidth="1"/>
    <col min="19" max="29" width="9" style="2658"/>
    <col min="30" max="16384" width="9" style="2599"/>
  </cols>
  <sheetData>
    <row r="1" spans="1:29" s="2656" customFormat="1" ht="18.5" thickBot="1">
      <c r="A1" s="3450" t="s">
        <v>1645</v>
      </c>
      <c r="B1" s="3451"/>
      <c r="C1" s="3451"/>
      <c r="D1" s="3451"/>
      <c r="E1" s="3451"/>
      <c r="F1" s="3451"/>
      <c r="G1" s="3451"/>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ht="13.5"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39">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39">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26">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52">
      <c r="A6" s="3069"/>
      <c r="B6" s="3053" t="s">
        <v>2802</v>
      </c>
      <c r="C6" s="3340" t="s">
        <v>3068</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6.5" thickBot="1">
      <c r="A7" s="3069"/>
      <c r="B7" s="3053" t="s">
        <v>2800</v>
      </c>
      <c r="C7" s="3340" t="s">
        <v>3069</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3">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39">
      <c r="A9" s="3069"/>
      <c r="B9" s="3053" t="s">
        <v>2807</v>
      </c>
      <c r="C9" s="3347" t="s">
        <v>3070</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8"/>
      <c r="B10" s="3057" t="s">
        <v>2808</v>
      </c>
      <c r="C10" s="3345" t="s">
        <v>3071</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3">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8">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8.5" thickBot="1">
      <c r="A13" s="2667" t="s">
        <v>1651</v>
      </c>
      <c r="B13" s="2661"/>
      <c r="C13" s="2661"/>
      <c r="D13" s="2657"/>
      <c r="E13" s="2661"/>
      <c r="F13" s="2661"/>
      <c r="G13" s="2661"/>
    </row>
    <row r="14" spans="1:29" s="2596" customFormat="1" ht="13.5"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37.5">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37.5">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3">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50">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25">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37.5">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5">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3">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ht="13.5"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B3" zoomScaleNormal="100" zoomScaleSheetLayoutView="100" workbookViewId="0">
      <selection activeCell="L18" sqref="L18"/>
    </sheetView>
  </sheetViews>
  <sheetFormatPr defaultColWidth="14.6328125" defaultRowHeight="14"/>
  <cols>
    <col min="1" max="1" width="24.36328125" style="2546" customWidth="1"/>
    <col min="2" max="16384" width="14.6328125" style="2546"/>
  </cols>
  <sheetData>
    <row r="1" spans="1:9" ht="16.5">
      <c r="A1" s="2544" t="s">
        <v>1155</v>
      </c>
      <c r="B1" s="2544">
        <f>SUM(B14:B23)</f>
        <v>108.17</v>
      </c>
      <c r="C1" s="1601"/>
      <c r="D1" s="1601"/>
      <c r="E1" s="1601"/>
      <c r="F1" s="1601"/>
      <c r="G1" s="2545"/>
    </row>
    <row r="2" spans="1:9" ht="16.5">
      <c r="A2" s="2544" t="s">
        <v>1156</v>
      </c>
      <c r="B2" s="2544">
        <f>SUM(C14:C23)</f>
        <v>0</v>
      </c>
      <c r="C2" s="1601"/>
      <c r="D2" s="1601"/>
      <c r="E2" s="1601"/>
      <c r="F2" s="1601"/>
      <c r="G2" s="2545"/>
    </row>
    <row r="3" spans="1:9" ht="16.5">
      <c r="A3" s="2544" t="s">
        <v>1157</v>
      </c>
      <c r="B3" s="2547">
        <f>项目基本情况!D2</f>
        <v>44688</v>
      </c>
      <c r="C3" s="1601"/>
      <c r="D3" s="1601"/>
      <c r="E3" s="1601"/>
      <c r="F3" s="1601"/>
      <c r="G3" s="2545"/>
    </row>
    <row r="4" spans="1:9" ht="33">
      <c r="A4" s="2544" t="s">
        <v>1158</v>
      </c>
      <c r="B4" s="2544" t="s">
        <v>1159</v>
      </c>
      <c r="C4" s="2544" t="s">
        <v>1160</v>
      </c>
      <c r="D4" s="2544" t="s">
        <v>1161</v>
      </c>
      <c r="E4" s="1601"/>
      <c r="F4" s="2545"/>
      <c r="G4" s="2545"/>
    </row>
    <row r="5" spans="1:9" ht="16.5">
      <c r="A5" s="2544" t="s">
        <v>1162</v>
      </c>
      <c r="B5" s="2544">
        <f ca="1">SUM(D14:D23)</f>
        <v>196</v>
      </c>
      <c r="C5" s="2544">
        <f ca="1">ROUND(B5*10000/$B$1,0)</f>
        <v>18120</v>
      </c>
      <c r="D5" s="2544" t="e">
        <f ca="1">ROUND(B5*10000/$B$2,0)</f>
        <v>#DIV/0!</v>
      </c>
      <c r="E5" s="1601"/>
      <c r="F5" s="2545"/>
      <c r="G5" s="2545"/>
    </row>
    <row r="6" spans="1:9" ht="16.5">
      <c r="A6" s="2544" t="s">
        <v>1163</v>
      </c>
      <c r="B6" s="2544">
        <f ca="1">SUM(G14:G23)</f>
        <v>196</v>
      </c>
      <c r="C6" s="2544">
        <f t="shared" ref="C6:C8" ca="1" si="0">ROUND(B6*10000/$B$1,0)</f>
        <v>18120</v>
      </c>
      <c r="D6" s="2544" t="e">
        <f t="shared" ref="D6:D8" ca="1" si="1">ROUND(B6*10000/$B$2,0)</f>
        <v>#DIV/0!</v>
      </c>
      <c r="E6" s="1601"/>
      <c r="F6" s="2545"/>
      <c r="G6" s="2545"/>
    </row>
    <row r="7" spans="1:9" ht="16.5">
      <c r="A7" s="2544" t="s">
        <v>1164</v>
      </c>
      <c r="B7" s="2544">
        <f>SUM(H14:H23)</f>
        <v>0</v>
      </c>
      <c r="C7" s="2544">
        <f>ROUND(B7*10000/$B$1,0)</f>
        <v>0</v>
      </c>
      <c r="D7" s="2544" t="e">
        <f t="shared" si="1"/>
        <v>#DIV/0!</v>
      </c>
      <c r="E7" s="1601"/>
      <c r="F7" s="2545"/>
      <c r="G7" s="2545"/>
    </row>
    <row r="8" spans="1:9" ht="16.5">
      <c r="A8" s="2544" t="s">
        <v>1165</v>
      </c>
      <c r="B8" s="2544">
        <f>SUM(I14:I23)</f>
        <v>0</v>
      </c>
      <c r="C8" s="2544">
        <f t="shared" si="0"/>
        <v>0</v>
      </c>
      <c r="D8" s="2544" t="e">
        <f t="shared" si="1"/>
        <v>#DIV/0!</v>
      </c>
      <c r="E8" s="1601"/>
      <c r="F8" s="2545"/>
      <c r="G8" s="2545"/>
    </row>
    <row r="9" spans="1:9" ht="16.5">
      <c r="A9" s="2544" t="s">
        <v>1166</v>
      </c>
      <c r="B9" s="2548"/>
      <c r="C9" s="1601"/>
      <c r="D9" s="1601"/>
      <c r="E9" s="1601"/>
      <c r="F9" s="2545"/>
      <c r="G9" s="2545"/>
    </row>
    <row r="10" spans="1:9" ht="16.5">
      <c r="A10" s="2544" t="s">
        <v>1167</v>
      </c>
      <c r="B10" s="2548"/>
      <c r="C10" s="1601"/>
      <c r="D10" s="1601"/>
      <c r="E10" s="1601"/>
      <c r="F10" s="2545"/>
      <c r="G10" s="2545"/>
    </row>
    <row r="11" spans="1:9" ht="16.5">
      <c r="A11" s="2544" t="s">
        <v>1182</v>
      </c>
      <c r="B11" s="2548"/>
      <c r="C11" s="1601"/>
      <c r="D11" s="1601"/>
      <c r="E11" s="1601"/>
      <c r="F11" s="2545"/>
      <c r="G11" s="2545"/>
    </row>
    <row r="12" spans="1:9" ht="16.5">
      <c r="A12" s="1601"/>
      <c r="B12" s="1601"/>
      <c r="C12" s="1601"/>
      <c r="D12" s="1601"/>
      <c r="E12" s="1601"/>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7" t="s">
        <v>3085</v>
      </c>
      <c r="B14" s="2877">
        <f>项目基本情况!C12</f>
        <v>108.17</v>
      </c>
      <c r="C14" s="2877">
        <f>项目基本情况!C13</f>
        <v>0</v>
      </c>
      <c r="D14" s="2877">
        <f ca="1">IF('数据-取费表'!B3="万元",IF(A14="估价对象1（结果表）",结果表!H121,'结果表 (1修多)'!H125),IF(A14="估价对象1（结果表）",结果表!H121,'结果表 (1修多)'!H125)/10000)</f>
        <v>196</v>
      </c>
      <c r="E14" s="2877">
        <f ca="1">ROUND(D14*10000/B14,0)</f>
        <v>18120</v>
      </c>
      <c r="F14" s="2877" t="e">
        <f ca="1">ROUND(D14*10000/C14,0)</f>
        <v>#DIV/0!</v>
      </c>
      <c r="G14" s="2877">
        <f ca="1">IF('数据-取费表'!B3="万元",IF(A14="估价对象1（结果表）",结果表!D125,'结果表 (1修多)'!D129),IF(A14="估价对象1（结果表）",结果表!D125,'结果表 (1修多)'!D129)/10000)</f>
        <v>196</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6.5">
      <c r="A15" s="2551" t="s">
        <v>1172</v>
      </c>
      <c r="B15" s="2552"/>
      <c r="C15" s="2552"/>
      <c r="D15" s="2552"/>
      <c r="E15" s="2877" t="e">
        <f t="shared" ref="E15:E23" si="2">ROUND(D15*10000/B15,0)</f>
        <v>#DIV/0!</v>
      </c>
      <c r="F15" s="2877" t="e">
        <f t="shared" ref="F15:F23" si="3">ROUND(D15*10000/C15,0)</f>
        <v>#DIV/0!</v>
      </c>
      <c r="G15" s="1272"/>
      <c r="H15" s="1272"/>
      <c r="I15" s="2552"/>
    </row>
    <row r="16" spans="1:9" ht="16.5">
      <c r="A16" s="2551" t="s">
        <v>1173</v>
      </c>
      <c r="B16" s="2552"/>
      <c r="C16" s="2552"/>
      <c r="D16" s="2552"/>
      <c r="E16" s="2877" t="e">
        <f t="shared" si="2"/>
        <v>#DIV/0!</v>
      </c>
      <c r="F16" s="2877" t="e">
        <f t="shared" si="3"/>
        <v>#DIV/0!</v>
      </c>
      <c r="G16" s="1272"/>
      <c r="H16" s="1272"/>
      <c r="I16" s="2552"/>
    </row>
    <row r="17" spans="1:9" ht="16.5">
      <c r="A17" s="2551" t="s">
        <v>1174</v>
      </c>
      <c r="B17" s="2552"/>
      <c r="C17" s="2552"/>
      <c r="D17" s="2552"/>
      <c r="E17" s="2877" t="e">
        <f t="shared" si="2"/>
        <v>#DIV/0!</v>
      </c>
      <c r="F17" s="2877" t="e">
        <f t="shared" si="3"/>
        <v>#DIV/0!</v>
      </c>
      <c r="G17" s="1272"/>
      <c r="H17" s="1272"/>
      <c r="I17" s="2552"/>
    </row>
    <row r="18" spans="1:9" ht="16.5">
      <c r="A18" s="2551" t="s">
        <v>1175</v>
      </c>
      <c r="B18" s="2552"/>
      <c r="C18" s="2552"/>
      <c r="D18" s="2552"/>
      <c r="E18" s="2877" t="e">
        <f t="shared" si="2"/>
        <v>#DIV/0!</v>
      </c>
      <c r="F18" s="2877" t="e">
        <f t="shared" si="3"/>
        <v>#DIV/0!</v>
      </c>
      <c r="G18" s="2552"/>
      <c r="H18" s="2552"/>
      <c r="I18" s="2552"/>
    </row>
    <row r="19" spans="1:9" ht="16.5">
      <c r="A19" s="2551" t="s">
        <v>1176</v>
      </c>
      <c r="B19" s="2552"/>
      <c r="C19" s="2552"/>
      <c r="D19" s="2552"/>
      <c r="E19" s="2877" t="e">
        <f t="shared" si="2"/>
        <v>#DIV/0!</v>
      </c>
      <c r="F19" s="2877" t="e">
        <f t="shared" si="3"/>
        <v>#DIV/0!</v>
      </c>
      <c r="G19" s="2552"/>
      <c r="H19" s="2552"/>
      <c r="I19" s="2552"/>
    </row>
    <row r="20" spans="1:9" ht="16.5">
      <c r="A20" s="2551" t="s">
        <v>1177</v>
      </c>
      <c r="B20" s="2552"/>
      <c r="C20" s="2552"/>
      <c r="D20" s="2552"/>
      <c r="E20" s="2877" t="e">
        <f t="shared" si="2"/>
        <v>#DIV/0!</v>
      </c>
      <c r="F20" s="2877" t="e">
        <f t="shared" si="3"/>
        <v>#DIV/0!</v>
      </c>
      <c r="G20" s="2552"/>
      <c r="H20" s="2552"/>
      <c r="I20" s="2552"/>
    </row>
    <row r="21" spans="1:9" ht="16.5">
      <c r="A21" s="2551" t="s">
        <v>1178</v>
      </c>
      <c r="B21" s="2552"/>
      <c r="C21" s="2552"/>
      <c r="D21" s="2552"/>
      <c r="E21" s="2877" t="e">
        <f t="shared" si="2"/>
        <v>#DIV/0!</v>
      </c>
      <c r="F21" s="2877" t="e">
        <f t="shared" si="3"/>
        <v>#DIV/0!</v>
      </c>
      <c r="G21" s="2552"/>
      <c r="H21" s="2552"/>
      <c r="I21" s="2552"/>
    </row>
    <row r="22" spans="1:9" ht="16.5">
      <c r="A22" s="2551" t="s">
        <v>1179</v>
      </c>
      <c r="B22" s="2552"/>
      <c r="C22" s="2552"/>
      <c r="D22" s="2552"/>
      <c r="E22" s="2877" t="e">
        <f t="shared" si="2"/>
        <v>#DIV/0!</v>
      </c>
      <c r="F22" s="2877" t="e">
        <f t="shared" si="3"/>
        <v>#DIV/0!</v>
      </c>
      <c r="G22" s="2552"/>
      <c r="H22" s="2552"/>
      <c r="I22" s="2552"/>
    </row>
    <row r="23" spans="1:9" ht="16.5">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 zoomScaleNormal="100" zoomScaleSheetLayoutView="100" zoomScalePageLayoutView="80" workbookViewId="0">
      <selection activeCell="F15" sqref="F15"/>
    </sheetView>
  </sheetViews>
  <sheetFormatPr defaultColWidth="12.6328125" defaultRowHeight="21.75" customHeight="1"/>
  <cols>
    <col min="1" max="2" width="12.6328125" style="1429"/>
    <col min="3" max="4" width="12.6328125" style="1429" customWidth="1"/>
    <col min="5" max="9" width="12.6328125" style="1429"/>
    <col min="10" max="10" width="3.632812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1652</v>
      </c>
      <c r="B1" s="1428"/>
      <c r="C1" s="1428"/>
      <c r="D1" s="1428"/>
      <c r="E1" s="1428"/>
      <c r="F1" s="1428"/>
      <c r="G1" s="1428"/>
      <c r="H1" s="1428"/>
      <c r="I1" s="1428"/>
    </row>
    <row r="2" spans="1:15" ht="21.75" customHeight="1">
      <c r="A2" s="3523" t="str">
        <f>项目基本情况!B1</f>
        <v>北京市房地产抵押价值预评估</v>
      </c>
      <c r="B2" s="3523"/>
      <c r="C2" s="3523"/>
      <c r="D2" s="3523"/>
      <c r="E2" s="3523"/>
      <c r="F2" s="3523"/>
      <c r="G2" s="3523"/>
      <c r="H2" s="3523"/>
      <c r="I2" s="3523"/>
      <c r="J2" s="2804"/>
    </row>
    <row r="3" spans="1:15" ht="13">
      <c r="A3" s="3528" t="s">
        <v>1653</v>
      </c>
      <c r="B3" s="3529"/>
      <c r="C3" s="3529"/>
      <c r="D3" s="3529"/>
      <c r="E3" s="3529"/>
      <c r="F3" s="3529"/>
      <c r="G3" s="3529"/>
      <c r="H3" s="3529"/>
      <c r="I3" s="3529"/>
      <c r="J3" s="2805"/>
    </row>
    <row r="4" spans="1:15" ht="14">
      <c r="A4" s="2673" t="s">
        <v>1654</v>
      </c>
      <c r="B4" s="2673" t="s">
        <v>1655</v>
      </c>
      <c r="C4" s="2674" t="s">
        <v>3079</v>
      </c>
      <c r="D4" s="2674" t="s">
        <v>3007</v>
      </c>
      <c r="E4" s="3525" t="s">
        <v>1656</v>
      </c>
      <c r="F4" s="3513"/>
      <c r="G4" s="3513"/>
      <c r="H4" s="3513"/>
      <c r="I4" s="3514"/>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
      <c r="A5" s="3524" t="s">
        <v>1657</v>
      </c>
      <c r="B5" s="3524">
        <v>25</v>
      </c>
      <c r="C5" s="3530"/>
      <c r="D5" s="3527"/>
      <c r="E5" s="12" t="s">
        <v>1658</v>
      </c>
      <c r="F5" s="2052"/>
      <c r="G5" s="2052"/>
      <c r="H5" s="2052"/>
      <c r="I5" s="2047"/>
      <c r="J5" s="2806"/>
    </row>
    <row r="6" spans="1:15" ht="13">
      <c r="A6" s="3524"/>
      <c r="B6" s="3524"/>
      <c r="C6" s="3531"/>
      <c r="D6" s="3527"/>
      <c r="E6" s="12" t="s">
        <v>1659</v>
      </c>
      <c r="F6" s="2052"/>
      <c r="G6" s="2052"/>
      <c r="H6" s="2052"/>
      <c r="I6" s="2047"/>
      <c r="J6" s="2806"/>
    </row>
    <row r="7" spans="1:15" ht="13">
      <c r="A7" s="3524"/>
      <c r="B7" s="3524"/>
      <c r="C7" s="3532"/>
      <c r="D7" s="3527"/>
      <c r="E7" s="12" t="s">
        <v>1660</v>
      </c>
      <c r="F7" s="2052"/>
      <c r="G7" s="2052"/>
      <c r="H7" s="2052"/>
      <c r="I7" s="2047"/>
      <c r="J7" s="2806"/>
    </row>
    <row r="8" spans="1:15" ht="13">
      <c r="A8" s="3524" t="s">
        <v>1661</v>
      </c>
      <c r="B8" s="3524">
        <v>15</v>
      </c>
      <c r="C8" s="3530"/>
      <c r="D8" s="3527"/>
      <c r="E8" s="12" t="s">
        <v>1662</v>
      </c>
      <c r="F8" s="2052"/>
      <c r="G8" s="2052"/>
      <c r="H8" s="2052"/>
      <c r="I8" s="2047"/>
      <c r="J8" s="2806"/>
    </row>
    <row r="9" spans="1:15" ht="13">
      <c r="A9" s="3524"/>
      <c r="B9" s="3524"/>
      <c r="C9" s="3532"/>
      <c r="D9" s="3527"/>
      <c r="E9" s="12" t="s">
        <v>1663</v>
      </c>
      <c r="F9" s="2052"/>
      <c r="G9" s="2052"/>
      <c r="H9" s="2052"/>
      <c r="I9" s="2047"/>
      <c r="J9" s="2806"/>
    </row>
    <row r="10" spans="1:15" ht="13">
      <c r="A10" s="3524" t="s">
        <v>1664</v>
      </c>
      <c r="B10" s="3524">
        <v>15</v>
      </c>
      <c r="C10" s="3530"/>
      <c r="D10" s="3527"/>
      <c r="E10" s="12" t="s">
        <v>1665</v>
      </c>
      <c r="F10" s="2052"/>
      <c r="G10" s="2052"/>
      <c r="H10" s="2052"/>
      <c r="I10" s="2047"/>
      <c r="J10" s="2806"/>
    </row>
    <row r="11" spans="1:15" ht="13">
      <c r="A11" s="3524"/>
      <c r="B11" s="3524"/>
      <c r="C11" s="3532"/>
      <c r="D11" s="3527"/>
      <c r="E11" s="12" t="s">
        <v>1666</v>
      </c>
      <c r="F11" s="2052"/>
      <c r="G11" s="2052"/>
      <c r="H11" s="2052"/>
      <c r="I11" s="2047"/>
      <c r="J11" s="2806"/>
    </row>
    <row r="12" spans="1:15" ht="13">
      <c r="A12" s="3524" t="s">
        <v>1667</v>
      </c>
      <c r="B12" s="3524">
        <v>15</v>
      </c>
      <c r="C12" s="3530"/>
      <c r="D12" s="3527"/>
      <c r="E12" s="12" t="s">
        <v>1668</v>
      </c>
      <c r="F12" s="2052"/>
      <c r="G12" s="2052"/>
      <c r="H12" s="2052"/>
      <c r="I12" s="2047"/>
      <c r="J12" s="2806"/>
    </row>
    <row r="13" spans="1:15" ht="13">
      <c r="A13" s="3524"/>
      <c r="B13" s="3524"/>
      <c r="C13" s="3532"/>
      <c r="D13" s="3527"/>
      <c r="E13" s="12" t="s">
        <v>1669</v>
      </c>
      <c r="F13" s="2052"/>
      <c r="G13" s="2052"/>
      <c r="H13" s="2052"/>
      <c r="I13" s="2047"/>
      <c r="J13" s="2806"/>
    </row>
    <row r="14" spans="1:15" ht="13">
      <c r="A14" s="3524" t="s">
        <v>1670</v>
      </c>
      <c r="B14" s="3524">
        <v>30</v>
      </c>
      <c r="C14" s="3530">
        <v>7</v>
      </c>
      <c r="D14" s="3527">
        <v>3</v>
      </c>
      <c r="E14" s="12" t="s">
        <v>1671</v>
      </c>
      <c r="F14" s="2052"/>
      <c r="G14" s="2052"/>
      <c r="H14" s="2052"/>
      <c r="I14" s="2047"/>
      <c r="J14" s="2806"/>
    </row>
    <row r="15" spans="1:15" ht="13">
      <c r="A15" s="3524"/>
      <c r="B15" s="3524"/>
      <c r="C15" s="3531"/>
      <c r="D15" s="3527"/>
      <c r="E15" s="12" t="s">
        <v>1672</v>
      </c>
      <c r="F15" s="2052"/>
      <c r="G15" s="2052"/>
      <c r="H15" s="2052"/>
      <c r="I15" s="2047"/>
      <c r="J15" s="2806"/>
    </row>
    <row r="16" spans="1:15" ht="13">
      <c r="A16" s="3524"/>
      <c r="B16" s="3524"/>
      <c r="C16" s="3532"/>
      <c r="D16" s="3527"/>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0" customHeight="1" thickBot="1">
      <c r="A18" s="2677" t="s">
        <v>1675</v>
      </c>
      <c r="B18" s="2678"/>
      <c r="C18" s="2679">
        <f>ROUND(C17/SUM(C17:D17),2)</f>
        <v>0.7</v>
      </c>
      <c r="D18" s="2679">
        <f>1-C18</f>
        <v>0.30000000000000004</v>
      </c>
      <c r="E18" s="3544" t="s">
        <v>2756</v>
      </c>
      <c r="F18" s="3545"/>
      <c r="G18" s="3545"/>
      <c r="H18" s="3545"/>
      <c r="I18" s="3545"/>
      <c r="J18" s="2807"/>
    </row>
    <row r="19" spans="1:36" ht="14">
      <c r="A19" s="2680" t="s">
        <v>1676</v>
      </c>
      <c r="B19" s="2681" t="s">
        <v>1677</v>
      </c>
      <c r="C19" s="2682">
        <f ca="1">SUMIF(INDIRECT("'"&amp;C4&amp;"'"&amp;"!A:A"),结果表!B19,INDIRECT("'"&amp;C4&amp;"'"&amp;"!B:B"))</f>
        <v>219</v>
      </c>
      <c r="D19" s="2683">
        <f ca="1">SUMIF(INDIRECT("'"&amp;D4&amp;"'"&amp;"!A:A"),结果表!B19,INDIRECT("'"&amp;D4&amp;"'"&amp;"!B:B"))</f>
        <v>142</v>
      </c>
      <c r="E19" s="2680" t="s">
        <v>1678</v>
      </c>
      <c r="F19" s="2681" t="s">
        <v>1677</v>
      </c>
      <c r="G19" s="2684">
        <f ca="1">ROUND(C19*$C$18+D19*$D$18,0)</f>
        <v>196</v>
      </c>
      <c r="H19" s="2685" t="str">
        <f>'数据-取费表'!B3</f>
        <v>万元</v>
      </c>
      <c r="I19" s="2733"/>
      <c r="J19" s="2808"/>
    </row>
    <row r="20" spans="1:36" ht="14">
      <c r="A20" s="2686"/>
      <c r="B20" s="1660" t="s">
        <v>1679</v>
      </c>
      <c r="C20" s="1882">
        <f ca="1">SUMIF(INDIRECT("'"&amp;C4&amp;"'"&amp;"!A:A"),结果表!B20,INDIRECT("'"&amp;C4&amp;"'"&amp;"!B:B"))</f>
        <v>20275</v>
      </c>
      <c r="D20" s="1885">
        <f ca="1">SUMIF(INDIRECT("'"&amp;D4&amp;"'"&amp;"!A:A"),结果表!B20,INDIRECT("'"&amp;D4&amp;"'"&amp;"!B:B"))</f>
        <v>13143</v>
      </c>
      <c r="E20" s="2686"/>
      <c r="F20" s="1660" t="s">
        <v>1679</v>
      </c>
      <c r="G20" s="2056">
        <f ca="1">ROUND(C20*$C$18+D20*$D$18,0)</f>
        <v>18135</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f ca="1">IF(C19&lt;D19,D19/C19-1,C19/D19-1)</f>
        <v>0.54225352112676051</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533" t="s">
        <v>1682</v>
      </c>
      <c r="B24" s="2681" t="s">
        <v>1677</v>
      </c>
      <c r="C24" s="2684">
        <f>D30</f>
        <v>0</v>
      </c>
      <c r="D24" s="2637"/>
      <c r="E24" s="945"/>
      <c r="F24" s="945"/>
      <c r="G24" s="945"/>
      <c r="H24" s="945"/>
      <c r="I24" s="945"/>
      <c r="J24" s="2807"/>
    </row>
    <row r="25" spans="1:36" ht="21.75" customHeight="1">
      <c r="A25" s="3534"/>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c r="B27" s="2699">
        <v>0</v>
      </c>
      <c r="C27" s="2699">
        <v>0</v>
      </c>
      <c r="D27" s="2700">
        <f>ROUND(C27*B27/10000,0)</f>
        <v>0</v>
      </c>
      <c r="E27" s="945"/>
      <c r="F27" s="945"/>
      <c r="G27" s="945"/>
      <c r="H27" s="945"/>
      <c r="I27" s="945"/>
      <c r="J27" s="2807"/>
    </row>
    <row r="28" spans="1:36" ht="14">
      <c r="A28" s="2698"/>
      <c r="B28" s="2699"/>
      <c r="C28" s="2699"/>
      <c r="D28" s="2700">
        <f t="shared" ref="D28:D29" si="0">ROUND(C28*B28/10000,0)</f>
        <v>0</v>
      </c>
      <c r="E28" s="945"/>
      <c r="F28" s="945"/>
      <c r="G28" s="945"/>
      <c r="H28" s="945"/>
      <c r="I28" s="945"/>
      <c r="J28" s="2807"/>
    </row>
    <row r="29" spans="1:36" ht="14">
      <c r="A29" s="2698"/>
      <c r="B29" s="2699"/>
      <c r="C29" s="2699"/>
      <c r="D29" s="2700">
        <f t="shared" si="0"/>
        <v>0</v>
      </c>
      <c r="E29" s="945"/>
      <c r="F29" s="945"/>
      <c r="G29" s="945"/>
      <c r="H29" s="945"/>
      <c r="I29" s="945"/>
      <c r="J29" s="2807"/>
    </row>
    <row r="30" spans="1:36" ht="14.5" thickBot="1">
      <c r="A30" s="2735" t="s">
        <v>1687</v>
      </c>
      <c r="B30" s="2735"/>
      <c r="C30" s="2735"/>
      <c r="D30" s="2735"/>
      <c r="E30" s="2702" t="s">
        <v>2760</v>
      </c>
      <c r="F30" s="2526"/>
      <c r="G30" s="2526"/>
      <c r="H30" s="2526"/>
      <c r="I30" s="2526"/>
      <c r="J30" s="2807"/>
    </row>
    <row r="31" spans="1:36" s="2800" customFormat="1" ht="2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5" thickTop="1" thickBot="1">
      <c r="A32" s="2788" t="s">
        <v>1688</v>
      </c>
      <c r="B32" s="2789" t="str">
        <f>'数据-取费表'!B4</f>
        <v>楼面单价</v>
      </c>
      <c r="C32" s="2790">
        <f ca="1">IF(B32="总价",G19-C24,G20-C25)</f>
        <v>18135</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4">
      <c r="A33" s="2703" t="s">
        <v>1689</v>
      </c>
      <c r="B33" s="255"/>
      <c r="C33" s="2704"/>
      <c r="D33" s="2705"/>
      <c r="E33" s="2706" t="s">
        <v>1690</v>
      </c>
      <c r="F33" s="2707" t="str">
        <f>IF(B32="楼面单价","取值（单价）","取值（总价）")</f>
        <v>取值（单价）</v>
      </c>
      <c r="G33" s="945"/>
      <c r="H33" s="945"/>
      <c r="I33" s="945"/>
      <c r="J33" s="2807"/>
    </row>
    <row r="34" spans="1:17" ht="14">
      <c r="A34" s="1433"/>
      <c r="B34" s="2708" t="s">
        <v>1691</v>
      </c>
      <c r="C34" s="2709">
        <f ca="1">IF(D33="自定义",F34,C32-C35)</f>
        <v>11806</v>
      </c>
      <c r="D34" s="2710">
        <f ca="1">IF(D33="自定义",ROUND(C34/C32,3),1-D35)</f>
        <v>0.65100000000000002</v>
      </c>
      <c r="E34" s="1402" t="s">
        <v>1692</v>
      </c>
      <c r="F34" s="2711">
        <v>2000</v>
      </c>
      <c r="G34" s="945"/>
      <c r="H34" s="945"/>
      <c r="I34" s="945"/>
      <c r="J34" s="2807"/>
    </row>
    <row r="35" spans="1:17" ht="14.5" thickBot="1">
      <c r="A35" s="1434"/>
      <c r="B35" s="2712" t="s">
        <v>1693</v>
      </c>
      <c r="C35" s="2713">
        <f ca="1">IF(D33="自定义",F35,ROUND(C32*D35,0))</f>
        <v>6329</v>
      </c>
      <c r="D35" s="2714">
        <f ca="1">IF(D33="自定义",ROUND(C35/C32,3),IF(D33="成本法成本比率",成本法!C56,IF(D33="收益法收益比率",收益法!J38,收益法!J41)))</f>
        <v>0.34899999999999998</v>
      </c>
      <c r="E35" s="2715" t="s">
        <v>1694</v>
      </c>
      <c r="F35" s="2716">
        <v>4460</v>
      </c>
      <c r="G35" s="945"/>
      <c r="H35" s="945"/>
      <c r="I35" s="945"/>
      <c r="J35" s="2807"/>
    </row>
    <row r="36" spans="1:17" ht="14.5" thickBot="1">
      <c r="A36" s="3533" t="s">
        <v>1695</v>
      </c>
      <c r="B36" s="1435" t="s">
        <v>1696</v>
      </c>
      <c r="C36" s="2717">
        <v>0</v>
      </c>
      <c r="D36" s="2718"/>
      <c r="E36" s="1647"/>
      <c r="F36" s="1647"/>
      <c r="G36" s="945"/>
      <c r="H36" s="945"/>
      <c r="I36" s="945"/>
      <c r="J36" s="2807"/>
    </row>
    <row r="37" spans="1:17" ht="14.5" thickBot="1">
      <c r="A37" s="3538"/>
      <c r="B37" s="2057" t="s">
        <v>1697</v>
      </c>
      <c r="C37" s="2719">
        <v>0</v>
      </c>
      <c r="D37" s="1278"/>
      <c r="E37" s="1278"/>
      <c r="F37" s="1647"/>
      <c r="G37" s="1278"/>
      <c r="H37" s="1278"/>
      <c r="I37" s="1278"/>
      <c r="J37" s="2811"/>
    </row>
    <row r="38" spans="1:17" ht="14.5" thickBot="1">
      <c r="A38" s="3539"/>
      <c r="B38" s="1436" t="s">
        <v>1698</v>
      </c>
      <c r="C38" s="2720">
        <v>0</v>
      </c>
      <c r="D38" s="2721" t="s">
        <v>1699</v>
      </c>
      <c r="E38" s="1278"/>
      <c r="F38" s="1647"/>
      <c r="G38" s="1278"/>
      <c r="H38" s="1278"/>
      <c r="I38" s="1278"/>
      <c r="J38" s="2811"/>
    </row>
    <row r="39" spans="1:17" ht="14">
      <c r="A39" s="2686" t="s">
        <v>1700</v>
      </c>
      <c r="B39" s="2722" t="s">
        <v>1684</v>
      </c>
      <c r="C39" s="2723" t="s">
        <v>1685</v>
      </c>
      <c r="D39" s="2723" t="s">
        <v>1701</v>
      </c>
      <c r="E39" s="2724" t="s">
        <v>1686</v>
      </c>
      <c r="F39" s="1647"/>
      <c r="G39" s="1278"/>
      <c r="H39" s="1278"/>
      <c r="I39" s="1278"/>
      <c r="J39" s="2811"/>
    </row>
    <row r="40" spans="1:17" ht="14">
      <c r="A40" s="2725" t="s">
        <v>1702</v>
      </c>
      <c r="B40" s="2726"/>
      <c r="C40" s="2727"/>
      <c r="D40" s="2727"/>
      <c r="E40" s="2728"/>
      <c r="F40" s="1647"/>
      <c r="G40" s="1278"/>
      <c r="H40" s="1278"/>
      <c r="I40" s="1278"/>
      <c r="J40" s="2811"/>
    </row>
    <row r="41" spans="1:17" ht="14">
      <c r="A41" s="2725" t="s">
        <v>1703</v>
      </c>
      <c r="B41" s="2726"/>
      <c r="C41" s="2727"/>
      <c r="D41" s="2727"/>
      <c r="E41" s="2728"/>
      <c r="F41" s="1647"/>
      <c r="G41" s="1278"/>
      <c r="H41" s="1278"/>
      <c r="I41" s="1278"/>
      <c r="J41" s="2811"/>
    </row>
    <row r="42" spans="1:17" ht="14.5" thickBot="1">
      <c r="A42" s="2729"/>
      <c r="B42" s="2730"/>
      <c r="C42" s="2731"/>
      <c r="D42" s="2731"/>
      <c r="E42" s="2716"/>
      <c r="F42" s="1647"/>
      <c r="G42" s="1278"/>
      <c r="H42" s="1278"/>
      <c r="I42" s="1278"/>
      <c r="J42" s="2811"/>
    </row>
    <row r="43" spans="1:17" ht="12.5">
      <c r="A43" s="2937"/>
      <c r="B43" s="2937"/>
      <c r="C43" s="2937"/>
      <c r="D43" s="2937"/>
      <c r="E43" s="2937"/>
      <c r="F43" s="2936"/>
      <c r="G43" s="2936"/>
      <c r="H43" s="2936"/>
      <c r="I43" s="2625"/>
      <c r="J43" s="2812"/>
    </row>
    <row r="44" spans="1:17" ht="18">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customHeight="1" thickBot="1">
      <c r="A45" s="3458" t="s">
        <v>1706</v>
      </c>
      <c r="B45" s="3459"/>
      <c r="C45" s="3469"/>
      <c r="D45" s="246">
        <f ca="1">ROUND(I102*F45,0)</f>
        <v>196</v>
      </c>
      <c r="E45" s="1509" t="s">
        <v>1707</v>
      </c>
      <c r="F45" s="2524">
        <v>1</v>
      </c>
      <c r="G45" s="2525" t="s">
        <v>1708</v>
      </c>
      <c r="H45" s="945"/>
      <c r="I45" s="945"/>
      <c r="J45" s="2807"/>
      <c r="K45" s="3464" t="s">
        <v>2685</v>
      </c>
      <c r="L45" s="3464"/>
      <c r="M45" s="3464"/>
      <c r="N45" s="3464"/>
      <c r="O45" s="3464"/>
      <c r="P45" s="3464"/>
      <c r="Q45" s="1275"/>
    </row>
    <row r="46" spans="1:17" ht="14.25" customHeight="1">
      <c r="A46" s="3535" t="s">
        <v>1710</v>
      </c>
      <c r="B46" s="3536"/>
      <c r="C46" s="3536"/>
      <c r="D46" s="3536"/>
      <c r="E46" s="3536"/>
      <c r="F46" s="3536"/>
      <c r="G46" s="3537"/>
      <c r="H46" s="2939"/>
      <c r="I46" s="945"/>
      <c r="J46" s="2807"/>
      <c r="K46" s="2499">
        <v>1</v>
      </c>
      <c r="L46" s="3465" t="s">
        <v>2686</v>
      </c>
      <c r="M46" s="3465"/>
      <c r="N46" s="3466" t="str">
        <f>项目基本情况!B1</f>
        <v>北京市房地产抵押价值预评估</v>
      </c>
      <c r="O46" s="3466"/>
      <c r="P46" s="3466"/>
      <c r="Q46" s="1275"/>
    </row>
    <row r="47" spans="1:17" ht="12" customHeight="1">
      <c r="A47" s="38" t="s">
        <v>1712</v>
      </c>
      <c r="B47" s="39"/>
      <c r="C47" s="40"/>
      <c r="D47" s="1067" t="s">
        <v>1713</v>
      </c>
      <c r="E47" s="235" t="s">
        <v>1714</v>
      </c>
      <c r="F47" s="41" t="s">
        <v>1715</v>
      </c>
      <c r="G47" s="2527" t="s">
        <v>1716</v>
      </c>
      <c r="H47" s="2939"/>
      <c r="I47" s="945"/>
      <c r="J47" s="2807"/>
      <c r="K47" s="2499">
        <v>2</v>
      </c>
      <c r="L47" s="3465" t="s">
        <v>2687</v>
      </c>
      <c r="M47" s="3465"/>
      <c r="N47" s="3467">
        <f>'数据-取费表'!B2</f>
        <v>44688</v>
      </c>
      <c r="O47" s="3467"/>
      <c r="P47" s="3467"/>
      <c r="Q47" s="1275"/>
    </row>
    <row r="48" spans="1:17" ht="26">
      <c r="A48" s="3540" t="s">
        <v>1718</v>
      </c>
      <c r="B48" s="3474"/>
      <c r="C48" s="3474"/>
      <c r="D48" s="12">
        <f ca="1">IF(H48="情况1",0,IF(H48="情况2",D52,IF(H48="情况3",D53,IF(H48="情况4",D54))))</f>
        <v>10</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465" t="s">
        <v>2688</v>
      </c>
      <c r="M48" s="3465"/>
      <c r="N48" s="3466">
        <f ca="1">I102</f>
        <v>196</v>
      </c>
      <c r="O48" s="3466"/>
      <c r="P48" s="3466"/>
      <c r="Q48" s="1275"/>
    </row>
    <row r="49" spans="1:17" ht="25.5" customHeight="1">
      <c r="A49" s="2054" t="s">
        <v>1722</v>
      </c>
      <c r="B49" s="3513" t="s">
        <v>1723</v>
      </c>
      <c r="C49" s="3513"/>
      <c r="D49" s="2531">
        <v>0</v>
      </c>
      <c r="E49" s="261" t="s">
        <v>1724</v>
      </c>
      <c r="F49" s="2532" t="s">
        <v>48</v>
      </c>
      <c r="G49" s="3455"/>
      <c r="H49" s="2533" t="s">
        <v>2762</v>
      </c>
      <c r="I49" s="2534"/>
      <c r="J49" s="2815"/>
      <c r="K49" s="2499">
        <v>4</v>
      </c>
      <c r="L49" s="3465" t="str">
        <f>IF(项目基本情况!F5="房地产抵押价值","房地产抵押价值","抵押担保权已注销时的房地产抵押价值")</f>
        <v>房地产抵押价值</v>
      </c>
      <c r="M49" s="3465"/>
      <c r="N49" s="3466">
        <f ca="1">IF(项目基本情况!F5="房地产抵押价值",I110,I112)</f>
        <v>196</v>
      </c>
      <c r="O49" s="3466"/>
      <c r="P49" s="3466"/>
      <c r="Q49" s="1275"/>
    </row>
    <row r="50" spans="1:17" ht="25.5" customHeight="1">
      <c r="A50" s="2044"/>
      <c r="B50" s="3513" t="s">
        <v>1725</v>
      </c>
      <c r="C50" s="3513"/>
      <c r="D50" s="2535"/>
      <c r="E50" s="269"/>
      <c r="F50" s="2532"/>
      <c r="G50" s="3456"/>
      <c r="H50" s="2536" t="s">
        <v>2681</v>
      </c>
      <c r="I50" s="2534"/>
      <c r="J50" s="2815"/>
      <c r="K50" s="3465" t="s">
        <v>2689</v>
      </c>
      <c r="L50" s="3465"/>
      <c r="M50" s="3465"/>
      <c r="N50" s="3465"/>
      <c r="O50" s="3465"/>
      <c r="P50" s="3465"/>
      <c r="Q50" s="1275"/>
    </row>
    <row r="51" spans="1:17" ht="20.5" customHeight="1">
      <c r="A51" s="2537"/>
      <c r="B51" s="3513" t="s">
        <v>1727</v>
      </c>
      <c r="C51" s="3513"/>
      <c r="D51" s="1067"/>
      <c r="E51" s="264"/>
      <c r="F51" s="2532"/>
      <c r="G51" s="3457"/>
      <c r="H51" s="2536" t="s">
        <v>2682</v>
      </c>
      <c r="I51" s="2534"/>
      <c r="J51" s="2815"/>
      <c r="K51" s="2500" t="s">
        <v>2690</v>
      </c>
      <c r="L51" s="3465" t="s">
        <v>2691</v>
      </c>
      <c r="M51" s="3465"/>
      <c r="N51" s="2500" t="s">
        <v>2692</v>
      </c>
      <c r="O51" s="2500" t="s">
        <v>2693</v>
      </c>
      <c r="P51" s="2500" t="s">
        <v>2694</v>
      </c>
      <c r="Q51" s="1275"/>
    </row>
    <row r="52" spans="1:17" ht="24" customHeight="1">
      <c r="A52" s="2045" t="s">
        <v>1733</v>
      </c>
      <c r="B52" s="3513" t="s">
        <v>1734</v>
      </c>
      <c r="C52" s="3513"/>
      <c r="D52" s="1067">
        <f ca="1">ROUND(D45*'数据-取费表'!E29/(1+'数据-取费表'!F30),0)</f>
        <v>10</v>
      </c>
      <c r="E52" s="2055" t="s">
        <v>1735</v>
      </c>
      <c r="F52" s="2538">
        <f>'数据-取费表'!E29</f>
        <v>5.5000000000000007E-2</v>
      </c>
      <c r="G52" s="2539"/>
      <c r="H52" s="945"/>
      <c r="I52" s="2940"/>
      <c r="J52" s="2815"/>
      <c r="K52" s="2499">
        <v>1</v>
      </c>
      <c r="L52" s="3454" t="s">
        <v>2695</v>
      </c>
      <c r="M52" s="3454"/>
      <c r="N52" s="2501">
        <f ca="1">D48</f>
        <v>10</v>
      </c>
      <c r="O52" s="2499" t="str">
        <f>E48</f>
        <v>销售额×税（费）率</v>
      </c>
      <c r="P52" s="2502">
        <f>F48</f>
        <v>5.5000000000000007E-2</v>
      </c>
      <c r="Q52" s="1275"/>
    </row>
    <row r="53" spans="1:17" ht="12" customHeight="1">
      <c r="A53" s="2045" t="s">
        <v>1737</v>
      </c>
      <c r="B53" s="3525" t="s">
        <v>2774</v>
      </c>
      <c r="C53" s="3514"/>
      <c r="D53" s="1067">
        <f ca="1">ROUND(D45*'数据-取费表'!E29/(1+'数据-取费表'!F30),0)</f>
        <v>10</v>
      </c>
      <c r="E53" s="2055" t="s">
        <v>1735</v>
      </c>
      <c r="F53" s="2538">
        <f>'数据-取费表'!E29</f>
        <v>5.5000000000000007E-2</v>
      </c>
      <c r="G53" s="2539"/>
      <c r="H53" s="945"/>
      <c r="I53" s="2940"/>
      <c r="J53" s="2815"/>
      <c r="K53" s="2499">
        <v>2</v>
      </c>
      <c r="L53" s="3454" t="s">
        <v>2696</v>
      </c>
      <c r="M53" s="3454"/>
      <c r="N53" s="2501">
        <f t="shared" ref="N53:P54" si="1">D55</f>
        <v>0</v>
      </c>
      <c r="O53" s="2499" t="str">
        <f t="shared" si="1"/>
        <v>销售额×税（费）率</v>
      </c>
      <c r="P53" s="2502" t="str">
        <f t="shared" si="1"/>
        <v>免征</v>
      </c>
      <c r="Q53" s="1275"/>
    </row>
    <row r="54" spans="1:17" ht="12" customHeight="1">
      <c r="A54" s="2045" t="s">
        <v>1739</v>
      </c>
      <c r="B54" s="3525" t="s">
        <v>2775</v>
      </c>
      <c r="C54" s="3514"/>
      <c r="D54" s="1067">
        <f ca="1">C68</f>
        <v>10</v>
      </c>
      <c r="E54" s="264" t="s">
        <v>1740</v>
      </c>
      <c r="F54" s="2538">
        <f>'数据-取费表'!E29</f>
        <v>5.5000000000000007E-2</v>
      </c>
      <c r="G54" s="2539"/>
      <c r="H54" s="2941"/>
      <c r="I54" s="2940"/>
      <c r="J54" s="2815"/>
      <c r="K54" s="2499">
        <v>3</v>
      </c>
      <c r="L54" s="3454" t="s">
        <v>2697</v>
      </c>
      <c r="M54" s="3454"/>
      <c r="N54" s="2501">
        <f t="shared" si="1"/>
        <v>0</v>
      </c>
      <c r="O54" s="2499" t="str">
        <f t="shared" si="1"/>
        <v>增值额×税（费）率</v>
      </c>
      <c r="P54" s="2503" t="str">
        <f t="shared" si="1"/>
        <v>免征</v>
      </c>
      <c r="Q54" s="1275"/>
    </row>
    <row r="55" spans="1:17" ht="24" customHeight="1">
      <c r="A55" s="3478" t="s">
        <v>1742</v>
      </c>
      <c r="B55" s="3474"/>
      <c r="C55" s="3474"/>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454" t="str">
        <f>IF(H59="非个人房产","——","个人所得税")</f>
        <v>——</v>
      </c>
      <c r="M55" s="3454"/>
      <c r="N55" s="2504" t="str">
        <f>D59</f>
        <v>——</v>
      </c>
      <c r="O55" s="2505" t="str">
        <f>E59</f>
        <v>——</v>
      </c>
      <c r="P55" s="2506" t="str">
        <f>F59</f>
        <v>——</v>
      </c>
      <c r="Q55" s="1275"/>
    </row>
    <row r="56" spans="1:17" ht="26">
      <c r="A56" s="3478" t="s">
        <v>1745</v>
      </c>
      <c r="B56" s="3474"/>
      <c r="C56" s="3474"/>
      <c r="D56" s="12">
        <f>IF(H56="个人住宅",D57,D58)</f>
        <v>0</v>
      </c>
      <c r="E56" s="2055" t="s">
        <v>1746</v>
      </c>
      <c r="F56" s="2538" t="str">
        <f>IF(H56="正常",F58,"免征")</f>
        <v>免征</v>
      </c>
      <c r="G56" s="2540" t="s">
        <v>1747</v>
      </c>
      <c r="H56" s="2541" t="s">
        <v>2678</v>
      </c>
      <c r="I56" s="2942"/>
      <c r="J56" s="2815"/>
      <c r="K56" s="2499" t="str">
        <f>IF(项目基本情况!I6="上海银行",IF(K55="",4,K55+1),"")</f>
        <v/>
      </c>
      <c r="L56" s="3452" t="str">
        <f>IF(项目基本情况!I6="上海银行","其他处置费用","")</f>
        <v/>
      </c>
      <c r="M56" s="3472"/>
      <c r="N56" s="2501" t="str">
        <f>IF(项目基本情况!I6="上海银行",N69,"")</f>
        <v/>
      </c>
      <c r="O56" s="3452" t="str">
        <f>IF(项目基本情况!I6="上海银行","包含处置中涉及的律师、诉讼、拍卖、评估等费用","")</f>
        <v/>
      </c>
      <c r="P56" s="3453"/>
      <c r="Q56" s="1275"/>
    </row>
    <row r="57" spans="1:17" ht="13">
      <c r="A57" s="2045" t="s">
        <v>1722</v>
      </c>
      <c r="B57" s="3525" t="s">
        <v>1748</v>
      </c>
      <c r="C57" s="3514"/>
      <c r="D57" s="2531">
        <v>0</v>
      </c>
      <c r="E57" s="261" t="s">
        <v>1724</v>
      </c>
      <c r="F57" s="235"/>
      <c r="G57" s="2539"/>
      <c r="H57" s="2942"/>
      <c r="I57" s="2942"/>
      <c r="J57" s="2815"/>
      <c r="K57" s="3454">
        <f>IF(AND(K55="",K56=""),4,IF(项目基本情况!I6="上海银行",K56+1,K55+1))</f>
        <v>4</v>
      </c>
      <c r="L57" s="3454" t="s">
        <v>2698</v>
      </c>
      <c r="M57" s="2507" t="s">
        <v>2699</v>
      </c>
      <c r="N57" s="2508"/>
      <c r="O57" s="2509">
        <f ca="1">SUMIF(N52:N56,"&lt;9e307")</f>
        <v>10</v>
      </c>
      <c r="P57" s="2510"/>
      <c r="Q57" s="1273">
        <f ca="1">O57/N49</f>
        <v>5.1020408163265307E-2</v>
      </c>
    </row>
    <row r="58" spans="1:17" ht="26">
      <c r="A58" s="2045" t="s">
        <v>1733</v>
      </c>
      <c r="B58" s="3525" t="s">
        <v>1751</v>
      </c>
      <c r="C58" s="3513"/>
      <c r="D58" s="12">
        <f ca="1">IF(H58="转让取得",C81,C97)</f>
        <v>111</v>
      </c>
      <c r="E58" s="2055" t="s">
        <v>1746</v>
      </c>
      <c r="F58" s="235" t="s">
        <v>48</v>
      </c>
      <c r="G58" s="2539"/>
      <c r="H58" s="2541" t="s">
        <v>1752</v>
      </c>
      <c r="I58" s="2942"/>
      <c r="J58" s="2815"/>
      <c r="K58" s="3454"/>
      <c r="L58" s="3454"/>
      <c r="M58" s="2507" t="s">
        <v>2700</v>
      </c>
      <c r="N58" s="2511"/>
      <c r="O58" s="2512" t="str">
        <f ca="1">IF(H19="元",NUMBERSTRING(INT(O57),2)&amp;"元整",NUMBERSTRING(INT(O57*10000),2)&amp;"元整")</f>
        <v>壹拾万元整</v>
      </c>
      <c r="P58" s="2513"/>
      <c r="Q58" s="1275"/>
    </row>
    <row r="59" spans="1:17" ht="26.5" thickBot="1">
      <c r="A59" s="3541" t="s">
        <v>1754</v>
      </c>
      <c r="B59" s="3542"/>
      <c r="C59" s="3542"/>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507">
        <f>K57+1</f>
        <v>5</v>
      </c>
      <c r="L59" s="3454" t="s">
        <v>2701</v>
      </c>
      <c r="M59" s="2499" t="s">
        <v>2699</v>
      </c>
      <c r="N59" s="2514"/>
      <c r="O59" s="2515">
        <f ca="1">N49-O57</f>
        <v>186</v>
      </c>
      <c r="P59" s="2516"/>
      <c r="Q59" s="1275"/>
    </row>
    <row r="60" spans="1:17" ht="12" customHeight="1">
      <c r="A60" s="1424"/>
      <c r="B60" s="1428"/>
      <c r="C60" s="1428"/>
      <c r="D60" s="1428"/>
      <c r="E60" s="810"/>
      <c r="F60" s="2943"/>
      <c r="G60" s="2943"/>
      <c r="H60" s="2944"/>
      <c r="I60" s="31"/>
      <c r="K60" s="3508"/>
      <c r="L60" s="3454"/>
      <c r="M60" s="2507" t="s">
        <v>2700</v>
      </c>
      <c r="N60" s="2511"/>
      <c r="O60" s="2512" t="str">
        <f ca="1">IF(H19="元",NUMBERSTRING(INT(O59),2)&amp;"元整",NUMBERSTRING(INT(O59*10000),2)&amp;"元整")</f>
        <v>壹佰捌拾陆万元整</v>
      </c>
      <c r="P60" s="2513"/>
      <c r="Q60" s="1275"/>
    </row>
    <row r="61" spans="1:17" ht="13.5" thickBot="1">
      <c r="A61" s="3543" t="s">
        <v>1756</v>
      </c>
      <c r="B61" s="3543"/>
      <c r="C61" s="3543"/>
      <c r="D61" s="3543"/>
      <c r="E61" s="3543"/>
      <c r="F61" s="2943"/>
      <c r="G61" s="2943"/>
      <c r="H61" s="2945"/>
      <c r="I61" s="31"/>
      <c r="K61" s="2499">
        <f>K59+1</f>
        <v>6</v>
      </c>
      <c r="L61" s="3454" t="s">
        <v>2702</v>
      </c>
      <c r="M61" s="3454"/>
      <c r="N61" s="2517"/>
      <c r="O61" s="2518">
        <f ca="1">IF(H19="元",ROUND(O59/项目基本情况!C12,0),ROUND(O59*10000/项目基本情况!C12,0))</f>
        <v>17195</v>
      </c>
      <c r="P61" s="2519"/>
      <c r="Q61" s="1275"/>
    </row>
    <row r="62" spans="1:17" ht="13">
      <c r="A62" s="3492" t="s">
        <v>1758</v>
      </c>
      <c r="B62" s="3493"/>
      <c r="C62" s="1574"/>
      <c r="D62" s="1574" t="s">
        <v>1759</v>
      </c>
      <c r="E62" s="45" t="s">
        <v>1760</v>
      </c>
      <c r="F62" s="2943"/>
      <c r="G62" s="2943"/>
      <c r="H62" s="2945"/>
      <c r="I62" s="31"/>
      <c r="K62" s="2520"/>
      <c r="L62" s="2520"/>
      <c r="M62" s="2520"/>
      <c r="N62" s="2520"/>
      <c r="O62" s="2520"/>
      <c r="P62" s="2520"/>
      <c r="Q62" s="1275"/>
    </row>
    <row r="63" spans="1:17" ht="13">
      <c r="A63" s="46">
        <v>1</v>
      </c>
      <c r="B63" s="47" t="s">
        <v>1761</v>
      </c>
      <c r="C63" s="2746">
        <f ca="1">ROUND((C64+C65)/(1+'数据-取费表'!F30),0)</f>
        <v>187</v>
      </c>
      <c r="D63" s="47"/>
      <c r="E63" s="48"/>
      <c r="F63" s="2943"/>
      <c r="G63" s="2943"/>
      <c r="H63" s="2945"/>
      <c r="I63" s="31"/>
      <c r="K63" s="3473" t="s">
        <v>2703</v>
      </c>
      <c r="L63" s="2521" t="s">
        <v>2704</v>
      </c>
      <c r="M63" s="2521">
        <f ca="1">IF(N49&gt;10000,N49*0.5%,IF(AND(N49&gt;1000,N49&lt;=10000),N49*1%,IF(AND(N49&gt;100,N49&lt;=1000),N49*3%,IF(AND(N49&gt;10,N49&lt;=100),N49*5%,N49*8%))))</f>
        <v>5.88</v>
      </c>
      <c r="N63" s="2522">
        <f ca="1">ROUND(M63,1)</f>
        <v>5.9</v>
      </c>
      <c r="O63" s="2520"/>
      <c r="P63" s="2520"/>
      <c r="Q63" s="1275"/>
    </row>
    <row r="64" spans="1:17" ht="13">
      <c r="A64" s="49" t="s">
        <v>71</v>
      </c>
      <c r="B64" s="50" t="s">
        <v>1764</v>
      </c>
      <c r="C64" s="2747">
        <f ca="1">D45</f>
        <v>196</v>
      </c>
      <c r="D64" s="50" t="s">
        <v>41</v>
      </c>
      <c r="E64" s="52"/>
      <c r="F64" s="2943"/>
      <c r="G64" s="2943"/>
      <c r="H64" s="2945"/>
      <c r="I64" s="31"/>
      <c r="K64" s="3473"/>
      <c r="L64" s="2521" t="s">
        <v>2705</v>
      </c>
      <c r="M64" s="2521">
        <f ca="1">IF(N49&gt;2000,N49*0.5%,IF(AND(N49&gt;1000,N49&lt;=2000),N49*0.6%,IF(AND(N49&gt;500,N49&lt;=1000),N49*0.7%,IF(AND(N49&gt;200,N49&lt;=500),N49*0.8%,IF(AND(N49&gt;100,N49&lt;=200),N49*0.9%,IF(AND(N49&gt;50,N49&lt;=100),N49*1%,IF(AND(N49&gt;20,N49&lt;=50),N49*1.5%,IF(AND(N49&gt;10,N49&lt;=20),N49*2%,IF(AND(N49&gt;1,N49&lt;=10),N49*2.5%)))))))))</f>
        <v>1.7640000000000002</v>
      </c>
      <c r="N64" s="2522">
        <f t="shared" ref="N64:N65" ca="1" si="2">ROUND(M64,1)</f>
        <v>1.8</v>
      </c>
      <c r="O64" s="2520" t="s">
        <v>2706</v>
      </c>
      <c r="P64" s="2520"/>
      <c r="Q64" s="1275"/>
    </row>
    <row r="65" spans="1:36" ht="13">
      <c r="A65" s="49" t="s">
        <v>72</v>
      </c>
      <c r="B65" s="50" t="s">
        <v>1767</v>
      </c>
      <c r="C65" s="2748"/>
      <c r="D65" s="50"/>
      <c r="E65" s="52"/>
      <c r="F65" s="2943"/>
      <c r="G65" s="2943"/>
      <c r="H65" s="2945"/>
      <c r="I65" s="31"/>
      <c r="K65" s="3473"/>
      <c r="L65" s="2521" t="s">
        <v>2707</v>
      </c>
      <c r="M65" s="2521">
        <f ca="1">IF(N49&gt;1000,N49*0.1%,IF(AND(N49&gt;500,N49&lt;=1000),N49*0.5%,IF(AND(N49&gt;50,N49&lt;=500),N49*1%,IF(AND(N49&gt;1,N49&lt;=50),N49*1.5%))))</f>
        <v>1.96</v>
      </c>
      <c r="N65" s="2522">
        <f t="shared" ca="1" si="2"/>
        <v>2</v>
      </c>
      <c r="O65" s="2520" t="s">
        <v>2706</v>
      </c>
      <c r="P65" s="2520"/>
      <c r="Q65" s="1275"/>
    </row>
    <row r="66" spans="1:36" ht="13.5">
      <c r="A66" s="53" t="s">
        <v>47</v>
      </c>
      <c r="B66" s="54" t="s">
        <v>1769</v>
      </c>
      <c r="C66" s="2749"/>
      <c r="D66" s="54" t="s">
        <v>41</v>
      </c>
      <c r="E66" s="1283" t="s">
        <v>1770</v>
      </c>
      <c r="F66" s="2943"/>
      <c r="G66" s="2943"/>
      <c r="H66" s="2945"/>
      <c r="I66" s="31"/>
      <c r="K66" s="3473"/>
      <c r="L66" s="2521" t="s">
        <v>2708</v>
      </c>
      <c r="M66" s="2521">
        <f ca="1">N49*0.5%</f>
        <v>0.98</v>
      </c>
      <c r="N66" s="2522">
        <f ca="1">IF(M66&gt;0.5,0.5,ROUND(M66,0))</f>
        <v>0.5</v>
      </c>
      <c r="O66" s="2520" t="s">
        <v>2709</v>
      </c>
      <c r="P66" s="2520"/>
      <c r="Q66" s="1275"/>
    </row>
    <row r="67" spans="1:36" ht="13">
      <c r="A67" s="53" t="s">
        <v>42</v>
      </c>
      <c r="B67" s="54" t="s">
        <v>1773</v>
      </c>
      <c r="C67" s="2750">
        <f ca="1">C63-C66</f>
        <v>187</v>
      </c>
      <c r="D67" s="50" t="s">
        <v>41</v>
      </c>
      <c r="E67" s="52"/>
      <c r="F67" s="2943"/>
      <c r="G67" s="2943"/>
      <c r="H67" s="2945"/>
      <c r="I67" s="31"/>
      <c r="K67" s="3473"/>
      <c r="L67" s="2521" t="s">
        <v>2710</v>
      </c>
      <c r="M67" s="2521">
        <f ca="1">IF(N49&gt;=10000,(8.25+(N49-10000)*0.01%),IF(AND(N49&gt;=8000,N49&lt;10000),(7.85+(N49-8000)*0.02%),IF(AND(N49&gt;=5000,N49&lt;8000),(6.65+(N49-5000)*0.04%),IF(AND(N49&gt;=2000,N49&lt;5000),(4.25+(PN49-2000)*0.08%),IF(AND(N49&gt;=1000,N49&lt;2000),(2.75+(N49-1000)*0.15%),IF(AND(N49&gt;=100,N49&lt;1000),(0.5+(N49-100)*0.25%),IF(AND(N49&gt;0,N49&lt;100),N49*0.5%)))))))</f>
        <v>0.74</v>
      </c>
      <c r="N67" s="2522">
        <f ca="1">ROUND(M67*0.9,1)</f>
        <v>0.7</v>
      </c>
      <c r="O67" s="2520"/>
      <c r="P67" s="2520"/>
      <c r="Q67" s="1275"/>
    </row>
    <row r="68" spans="1:36" ht="13.5" thickBot="1">
      <c r="A68" s="55" t="s">
        <v>46</v>
      </c>
      <c r="B68" s="56" t="s">
        <v>1775</v>
      </c>
      <c r="C68" s="2751">
        <f ca="1">IF(C67&lt;=0,0,ROUND(C67*D68,0))</f>
        <v>10</v>
      </c>
      <c r="D68" s="2205">
        <f>'数据-取费表'!E29</f>
        <v>5.5000000000000007E-2</v>
      </c>
      <c r="E68" s="57"/>
      <c r="F68" s="2943"/>
      <c r="G68" s="2943"/>
      <c r="H68" s="2945"/>
      <c r="I68" s="31"/>
      <c r="K68" s="3473"/>
      <c r="L68" s="2521" t="s">
        <v>2711</v>
      </c>
      <c r="M68" s="2521">
        <f ca="1">IF(N49&gt;10000,N49*0.5%,IF(AND(N49&gt;5000,N49&lt;=10000),N49*1%,IF(AND(N49&gt;1000,N49&lt;=5000),N49*2%,IF(AND(N49&gt;200,N49&lt;=1000),N49*3%,N49*5%))))</f>
        <v>9.8000000000000007</v>
      </c>
      <c r="N68" s="2522">
        <f ca="1">ROUND(M68,1)</f>
        <v>9.8000000000000007</v>
      </c>
      <c r="O68" s="2520"/>
      <c r="P68" s="2520"/>
      <c r="Q68" s="1275"/>
    </row>
    <row r="69" spans="1:36" s="1432" customFormat="1" ht="7.5" customHeight="1">
      <c r="A69" s="1444"/>
      <c r="B69" s="1445"/>
      <c r="C69" s="1446"/>
      <c r="D69" s="1447"/>
      <c r="E69" s="1448"/>
      <c r="F69" s="810"/>
      <c r="G69" s="810"/>
      <c r="H69" s="1437"/>
      <c r="I69" s="1428"/>
      <c r="J69" s="2803"/>
      <c r="K69" s="3473"/>
      <c r="L69" s="2521" t="s">
        <v>54</v>
      </c>
      <c r="M69" s="2521"/>
      <c r="N69" s="2522">
        <f ca="1">ROUND(SUM(N63:N68),0)</f>
        <v>21</v>
      </c>
      <c r="O69" s="2523">
        <f ca="1">N69/N49</f>
        <v>0.10714285714285714</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5" thickBot="1">
      <c r="A70" s="3494" t="s">
        <v>1778</v>
      </c>
      <c r="B70" s="3495"/>
      <c r="C70" s="3495"/>
      <c r="D70" s="3495"/>
      <c r="E70" s="3495"/>
      <c r="F70" s="3495"/>
      <c r="G70" s="3495"/>
      <c r="H70" s="3495"/>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
      <c r="A71" s="3492" t="s">
        <v>1758</v>
      </c>
      <c r="B71" s="3493"/>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
      <c r="A72" s="61">
        <v>1</v>
      </c>
      <c r="B72" s="54" t="s">
        <v>1779</v>
      </c>
      <c r="C72" s="2750">
        <f ca="1">ROUND(D45/(1+'数据-取费表'!F30),0)</f>
        <v>187</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63">
        <v>2</v>
      </c>
      <c r="B73" s="41" t="s">
        <v>1781</v>
      </c>
      <c r="C73" s="2750">
        <f ca="1">C74+C78</f>
        <v>1</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6">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6">
        <v>0.05</v>
      </c>
      <c r="E76" s="3525" t="s">
        <v>1788</v>
      </c>
      <c r="F76" s="3513"/>
      <c r="G76" s="3513"/>
      <c r="H76" s="3526"/>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58">
        <f ca="1">ROUND(D45*D78/(1+'数据-取费表'!F30),0)</f>
        <v>1</v>
      </c>
      <c r="D78" s="2759">
        <f>'数据-取费表'!E31</f>
        <v>5.000000000000001E-3</v>
      </c>
      <c r="E78" s="3461" t="s">
        <v>1793</v>
      </c>
      <c r="F78" s="3462"/>
      <c r="G78" s="3462"/>
      <c r="H78" s="3482"/>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
      <c r="A79" s="53" t="s">
        <v>42</v>
      </c>
      <c r="B79" s="54" t="s">
        <v>1794</v>
      </c>
      <c r="C79" s="2750">
        <f ca="1">C72-C73</f>
        <v>186</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6">
      <c r="A80" s="53" t="s">
        <v>43</v>
      </c>
      <c r="B80" s="54" t="s">
        <v>1795</v>
      </c>
      <c r="C80" s="2760">
        <f ca="1">IF(C79&lt;=0,0,C79/C73)</f>
        <v>186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6.5" thickBot="1">
      <c r="A81" s="55" t="s">
        <v>44</v>
      </c>
      <c r="B81" s="56" t="s">
        <v>1796</v>
      </c>
      <c r="C81" s="2761">
        <f ca="1">ROUND(IF(C79&lt;=0,0,IF(C80&gt;=200%,C79*60%-C73*35%,IF(C80&gt;=100%,C79*50%-C73*15%,IF(C80&gt;=50%,C79*40%-C73*5%,IF(C80&lt;50%,C79*30%,0))))),0)</f>
        <v>111</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3494" t="s">
        <v>1797</v>
      </c>
      <c r="B83" s="3495"/>
      <c r="C83" s="3495"/>
      <c r="D83" s="3495"/>
      <c r="E83" s="3495"/>
      <c r="F83" s="3495"/>
      <c r="G83" s="3495"/>
      <c r="H83" s="3495"/>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
      <c r="A84" s="3492" t="s">
        <v>1758</v>
      </c>
      <c r="B84" s="3493"/>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6">
      <c r="A85" s="61">
        <v>1</v>
      </c>
      <c r="B85" s="54" t="s">
        <v>1779</v>
      </c>
      <c r="C85" s="2750">
        <f ca="1">ROUND(D45/(1+'数据-取费表'!F30),0)</f>
        <v>187</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63">
        <v>2</v>
      </c>
      <c r="B86" s="41" t="s">
        <v>1781</v>
      </c>
      <c r="C86" s="2750">
        <f ca="1">IF(H88="仅含出让金",C87+C90+C91+C92+C93+C94,C87+C91+C92+C93+C94)</f>
        <v>1</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3"/>
      <c r="D90" s="2759"/>
      <c r="E90" s="74" t="str">
        <f>IF(H88="-","土地取得成本中已包含该笔费用"," ")</f>
        <v xml:space="preserve"> </v>
      </c>
      <c r="F90" s="2049"/>
      <c r="G90" s="3501" t="s">
        <v>2673</v>
      </c>
      <c r="H90" s="3501"/>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58">
        <f>IF(H91="——",成本法!C33,I91)</f>
        <v>0</v>
      </c>
      <c r="D91" s="2759"/>
      <c r="E91" s="3461" t="s">
        <v>1805</v>
      </c>
      <c r="F91" s="3462"/>
      <c r="G91" s="3462"/>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58">
        <f>ROUND((C87+C90+C91)*D92,0)</f>
        <v>0</v>
      </c>
      <c r="D92" s="2802">
        <v>0.1</v>
      </c>
      <c r="E92" s="3461" t="s">
        <v>1808</v>
      </c>
      <c r="F92" s="3462"/>
      <c r="G92" s="3462"/>
      <c r="H92" s="3482"/>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58">
        <f ca="1">ROUND(D45*D93/(1+'数据-取费表'!F30),0)</f>
        <v>1</v>
      </c>
      <c r="D93" s="2759">
        <f>'数据-取费表'!E31</f>
        <v>5.000000000000001E-3</v>
      </c>
      <c r="E93" s="3461" t="s">
        <v>1793</v>
      </c>
      <c r="F93" s="3462"/>
      <c r="G93" s="3462"/>
      <c r="H93" s="3482"/>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58">
        <f>ROUND((C87+C90+C91)*D94,0)</f>
        <v>0</v>
      </c>
      <c r="D94" s="2759">
        <v>0.2</v>
      </c>
      <c r="E94" s="3461" t="s">
        <v>1810</v>
      </c>
      <c r="F94" s="3462"/>
      <c r="G94" s="3462"/>
      <c r="H94" s="3482"/>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
      <c r="A95" s="53" t="s">
        <v>42</v>
      </c>
      <c r="B95" s="54" t="s">
        <v>1794</v>
      </c>
      <c r="C95" s="2750">
        <f ca="1">ROUND(C85-C86,0)</f>
        <v>186</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6">
      <c r="A96" s="53" t="s">
        <v>43</v>
      </c>
      <c r="B96" s="54" t="s">
        <v>1795</v>
      </c>
      <c r="C96" s="2760">
        <f ca="1">IF(C95&lt;=0,0,C95/C86)</f>
        <v>186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6.5" thickBot="1">
      <c r="A97" s="55" t="s">
        <v>44</v>
      </c>
      <c r="B97" s="56" t="s">
        <v>1796</v>
      </c>
      <c r="C97" s="2761">
        <f ca="1">ROUND(IF(C95&lt;=0,0,IF(C96&gt;=200%,C95*60%-C86*35%,IF(C96&gt;=100%,C95*50%-C86*15%,IF(C96&gt;=50%,C95*40%-C86*5%,IF(C96&lt;50%,C95*30%,0))))),0)</f>
        <v>111</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5">
      <c r="A99" s="3479" t="s">
        <v>1812</v>
      </c>
      <c r="B99" s="3480"/>
      <c r="C99" s="3480"/>
      <c r="D99" s="3481"/>
      <c r="E99" s="1428"/>
      <c r="F99" s="3489" t="s">
        <v>1813</v>
      </c>
      <c r="G99" s="3490"/>
      <c r="H99" s="3490"/>
      <c r="I99" s="3491"/>
      <c r="J99" s="2821"/>
    </row>
    <row r="100" spans="1:36" ht="15.5">
      <c r="A100" s="3496" t="s">
        <v>1814</v>
      </c>
      <c r="B100" s="3497"/>
      <c r="C100" s="1274" t="str">
        <f>C4</f>
        <v>比较法-住宅</v>
      </c>
      <c r="D100" s="2769" t="str">
        <f>D4</f>
        <v>收益法</v>
      </c>
      <c r="E100" s="1428"/>
      <c r="F100" s="3498" t="s">
        <v>2717</v>
      </c>
      <c r="G100" s="3500"/>
      <c r="H100" s="3498" t="s">
        <v>2718</v>
      </c>
      <c r="I100" s="3499"/>
      <c r="J100" s="2822"/>
    </row>
    <row r="101" spans="1:36" ht="13">
      <c r="A101" s="3515" t="s">
        <v>2750</v>
      </c>
      <c r="B101" s="2270" t="str">
        <f>IF(H19="元","总价（元）","总价（万元）")</f>
        <v>总价（万元）</v>
      </c>
      <c r="C101" s="1274">
        <f ca="1">C19</f>
        <v>219</v>
      </c>
      <c r="D101" s="2769">
        <f ca="1">D19</f>
        <v>142</v>
      </c>
      <c r="E101" s="1428"/>
      <c r="F101" s="3498" t="str">
        <f>项目基本情况!I1</f>
        <v>北京市房地产</v>
      </c>
      <c r="G101" s="3500"/>
      <c r="H101" s="3502">
        <f>项目基本情况!C12</f>
        <v>108.17</v>
      </c>
      <c r="I101" s="3499"/>
      <c r="J101" s="2822"/>
    </row>
    <row r="102" spans="1:36" ht="13">
      <c r="A102" s="3515"/>
      <c r="B102" s="2270" t="s">
        <v>2751</v>
      </c>
      <c r="C102" s="2770">
        <f ca="1">C20</f>
        <v>20275</v>
      </c>
      <c r="D102" s="2771">
        <f ca="1">D20</f>
        <v>13143</v>
      </c>
      <c r="E102" s="1428"/>
      <c r="F102" s="3485" t="s">
        <v>2747</v>
      </c>
      <c r="G102" s="3486"/>
      <c r="H102" s="2779" t="str">
        <f>C106</f>
        <v>总价（万元）</v>
      </c>
      <c r="I102" s="2780">
        <f ca="1">H121</f>
        <v>196</v>
      </c>
      <c r="J102" s="2822"/>
    </row>
    <row r="103" spans="1:36" ht="13">
      <c r="A103" s="3515" t="s">
        <v>2752</v>
      </c>
      <c r="B103" s="2208" t="str">
        <f>B101</f>
        <v>总价（万元）</v>
      </c>
      <c r="C103" s="2774">
        <f ca="1">H121</f>
        <v>196</v>
      </c>
      <c r="D103" s="2772"/>
      <c r="E103" s="1428"/>
      <c r="F103" s="3485"/>
      <c r="G103" s="3486"/>
      <c r="H103" s="2779" t="s">
        <v>2720</v>
      </c>
      <c r="I103" s="52">
        <f ca="1">I121</f>
        <v>18135</v>
      </c>
      <c r="J103" s="2806"/>
    </row>
    <row r="104" spans="1:36" ht="13.5" thickBot="1">
      <c r="A104" s="3516"/>
      <c r="B104" s="2776" t="s">
        <v>2751</v>
      </c>
      <c r="C104" s="2777">
        <f ca="1">I121</f>
        <v>18135</v>
      </c>
      <c r="D104" s="2778"/>
      <c r="E104" s="1428"/>
      <c r="F104" s="3485"/>
      <c r="G104" s="3486"/>
      <c r="H104" s="3517"/>
      <c r="I104" s="3518"/>
      <c r="J104" s="2823"/>
    </row>
    <row r="105" spans="1:36" ht="14">
      <c r="A105" s="3479" t="s">
        <v>1815</v>
      </c>
      <c r="B105" s="3480"/>
      <c r="C105" s="3480"/>
      <c r="D105" s="3481"/>
      <c r="E105" s="1428"/>
      <c r="F105" s="3521" t="s">
        <v>2721</v>
      </c>
      <c r="G105" s="3522"/>
      <c r="H105" s="2781" t="str">
        <f>C108</f>
        <v>总额（万元）</v>
      </c>
      <c r="I105" s="2780">
        <f>SUMIF(I106:I108,"&lt;9E307")</f>
        <v>0</v>
      </c>
      <c r="J105" s="2822"/>
    </row>
    <row r="106" spans="1:36" ht="14">
      <c r="A106" s="3485" t="s">
        <v>2744</v>
      </c>
      <c r="B106" s="3486"/>
      <c r="C106" s="2779" t="str">
        <f>B101</f>
        <v>总价（万元）</v>
      </c>
      <c r="D106" s="2780">
        <f ca="1">H121</f>
        <v>196</v>
      </c>
      <c r="E106" s="1428"/>
      <c r="F106" s="3487" t="s">
        <v>2722</v>
      </c>
      <c r="G106" s="3488"/>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3">
      <c r="A107" s="3485"/>
      <c r="B107" s="3486"/>
      <c r="C107" s="2779" t="s">
        <v>2745</v>
      </c>
      <c r="D107" s="52">
        <f ca="1">I121</f>
        <v>18135</v>
      </c>
      <c r="E107" s="1428"/>
      <c r="F107" s="3487" t="s">
        <v>2723</v>
      </c>
      <c r="G107" s="3488"/>
      <c r="H107" s="2781" t="str">
        <f>C110</f>
        <v>总额（万元）</v>
      </c>
      <c r="I107" s="52">
        <f>C37</f>
        <v>0</v>
      </c>
      <c r="J107" s="2806"/>
    </row>
    <row r="108" spans="1:36" ht="13">
      <c r="A108" s="3556" t="s">
        <v>2721</v>
      </c>
      <c r="B108" s="3557"/>
      <c r="C108" s="2781" t="str">
        <f>IF(H19="元","总额（元）","总额（万元）")</f>
        <v>总额（万元）</v>
      </c>
      <c r="D108" s="2780">
        <f>IF(D36="正常操作",I106+I107+I108,I107+I108)</f>
        <v>0</v>
      </c>
      <c r="E108" s="1428"/>
      <c r="F108" s="3487" t="s">
        <v>2748</v>
      </c>
      <c r="G108" s="3488"/>
      <c r="H108" s="2781" t="str">
        <f>C111</f>
        <v>总额（万元）</v>
      </c>
      <c r="I108" s="52">
        <f>C38</f>
        <v>0</v>
      </c>
      <c r="J108" s="2806"/>
    </row>
    <row r="109" spans="1:36" ht="13">
      <c r="A109" s="3487" t="s">
        <v>2722</v>
      </c>
      <c r="B109" s="3488"/>
      <c r="C109" s="2781" t="str">
        <f>C108</f>
        <v>总额（万元）</v>
      </c>
      <c r="D109" s="52">
        <f>IF(D36="同一抵押权人同一抵押物续贷",C36&amp;"（未扣减，详见特别提示）",C36)</f>
        <v>0</v>
      </c>
      <c r="E109" s="1428"/>
      <c r="F109" s="3485"/>
      <c r="G109" s="3486"/>
      <c r="H109" s="3519"/>
      <c r="I109" s="3520"/>
      <c r="J109" s="2824"/>
    </row>
    <row r="110" spans="1:36" ht="28.5" customHeight="1">
      <c r="A110" s="3487" t="s">
        <v>2746</v>
      </c>
      <c r="B110" s="3488"/>
      <c r="C110" s="2781" t="str">
        <f>C108</f>
        <v>总额（万元）</v>
      </c>
      <c r="D110" s="52">
        <f>C37</f>
        <v>0</v>
      </c>
      <c r="E110" s="1428"/>
      <c r="F110" s="3468" t="str">
        <f>IF(项目基本情况!F5="已注销","——","3.房地产抵押价值")</f>
        <v>3.房地产抵押价值</v>
      </c>
      <c r="G110" s="3469"/>
      <c r="H110" s="2767" t="str">
        <f>C112</f>
        <v>总价（万元）</v>
      </c>
      <c r="I110" s="2780">
        <f ca="1">IF(F110="——","——",I102-I105)</f>
        <v>196</v>
      </c>
      <c r="J110" s="2822"/>
    </row>
    <row r="111" spans="1:36" ht="13">
      <c r="A111" s="3487" t="s">
        <v>2725</v>
      </c>
      <c r="B111" s="3488"/>
      <c r="C111" s="2781" t="str">
        <f>C108</f>
        <v>总额（万元）</v>
      </c>
      <c r="D111" s="52">
        <f>C38</f>
        <v>0</v>
      </c>
      <c r="E111" s="1428"/>
      <c r="F111" s="3470"/>
      <c r="G111" s="3471"/>
      <c r="H111" s="2779" t="s">
        <v>2720</v>
      </c>
      <c r="I111" s="2783">
        <f ca="1">D113</f>
        <v>18135</v>
      </c>
      <c r="J111" s="2825"/>
    </row>
    <row r="112" spans="1:36" ht="26.25" customHeight="1">
      <c r="A112" s="3485" t="str">
        <f>IF(项目基本情况!F5="已注销","——","3.房地产抵押价值")</f>
        <v>3.房地产抵押价值</v>
      </c>
      <c r="B112" s="3486"/>
      <c r="C112" s="2779" t="str">
        <f>B101</f>
        <v>总价（万元）</v>
      </c>
      <c r="D112" s="2780">
        <f ca="1">IF(A112="——","——",D106-D108)</f>
        <v>196</v>
      </c>
      <c r="E112" s="1428"/>
      <c r="F112" s="3468" t="str">
        <f>IF(项目基本情况!F5="已注销及未注销","4.抵押担保权已注销时的房地产抵押价值",IF(项目基本情况!F5="已注销","3.抵押担保权已注销时的房地产抵押价值","——"))</f>
        <v>——</v>
      </c>
      <c r="G112" s="3469"/>
      <c r="H112" s="2767" t="str">
        <f>C114</f>
        <v>总价（万元）</v>
      </c>
      <c r="I112" s="2780" t="str">
        <f>IF(F112="——","——",I102-I107-I108)</f>
        <v>——</v>
      </c>
      <c r="J112" s="2822"/>
    </row>
    <row r="113" spans="1:16" ht="13">
      <c r="A113" s="3485"/>
      <c r="B113" s="3486"/>
      <c r="C113" s="2779" t="s">
        <v>2713</v>
      </c>
      <c r="D113" s="52">
        <f ca="1">ROUND(IF(D112=D106,D107,IF(H19="元",D112/项目基本情况!C12,D112*10000/项目基本情况!C12)),0)</f>
        <v>18135</v>
      </c>
      <c r="E113" s="1428"/>
      <c r="F113" s="3470"/>
      <c r="G113" s="3471"/>
      <c r="H113" s="2779" t="s">
        <v>2749</v>
      </c>
      <c r="I113" s="52" t="str">
        <f>D115</f>
        <v>——</v>
      </c>
      <c r="J113" s="2806"/>
    </row>
    <row r="114" spans="1:16" ht="13">
      <c r="A114" s="3485" t="str">
        <f>IF(项目基本情况!F5="已注销及未注销","4.抵押担保权已注销时的房地产抵押价值",IF(项目基本情况!F5="已注销","3.抵押担保权已注销时的房地产抵押价值","——"))</f>
        <v>——</v>
      </c>
      <c r="B114" s="3486"/>
      <c r="C114" s="2779" t="str">
        <f>B101</f>
        <v>总价（万元）</v>
      </c>
      <c r="D114" s="2780" t="str">
        <f>IF(A114="——","——",D106-D110-D111)</f>
        <v>——</v>
      </c>
      <c r="E114" s="1428"/>
      <c r="F114" s="3468" t="str">
        <f>IF(项目基本情况!G5="抵押净值",IF(OR(项目基本情况!F5="已注销",项目基本情况!F5="房地产抵押价值"),"4.抵押净值","5.抵押净值"),"——")</f>
        <v>——</v>
      </c>
      <c r="G114" s="3469"/>
      <c r="H114" s="2779" t="str">
        <f>C116</f>
        <v>总价（万元）</v>
      </c>
      <c r="I114" s="2780" t="str">
        <f>IF(F114="——","——",O59)</f>
        <v>——</v>
      </c>
      <c r="J114" s="2822"/>
    </row>
    <row r="115" spans="1:16" ht="13.5" thickBot="1">
      <c r="A115" s="3485"/>
      <c r="B115" s="3486"/>
      <c r="C115" s="2779" t="s">
        <v>2713</v>
      </c>
      <c r="D115" s="52" t="str">
        <f>IF(A114="——","——",ROUND(IF(D114=D106,D107,IF(H19="元",D114/项目基本情况!C12,D114*10000/项目基本情况!C12)),0))</f>
        <v>——</v>
      </c>
      <c r="E115" s="1428"/>
      <c r="F115" s="3548"/>
      <c r="G115" s="3549"/>
      <c r="H115" s="2784" t="s">
        <v>2713</v>
      </c>
      <c r="I115" s="2768" t="str">
        <f ca="1">D117</f>
        <v>——</v>
      </c>
      <c r="J115" s="2806"/>
    </row>
    <row r="116" spans="1:16" ht="15.5">
      <c r="A116" s="3485" t="str">
        <f>IF(项目基本情况!G5="抵押净值",IF(OR(项目基本情况!F5="已注销",项目基本情况!F5="房地产抵押价值"),"4.抵押净值","5.抵押净值"),"——")</f>
        <v>——</v>
      </c>
      <c r="B116" s="3486"/>
      <c r="C116" s="2779" t="str">
        <f>B101</f>
        <v>总价（万元）</v>
      </c>
      <c r="D116" s="2780" t="str">
        <f>IF(A116="——","——",O59)</f>
        <v>——</v>
      </c>
      <c r="E116" s="1428"/>
      <c r="F116" s="3463"/>
      <c r="G116" s="3463"/>
      <c r="H116" s="3504"/>
      <c r="I116" s="3504"/>
      <c r="J116" s="2826"/>
      <c r="O116" s="32"/>
      <c r="P116" s="32"/>
    </row>
    <row r="117" spans="1:16" ht="13.5" thickBot="1">
      <c r="A117" s="3554"/>
      <c r="B117" s="3555"/>
      <c r="C117" s="2784" t="s">
        <v>2713</v>
      </c>
      <c r="D117" s="2768" t="str">
        <f ca="1">IF(D116=D112,D113,IF(A116="——","——",O61))</f>
        <v>——</v>
      </c>
      <c r="E117" s="1428"/>
      <c r="F117" s="3547" t="str">
        <f>IF(B32="总价","（以上估价结果中单价为总价除以建筑面积得出）","（以上估价结果中总价为楼面单价乘以建筑面积得出）")</f>
        <v>（以上估价结果中总价为楼面单价乘以建筑面积得出）</v>
      </c>
      <c r="G117" s="3547"/>
      <c r="H117" s="3547"/>
      <c r="I117" s="3547"/>
      <c r="J117" s="2827"/>
      <c r="O117" s="32"/>
      <c r="P117" s="32"/>
    </row>
    <row r="118" spans="1:16" ht="14">
      <c r="A118" s="3505" t="s">
        <v>1816</v>
      </c>
      <c r="B118" s="3506"/>
      <c r="C118" s="3506"/>
      <c r="D118" s="3506"/>
      <c r="E118" s="3506"/>
      <c r="F118" s="3506"/>
      <c r="G118" s="3506"/>
      <c r="H118" s="3506"/>
      <c r="I118" s="3506"/>
      <c r="J118" s="2828"/>
    </row>
    <row r="119" spans="1:16" ht="12.5">
      <c r="A119" s="3478" t="s">
        <v>2731</v>
      </c>
      <c r="B119" s="3476" t="s">
        <v>2741</v>
      </c>
      <c r="C119" s="3476" t="s">
        <v>2742</v>
      </c>
      <c r="D119" s="3483" t="s">
        <v>2733</v>
      </c>
      <c r="E119" s="3484"/>
      <c r="F119" s="3474" t="s">
        <v>2743</v>
      </c>
      <c r="G119" s="3474"/>
      <c r="H119" s="3474" t="s">
        <v>2734</v>
      </c>
      <c r="I119" s="3475"/>
      <c r="J119" s="2806"/>
    </row>
    <row r="120" spans="1:16" ht="13">
      <c r="A120" s="3478"/>
      <c r="B120" s="3477"/>
      <c r="C120" s="3477"/>
      <c r="D120" s="2055" t="s">
        <v>2735</v>
      </c>
      <c r="E120" s="2055" t="s">
        <v>2740</v>
      </c>
      <c r="F120" s="2055" t="s">
        <v>2735</v>
      </c>
      <c r="G120" s="2055" t="s">
        <v>2736</v>
      </c>
      <c r="H120" s="2055" t="s">
        <v>2735</v>
      </c>
      <c r="I120" s="52" t="s">
        <v>2736</v>
      </c>
      <c r="J120" s="2806"/>
    </row>
    <row r="121" spans="1:16" ht="12.5">
      <c r="A121" s="2045" t="str">
        <f>项目基本情况!I1</f>
        <v>北京市房地产</v>
      </c>
      <c r="B121" s="2055">
        <f>项目基本情况!C12</f>
        <v>108.17</v>
      </c>
      <c r="C121" s="2055">
        <f>项目基本情况!C13</f>
        <v>0</v>
      </c>
      <c r="D121" s="2055">
        <f ca="1">ROUND(IF(B32="总价",C34,IF('数据-取费表'!B3="万元",E121*B121/10000,E121*B121)),0)</f>
        <v>128</v>
      </c>
      <c r="E121" s="2055">
        <f ca="1">ROUND(IF(B32="楼面单价",C34,IF(H19="元",D121/B121,D121*10000/B121)),0)</f>
        <v>11806</v>
      </c>
      <c r="F121" s="2055">
        <f ca="1">ROUND(IF(B32="总价",C35,IF('数据-取费表'!B3="万元",G121*B121/10000,G121*B121)),0)</f>
        <v>68</v>
      </c>
      <c r="G121" s="2055">
        <f ca="1">ROUND(IF(B32="楼面单价",C35,IF(H19="元",F121/B121,F121*10000/B121)),0)</f>
        <v>6329</v>
      </c>
      <c r="H121" s="2055">
        <f ca="1">ROUND(IF(B32="总价",C32,IF('数据-取费表'!B3="万元",I121*B121/10000,I121*B121)),0)</f>
        <v>196</v>
      </c>
      <c r="I121" s="52">
        <f ca="1">ROUND(IF(B32="楼面单价",C32,IF(H19="元",H121/B121,H121*10000/B121)),0)</f>
        <v>18135</v>
      </c>
      <c r="J121" s="2806"/>
    </row>
    <row r="122" spans="1:16" ht="12.5">
      <c r="A122" s="3478" t="s">
        <v>2737</v>
      </c>
      <c r="B122" s="3474"/>
      <c r="C122" s="3474"/>
      <c r="D122" s="3509" t="str">
        <f ca="1">IF(H19="元",NUMBERSTRING(INT(D121),2)&amp;"元整",NUMBERSTRING(INT(D121*10000),2)&amp;"元整")</f>
        <v>壹佰贰拾捌万元整</v>
      </c>
      <c r="E122" s="3510"/>
      <c r="F122" s="3509" t="str">
        <f ca="1">IF(H19="元",NUMBERSTRING(INT(F121),2)&amp;"元整",NUMBERSTRING(INT(F121*10000),2)&amp;"元整")</f>
        <v>陆拾捌万元整</v>
      </c>
      <c r="G122" s="3510"/>
      <c r="H122" s="3509" t="str">
        <f ca="1">IF(H19="元",NUMBERSTRING(INT(H121),2)&amp;"元整",NUMBERSTRING(INT(H121*10000),2)&amp;"元整")</f>
        <v>壹佰玖拾陆万元整</v>
      </c>
      <c r="I122" s="3558"/>
      <c r="J122" s="2829"/>
    </row>
    <row r="123" spans="1:16" ht="13">
      <c r="A123" s="3498" t="str">
        <f>IF(项目基本情况!D5="房地产市场价值","——",MID(A108,3,LEN(A108)-2))</f>
        <v>估价师所知悉的法定优先受偿款</v>
      </c>
      <c r="B123" s="3511"/>
      <c r="C123" s="3500"/>
      <c r="D123" s="3502">
        <f>I105</f>
        <v>0</v>
      </c>
      <c r="E123" s="3511"/>
      <c r="F123" s="3511"/>
      <c r="G123" s="3511"/>
      <c r="H123" s="3511"/>
      <c r="I123" s="3499"/>
      <c r="J123" s="2822"/>
    </row>
    <row r="124" spans="1:16" ht="12.5">
      <c r="A124" s="3512" t="s">
        <v>2737</v>
      </c>
      <c r="B124" s="3513"/>
      <c r="C124" s="3514"/>
      <c r="D124" s="3550">
        <f>H109</f>
        <v>0</v>
      </c>
      <c r="E124" s="3551"/>
      <c r="F124" s="3551"/>
      <c r="G124" s="3551"/>
      <c r="H124" s="3551"/>
      <c r="I124" s="3552"/>
      <c r="J124" s="2830"/>
    </row>
    <row r="125" spans="1:16" ht="13">
      <c r="A125" s="3485" t="str">
        <f>IF(项目基本情况!D5="房地产市场价值","——",MID(A112,3,LEN(A112)-2))</f>
        <v>房地产抵押价值</v>
      </c>
      <c r="B125" s="3486"/>
      <c r="C125" s="3486"/>
      <c r="D125" s="3502">
        <f ca="1">I110</f>
        <v>196</v>
      </c>
      <c r="E125" s="3511"/>
      <c r="F125" s="3511"/>
      <c r="G125" s="3511"/>
      <c r="H125" s="3511"/>
      <c r="I125" s="3499"/>
      <c r="J125" s="2822"/>
    </row>
    <row r="126" spans="1:16" ht="12.5">
      <c r="A126" s="3478" t="s">
        <v>2737</v>
      </c>
      <c r="B126" s="3474"/>
      <c r="C126" s="3474"/>
      <c r="D126" s="3550">
        <f ca="1">I111</f>
        <v>18135</v>
      </c>
      <c r="E126" s="3551"/>
      <c r="F126" s="3551"/>
      <c r="G126" s="3551"/>
      <c r="H126" s="3551"/>
      <c r="I126" s="3552"/>
      <c r="J126" s="2830"/>
    </row>
    <row r="127" spans="1:16" ht="13.5" thickBot="1">
      <c r="A127" s="3485" t="str">
        <f>IF(项目基本情况!D5="房地产市场价值","——",MID(A114,3,LEN(A114)-2))</f>
        <v/>
      </c>
      <c r="B127" s="3486"/>
      <c r="C127" s="3486"/>
      <c r="D127" s="3458" t="str">
        <f>I112</f>
        <v>——</v>
      </c>
      <c r="E127" s="3459"/>
      <c r="F127" s="3459"/>
      <c r="G127" s="3459"/>
      <c r="H127" s="3459"/>
      <c r="I127" s="3460"/>
      <c r="J127" s="2822"/>
    </row>
    <row r="128" spans="1:16" ht="13.5" thickTop="1" thickBot="1">
      <c r="A128" s="3478" t="s">
        <v>2737</v>
      </c>
      <c r="B128" s="3474"/>
      <c r="C128" s="3525"/>
      <c r="D128" s="3503" t="str">
        <f>I113</f>
        <v>——</v>
      </c>
      <c r="E128" s="3503"/>
      <c r="F128" s="3503"/>
      <c r="G128" s="3503"/>
      <c r="H128" s="3503"/>
      <c r="I128" s="3503"/>
      <c r="J128" s="2830"/>
    </row>
    <row r="129" spans="1:10" ht="14" thickTop="1" thickBot="1">
      <c r="A129" s="3485" t="str">
        <f>IF(项目基本情况!D5="房地产市场价值","——",MID(F114,3,LEN(F114)-2))</f>
        <v/>
      </c>
      <c r="B129" s="3486"/>
      <c r="C129" s="3502"/>
      <c r="D129" s="3553" t="str">
        <f>I114</f>
        <v>——</v>
      </c>
      <c r="E129" s="3553"/>
      <c r="F129" s="3553"/>
      <c r="G129" s="3553"/>
      <c r="H129" s="3553"/>
      <c r="I129" s="3553"/>
      <c r="J129" s="2822"/>
    </row>
    <row r="130" spans="1:10" ht="13.5" thickTop="1" thickBot="1">
      <c r="A130" s="3541" t="s">
        <v>2737</v>
      </c>
      <c r="B130" s="3542"/>
      <c r="C130" s="3542"/>
      <c r="D130" s="3559">
        <f>H116</f>
        <v>0</v>
      </c>
      <c r="E130" s="3560"/>
      <c r="F130" s="3560"/>
      <c r="G130" s="3560"/>
      <c r="H130" s="3560"/>
      <c r="I130" s="3561"/>
      <c r="J130" s="2830"/>
    </row>
    <row r="131" spans="1:10" ht="12.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 thickBot="1">
      <c r="A132" s="3546" t="str">
        <f>IF(B32="总价","（以上估价结果中楼面单价为总价除以建筑面积得出）","（以上估价结果中总价为楼面单价乘以建筑面积得出）")</f>
        <v>（以上估价结果中总价为楼面单价乘以建筑面积得出）</v>
      </c>
      <c r="B132" s="3546"/>
      <c r="C132" s="3546"/>
      <c r="D132" s="3546"/>
      <c r="E132" s="3546"/>
      <c r="F132" s="3546"/>
      <c r="G132" s="3546"/>
      <c r="H132" s="3546"/>
      <c r="I132" s="3546"/>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328125" defaultRowHeight="21.75" customHeight="1"/>
  <cols>
    <col min="1" max="1" width="12.6328125" style="1429"/>
    <col min="2" max="2" width="17.6328125" style="1429" customWidth="1"/>
    <col min="3" max="4" width="12.6328125" style="1429" customWidth="1"/>
    <col min="5" max="9" width="12.6328125" style="1429"/>
    <col min="10" max="10" width="4.0898437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1824</v>
      </c>
      <c r="B1" s="1428"/>
      <c r="C1" s="1428"/>
      <c r="D1" s="1428"/>
      <c r="E1" s="1428"/>
      <c r="F1" s="1428"/>
      <c r="G1" s="1428"/>
      <c r="H1" s="1428"/>
      <c r="I1" s="1428"/>
    </row>
    <row r="2" spans="1:15" ht="21.75" customHeight="1">
      <c r="A2" s="3568" t="s">
        <v>1825</v>
      </c>
      <c r="B2" s="3568"/>
      <c r="C2" s="3568"/>
      <c r="D2" s="3568"/>
      <c r="E2" s="3568"/>
      <c r="F2" s="3568"/>
      <c r="G2" s="3568"/>
      <c r="H2" s="3568"/>
      <c r="I2" s="3568"/>
      <c r="J2" s="2835"/>
    </row>
    <row r="3" spans="1:15" ht="13">
      <c r="A3" s="3528" t="s">
        <v>1653</v>
      </c>
      <c r="B3" s="3529"/>
      <c r="C3" s="3529"/>
      <c r="D3" s="3529"/>
      <c r="E3" s="3529"/>
      <c r="F3" s="3529"/>
      <c r="G3" s="3529"/>
      <c r="H3" s="3529"/>
      <c r="I3" s="3529"/>
      <c r="J3" s="2805"/>
    </row>
    <row r="4" spans="1:15" ht="14">
      <c r="A4" s="2673" t="s">
        <v>1654</v>
      </c>
      <c r="B4" s="2673" t="s">
        <v>1655</v>
      </c>
      <c r="C4" s="2674" t="s">
        <v>3006</v>
      </c>
      <c r="D4" s="2674" t="s">
        <v>3007</v>
      </c>
      <c r="E4" s="3525" t="s">
        <v>1826</v>
      </c>
      <c r="F4" s="3513"/>
      <c r="G4" s="3513"/>
      <c r="H4" s="3513"/>
      <c r="I4" s="3514"/>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
      <c r="A5" s="3524" t="s">
        <v>1657</v>
      </c>
      <c r="B5" s="3524">
        <v>25</v>
      </c>
      <c r="C5" s="3530"/>
      <c r="D5" s="3527"/>
      <c r="E5" s="12" t="s">
        <v>1658</v>
      </c>
      <c r="F5" s="2052"/>
      <c r="G5" s="2052"/>
      <c r="H5" s="2052"/>
      <c r="I5" s="2047"/>
      <c r="J5" s="2806"/>
    </row>
    <row r="6" spans="1:15" ht="13">
      <c r="A6" s="3524"/>
      <c r="B6" s="3524"/>
      <c r="C6" s="3531"/>
      <c r="D6" s="3527"/>
      <c r="E6" s="12" t="s">
        <v>1659</v>
      </c>
      <c r="F6" s="2052"/>
      <c r="G6" s="2052"/>
      <c r="H6" s="2052"/>
      <c r="I6" s="2047"/>
      <c r="J6" s="2806"/>
    </row>
    <row r="7" spans="1:15" ht="13">
      <c r="A7" s="3524"/>
      <c r="B7" s="3524"/>
      <c r="C7" s="3532"/>
      <c r="D7" s="3527"/>
      <c r="E7" s="12" t="s">
        <v>1660</v>
      </c>
      <c r="F7" s="2052"/>
      <c r="G7" s="2052"/>
      <c r="H7" s="2052"/>
      <c r="I7" s="2047"/>
      <c r="J7" s="2806"/>
    </row>
    <row r="8" spans="1:15" ht="13">
      <c r="A8" s="3524" t="s">
        <v>1661</v>
      </c>
      <c r="B8" s="3524">
        <v>15</v>
      </c>
      <c r="C8" s="3530"/>
      <c r="D8" s="3527"/>
      <c r="E8" s="12" t="s">
        <v>1662</v>
      </c>
      <c r="F8" s="2052"/>
      <c r="G8" s="2052"/>
      <c r="H8" s="2052"/>
      <c r="I8" s="2047"/>
      <c r="J8" s="2806"/>
    </row>
    <row r="9" spans="1:15" ht="13">
      <c r="A9" s="3524"/>
      <c r="B9" s="3524"/>
      <c r="C9" s="3532"/>
      <c r="D9" s="3527"/>
      <c r="E9" s="12" t="s">
        <v>1663</v>
      </c>
      <c r="F9" s="2052"/>
      <c r="G9" s="2052"/>
      <c r="H9" s="2052"/>
      <c r="I9" s="2047"/>
      <c r="J9" s="2806"/>
    </row>
    <row r="10" spans="1:15" ht="13">
      <c r="A10" s="3524" t="s">
        <v>1664</v>
      </c>
      <c r="B10" s="3524">
        <v>15</v>
      </c>
      <c r="C10" s="3530"/>
      <c r="D10" s="3527"/>
      <c r="E10" s="12" t="s">
        <v>1665</v>
      </c>
      <c r="F10" s="2052"/>
      <c r="G10" s="2052"/>
      <c r="H10" s="2052"/>
      <c r="I10" s="2047"/>
      <c r="J10" s="2806"/>
    </row>
    <row r="11" spans="1:15" ht="13">
      <c r="A11" s="3524"/>
      <c r="B11" s="3524"/>
      <c r="C11" s="3532"/>
      <c r="D11" s="3527"/>
      <c r="E11" s="12" t="s">
        <v>1666</v>
      </c>
      <c r="F11" s="2052"/>
      <c r="G11" s="2052"/>
      <c r="H11" s="2052"/>
      <c r="I11" s="2047"/>
      <c r="J11" s="2806"/>
    </row>
    <row r="12" spans="1:15" ht="13">
      <c r="A12" s="3524" t="s">
        <v>1667</v>
      </c>
      <c r="B12" s="3524">
        <v>15</v>
      </c>
      <c r="C12" s="3530"/>
      <c r="D12" s="3527"/>
      <c r="E12" s="12" t="s">
        <v>1668</v>
      </c>
      <c r="F12" s="2052"/>
      <c r="G12" s="2052"/>
      <c r="H12" s="2052"/>
      <c r="I12" s="2047"/>
      <c r="J12" s="2806"/>
    </row>
    <row r="13" spans="1:15" ht="13">
      <c r="A13" s="3524"/>
      <c r="B13" s="3524"/>
      <c r="C13" s="3532"/>
      <c r="D13" s="3527"/>
      <c r="E13" s="12" t="s">
        <v>1669</v>
      </c>
      <c r="F13" s="2052"/>
      <c r="G13" s="2052"/>
      <c r="H13" s="2052"/>
      <c r="I13" s="2047"/>
      <c r="J13" s="2806"/>
    </row>
    <row r="14" spans="1:15" ht="13">
      <c r="A14" s="3524" t="s">
        <v>1670</v>
      </c>
      <c r="B14" s="3524">
        <v>30</v>
      </c>
      <c r="C14" s="3530">
        <v>7</v>
      </c>
      <c r="D14" s="3527">
        <v>3</v>
      </c>
      <c r="E14" s="12" t="s">
        <v>1671</v>
      </c>
      <c r="F14" s="2052"/>
      <c r="G14" s="2052"/>
      <c r="H14" s="2052"/>
      <c r="I14" s="2047"/>
      <c r="J14" s="2806"/>
    </row>
    <row r="15" spans="1:15" ht="13">
      <c r="A15" s="3524"/>
      <c r="B15" s="3524"/>
      <c r="C15" s="3531"/>
      <c r="D15" s="3527"/>
      <c r="E15" s="12" t="s">
        <v>1672</v>
      </c>
      <c r="F15" s="2052"/>
      <c r="G15" s="2052"/>
      <c r="H15" s="2052"/>
      <c r="I15" s="2047"/>
      <c r="J15" s="2806"/>
    </row>
    <row r="16" spans="1:15" ht="13">
      <c r="A16" s="3524"/>
      <c r="B16" s="3524"/>
      <c r="C16" s="3532"/>
      <c r="D16" s="3527"/>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2.5" customHeight="1" thickBot="1">
      <c r="A18" s="2677" t="s">
        <v>1675</v>
      </c>
      <c r="B18" s="2678"/>
      <c r="C18" s="2679">
        <f>ROUND(C17/SUM(C17:D17),2)</f>
        <v>0.7</v>
      </c>
      <c r="D18" s="2679">
        <f>1-C18</f>
        <v>0.30000000000000004</v>
      </c>
      <c r="E18" s="3544" t="s">
        <v>2756</v>
      </c>
      <c r="F18" s="3545"/>
      <c r="G18" s="3545"/>
      <c r="H18" s="3545"/>
      <c r="I18" s="3545"/>
      <c r="J18" s="2807"/>
    </row>
    <row r="19" spans="1:36" ht="14">
      <c r="A19" s="2680" t="s">
        <v>1676</v>
      </c>
      <c r="B19" s="2681" t="s">
        <v>1677</v>
      </c>
      <c r="C19" s="2682">
        <f ca="1">SUMIF(INDIRECT("'"&amp;C4&amp;"'"&amp;"!A:A"),'结果表 (1修多)'!B19,INDIRECT("'"&amp;C4&amp;"'"&amp;"!B:B"))</f>
        <v>0</v>
      </c>
      <c r="D19" s="2683">
        <f ca="1">SUMIF(INDIRECT("'"&amp;D4&amp;"'"&amp;"!A:A"),'结果表 (1修多)'!B19,INDIRECT("'"&amp;D4&amp;"'"&amp;"!B:B"))</f>
        <v>142</v>
      </c>
      <c r="E19" s="2680" t="s">
        <v>1678</v>
      </c>
      <c r="F19" s="2681" t="s">
        <v>1677</v>
      </c>
      <c r="G19" s="2684">
        <f ca="1">ROUND(C19*$C$18+D19*$D$18,0)</f>
        <v>43</v>
      </c>
      <c r="H19" s="2685" t="str">
        <f>'数据-取费表'!B3</f>
        <v>万元</v>
      </c>
      <c r="I19" s="2526"/>
      <c r="J19" s="2807"/>
    </row>
    <row r="20" spans="1:36" ht="14">
      <c r="A20" s="2686"/>
      <c r="B20" s="1660" t="s">
        <v>1679</v>
      </c>
      <c r="C20" s="1882">
        <f ca="1">SUMIF(INDIRECT("'"&amp;C4&amp;"'"&amp;"!A:A"),'结果表 (1修多)'!B20,INDIRECT("'"&amp;C4&amp;"'"&amp;"!B:B"))</f>
        <v>27396</v>
      </c>
      <c r="D20" s="1885">
        <f ca="1">SUMIF(INDIRECT("'"&amp;D4&amp;"'"&amp;"!A:A"),'结果表 (1修多)'!B20,INDIRECT("'"&amp;D4&amp;"'"&amp;"!B:B"))</f>
        <v>13143</v>
      </c>
      <c r="E20" s="2686"/>
      <c r="F20" s="1660" t="s">
        <v>1679</v>
      </c>
      <c r="G20" s="2056">
        <f ca="1">ROUND(C20*$C$18+D20*$D$18,0)</f>
        <v>23120</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t="e">
        <f ca="1">IF(C19&lt;D19,D19/C19-1,C19/D19-1)</f>
        <v>#DIV/0!</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533" t="s">
        <v>1682</v>
      </c>
      <c r="B24" s="2681" t="s">
        <v>1677</v>
      </c>
      <c r="C24" s="2684">
        <f>D30</f>
        <v>0</v>
      </c>
      <c r="D24" s="2637"/>
      <c r="E24" s="945"/>
      <c r="F24" s="945"/>
      <c r="G24" s="945"/>
      <c r="H24" s="945"/>
      <c r="I24" s="945"/>
      <c r="J24" s="2807"/>
    </row>
    <row r="25" spans="1:36" ht="21.75" customHeight="1">
      <c r="A25" s="3534"/>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t="s">
        <v>1827</v>
      </c>
      <c r="B27" s="2699">
        <v>0</v>
      </c>
      <c r="C27" s="2699">
        <v>0</v>
      </c>
      <c r="D27" s="2700">
        <f>ROUND(C27*B27/10000,0)</f>
        <v>0</v>
      </c>
      <c r="E27" s="945"/>
      <c r="F27" s="945"/>
      <c r="G27" s="945"/>
      <c r="H27" s="945"/>
      <c r="I27" s="945"/>
      <c r="J27" s="2807"/>
    </row>
    <row r="28" spans="1:36" ht="14">
      <c r="A28" s="2698"/>
      <c r="B28" s="2699"/>
      <c r="C28" s="2699"/>
      <c r="D28" s="2700">
        <f>ROUND(C28*B28/10000,0)</f>
        <v>0</v>
      </c>
      <c r="E28" s="945"/>
      <c r="F28" s="945"/>
      <c r="G28" s="945"/>
      <c r="H28" s="945"/>
      <c r="I28" s="945"/>
      <c r="J28" s="2807"/>
    </row>
    <row r="29" spans="1:36" ht="14">
      <c r="A29" s="2698"/>
      <c r="B29" s="2699"/>
      <c r="C29" s="2699"/>
      <c r="D29" s="2700">
        <f t="shared" ref="D29" si="0">ROUND(C29*B29/10000,0)</f>
        <v>0</v>
      </c>
      <c r="E29" s="945"/>
      <c r="F29" s="945"/>
      <c r="G29" s="945"/>
      <c r="H29" s="945"/>
      <c r="I29" s="945"/>
      <c r="J29" s="2807"/>
    </row>
    <row r="30" spans="1:36" ht="14.5" thickBot="1">
      <c r="A30" s="2734" t="s">
        <v>1828</v>
      </c>
      <c r="B30" s="2735"/>
      <c r="C30" s="2735"/>
      <c r="D30" s="2735"/>
      <c r="E30" s="2702" t="s">
        <v>2760</v>
      </c>
      <c r="F30" s="2526"/>
      <c r="G30" s="2526"/>
      <c r="H30" s="2526"/>
      <c r="I30" s="2526"/>
      <c r="J30" s="2807"/>
    </row>
    <row r="31" spans="1:36" s="2800" customFormat="1" ht="27.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5" thickTop="1" thickBot="1">
      <c r="A32" s="3590" t="s">
        <v>1829</v>
      </c>
      <c r="B32" s="3590"/>
      <c r="C32" s="3590"/>
      <c r="D32" s="3590"/>
      <c r="E32" s="3590"/>
      <c r="F32" s="3590"/>
      <c r="G32" s="3590"/>
      <c r="H32" s="3590"/>
      <c r="I32" s="3590"/>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
      <c r="A33" s="1478"/>
      <c r="B33" s="2736" t="s">
        <v>1830</v>
      </c>
      <c r="C33" s="2737">
        <f ca="1">典型户型修正!R27</f>
        <v>18135</v>
      </c>
      <c r="D33" s="2526" t="s">
        <v>1831</v>
      </c>
      <c r="E33" s="945"/>
      <c r="F33" s="945"/>
      <c r="G33" s="945"/>
      <c r="H33" s="945"/>
      <c r="I33" s="945"/>
      <c r="J33" s="2807"/>
    </row>
    <row r="34" spans="1:16" ht="14">
      <c r="A34" s="1479" t="s">
        <v>1832</v>
      </c>
      <c r="B34" s="2738" t="s">
        <v>1833</v>
      </c>
      <c r="C34" s="2739">
        <f ca="1">典型户型修正!B2</f>
        <v>195</v>
      </c>
      <c r="D34" s="2740" t="str">
        <f>IF('数据-取费表'!B3="万元","万元","元")</f>
        <v>万元</v>
      </c>
      <c r="E34" s="945"/>
      <c r="F34" s="945"/>
      <c r="G34" s="945"/>
      <c r="H34" s="945"/>
      <c r="I34" s="945"/>
      <c r="J34" s="2807"/>
    </row>
    <row r="35" spans="1:16" ht="14.5" thickBot="1">
      <c r="A35" s="1480"/>
      <c r="B35" s="2741" t="s">
        <v>1834</v>
      </c>
      <c r="C35" s="2690">
        <f ca="1">典型户型修正!B3</f>
        <v>18027</v>
      </c>
      <c r="D35" s="2526" t="s">
        <v>1835</v>
      </c>
      <c r="E35" s="945"/>
      <c r="F35" s="945"/>
      <c r="G35" s="945"/>
      <c r="H35" s="945"/>
      <c r="I35" s="945"/>
      <c r="J35" s="2807"/>
    </row>
    <row r="36" spans="1:16" ht="14">
      <c r="A36" s="1481"/>
      <c r="B36" s="1435" t="s">
        <v>1836</v>
      </c>
      <c r="C36" s="2742">
        <f>IF('数据-取费表'!B3="万元",典型户型修正!V25,典型户型修正!U25)</f>
        <v>0</v>
      </c>
      <c r="D36" s="2526" t="str">
        <f>D34</f>
        <v>万元</v>
      </c>
      <c r="E36" s="945"/>
      <c r="F36" s="945"/>
      <c r="G36" s="945"/>
      <c r="H36" s="945"/>
      <c r="I36" s="945"/>
      <c r="J36" s="2807"/>
    </row>
    <row r="37" spans="1:16" ht="14.5" thickBot="1">
      <c r="A37" s="1434"/>
      <c r="B37" s="1436" t="s">
        <v>1837</v>
      </c>
      <c r="C37" s="2743">
        <f>IF('数据-取费表'!B3="万元",典型户型修正!Y25,典型户型修正!X25)</f>
        <v>0</v>
      </c>
      <c r="D37" s="2526" t="str">
        <f>D34</f>
        <v>万元</v>
      </c>
      <c r="E37" s="945"/>
      <c r="F37" s="945"/>
      <c r="G37" s="945"/>
      <c r="H37" s="945"/>
      <c r="I37" s="945"/>
      <c r="J37" s="2807"/>
    </row>
    <row r="38" spans="1:16" ht="14.5" thickBot="1">
      <c r="A38" s="3533" t="s">
        <v>1838</v>
      </c>
      <c r="B38" s="1435" t="s">
        <v>1839</v>
      </c>
      <c r="C38" s="2717"/>
      <c r="D38" s="2718"/>
      <c r="E38" s="1647"/>
      <c r="F38" s="1647"/>
      <c r="G38" s="945"/>
      <c r="H38" s="945"/>
      <c r="I38" s="945"/>
      <c r="J38" s="2807"/>
    </row>
    <row r="39" spans="1:16" ht="14.5" thickBot="1">
      <c r="A39" s="3538"/>
      <c r="B39" s="2057" t="s">
        <v>1840</v>
      </c>
      <c r="C39" s="2719"/>
      <c r="D39" s="1278"/>
      <c r="E39" s="1278"/>
      <c r="F39" s="1647"/>
      <c r="G39" s="1278"/>
      <c r="H39" s="1278"/>
      <c r="I39" s="1278"/>
      <c r="J39" s="2811"/>
    </row>
    <row r="40" spans="1:16" ht="14.5" thickBot="1">
      <c r="A40" s="3539"/>
      <c r="B40" s="1436" t="s">
        <v>1841</v>
      </c>
      <c r="C40" s="2720"/>
      <c r="D40" s="2721" t="s">
        <v>1842</v>
      </c>
      <c r="E40" s="1278"/>
      <c r="F40" s="1647"/>
      <c r="G40" s="1278"/>
      <c r="H40" s="1278"/>
      <c r="I40" s="1278"/>
      <c r="J40" s="2811"/>
    </row>
    <row r="41" spans="1:16" ht="14">
      <c r="A41" s="2686" t="s">
        <v>1843</v>
      </c>
      <c r="B41" s="2722" t="s">
        <v>1844</v>
      </c>
      <c r="C41" s="2723" t="s">
        <v>1845</v>
      </c>
      <c r="D41" s="2723" t="s">
        <v>1846</v>
      </c>
      <c r="E41" s="2724" t="s">
        <v>1847</v>
      </c>
      <c r="F41" s="1647"/>
      <c r="G41" s="1278"/>
      <c r="H41" s="1278"/>
      <c r="I41" s="1278"/>
      <c r="J41" s="2811"/>
    </row>
    <row r="42" spans="1:16" ht="14">
      <c r="A42" s="2725" t="s">
        <v>1848</v>
      </c>
      <c r="B42" s="2726"/>
      <c r="C42" s="2727"/>
      <c r="D42" s="2727"/>
      <c r="E42" s="2728"/>
      <c r="F42" s="1647"/>
      <c r="G42" s="1278"/>
      <c r="H42" s="1278"/>
      <c r="I42" s="1278"/>
      <c r="J42" s="2811"/>
    </row>
    <row r="43" spans="1:16" ht="14">
      <c r="A43" s="2725" t="s">
        <v>1849</v>
      </c>
      <c r="B43" s="2726"/>
      <c r="C43" s="2727"/>
      <c r="D43" s="2727"/>
      <c r="E43" s="2728"/>
      <c r="F43" s="1647"/>
      <c r="G43" s="1278"/>
      <c r="H43" s="1278"/>
      <c r="I43" s="1278"/>
      <c r="J43" s="2811"/>
    </row>
    <row r="44" spans="1:16" ht="14.5" thickBot="1">
      <c r="A44" s="2729"/>
      <c r="B44" s="2730"/>
      <c r="C44" s="2731"/>
      <c r="D44" s="2731"/>
      <c r="E44" s="2716"/>
      <c r="F44" s="1647"/>
      <c r="G44" s="1278"/>
      <c r="H44" s="1278"/>
      <c r="I44" s="1278"/>
      <c r="J44" s="2811"/>
    </row>
    <row r="45" spans="1:16" ht="12.5">
      <c r="A45" s="1448"/>
      <c r="B45" s="1448"/>
      <c r="C45" s="1448"/>
      <c r="D45" s="1448"/>
      <c r="E45" s="1448"/>
      <c r="F45" s="1404"/>
      <c r="G45" s="1404"/>
      <c r="H45" s="1404"/>
      <c r="I45" s="2732"/>
      <c r="J45" s="2812"/>
    </row>
    <row r="46" spans="1:16" ht="18">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458" t="s">
        <v>1851</v>
      </c>
      <c r="B47" s="3459"/>
      <c r="C47" s="3469"/>
      <c r="D47" s="246">
        <f ca="1">ROUND(I104*F47,0)</f>
        <v>195</v>
      </c>
      <c r="E47" s="1509" t="s">
        <v>1852</v>
      </c>
      <c r="F47" s="2524">
        <v>1</v>
      </c>
      <c r="G47" s="2525" t="s">
        <v>1853</v>
      </c>
      <c r="H47" s="945"/>
      <c r="I47" s="945"/>
      <c r="J47" s="2807"/>
      <c r="K47" s="3563" t="s">
        <v>1709</v>
      </c>
      <c r="L47" s="3563"/>
      <c r="M47" s="3563"/>
      <c r="N47" s="3563"/>
      <c r="O47" s="3563"/>
      <c r="P47" s="3563"/>
    </row>
    <row r="48" spans="1:16" ht="14.25" customHeight="1">
      <c r="A48" s="3535" t="s">
        <v>1710</v>
      </c>
      <c r="B48" s="3536"/>
      <c r="C48" s="3536"/>
      <c r="D48" s="3536"/>
      <c r="E48" s="3536"/>
      <c r="F48" s="3536"/>
      <c r="G48" s="3537"/>
      <c r="H48" s="2939"/>
      <c r="I48" s="945"/>
      <c r="J48" s="2807"/>
      <c r="K48" s="2476">
        <v>1</v>
      </c>
      <c r="L48" s="3564" t="s">
        <v>1711</v>
      </c>
      <c r="M48" s="3564"/>
      <c r="N48" s="3565"/>
      <c r="O48" s="3565"/>
      <c r="P48" s="3565"/>
    </row>
    <row r="49" spans="1:17" ht="12" customHeight="1">
      <c r="A49" s="38" t="s">
        <v>1712</v>
      </c>
      <c r="B49" s="39"/>
      <c r="C49" s="40"/>
      <c r="D49" s="1067" t="s">
        <v>1713</v>
      </c>
      <c r="E49" s="235" t="s">
        <v>1714</v>
      </c>
      <c r="F49" s="41" t="s">
        <v>1715</v>
      </c>
      <c r="G49" s="2527" t="s">
        <v>1716</v>
      </c>
      <c r="H49" s="2939"/>
      <c r="I49" s="945"/>
      <c r="J49" s="2807"/>
      <c r="K49" s="2476">
        <v>2</v>
      </c>
      <c r="L49" s="3564" t="s">
        <v>1717</v>
      </c>
      <c r="M49" s="3564"/>
      <c r="N49" s="3567">
        <f>'数据-取费表'!B2</f>
        <v>44688</v>
      </c>
      <c r="O49" s="3567"/>
      <c r="P49" s="3567"/>
    </row>
    <row r="50" spans="1:17" ht="26">
      <c r="A50" s="3540" t="s">
        <v>1718</v>
      </c>
      <c r="B50" s="3474"/>
      <c r="C50" s="3474"/>
      <c r="D50" s="12">
        <f ca="1">IF(H50="情况1",0,IF(H50="情况2",D54,IF(H50="情况3",D55,IF(H50="情况4",D56))))</f>
        <v>10</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64" t="s">
        <v>1721</v>
      </c>
      <c r="M50" s="3564"/>
      <c r="N50" s="3569">
        <f ca="1">I104</f>
        <v>195</v>
      </c>
      <c r="O50" s="3569"/>
      <c r="P50" s="3569"/>
    </row>
    <row r="51" spans="1:17" ht="25.5" customHeight="1">
      <c r="A51" s="2054" t="s">
        <v>1722</v>
      </c>
      <c r="B51" s="3513" t="s">
        <v>1723</v>
      </c>
      <c r="C51" s="3513"/>
      <c r="D51" s="2531">
        <v>0</v>
      </c>
      <c r="E51" s="261" t="s">
        <v>1724</v>
      </c>
      <c r="F51" s="2532" t="s">
        <v>48</v>
      </c>
      <c r="G51" s="3455"/>
      <c r="H51" s="2533" t="s">
        <v>2680</v>
      </c>
      <c r="I51" s="2534"/>
      <c r="J51" s="2815"/>
      <c r="K51" s="2476">
        <v>4</v>
      </c>
      <c r="L51" s="3564" t="str">
        <f>IF(项目基本情况!F5="房地产抵押价值","房地产抵押价值","抵押担保权已注销时的房地产抵押价值")</f>
        <v>房地产抵押价值</v>
      </c>
      <c r="M51" s="3564"/>
      <c r="N51" s="3569">
        <f ca="1">IF(项目基本情况!F5="房地产抵押价值",I112,I114)</f>
        <v>195</v>
      </c>
      <c r="O51" s="3569"/>
      <c r="P51" s="3569"/>
    </row>
    <row r="52" spans="1:17" ht="25.5" customHeight="1">
      <c r="A52" s="2044"/>
      <c r="B52" s="3513" t="s">
        <v>1725</v>
      </c>
      <c r="C52" s="3513"/>
      <c r="D52" s="2535"/>
      <c r="E52" s="269"/>
      <c r="F52" s="2532"/>
      <c r="G52" s="3456"/>
      <c r="H52" s="2536" t="s">
        <v>2681</v>
      </c>
      <c r="I52" s="2534"/>
      <c r="J52" s="2815"/>
      <c r="K52" s="3564" t="s">
        <v>1726</v>
      </c>
      <c r="L52" s="3564"/>
      <c r="M52" s="3564"/>
      <c r="N52" s="3564"/>
      <c r="O52" s="3564"/>
      <c r="P52" s="3564"/>
    </row>
    <row r="53" spans="1:17" ht="20.5" customHeight="1">
      <c r="A53" s="2537"/>
      <c r="B53" s="3513" t="s">
        <v>1727</v>
      </c>
      <c r="C53" s="3513"/>
      <c r="D53" s="1067"/>
      <c r="E53" s="264"/>
      <c r="F53" s="2532"/>
      <c r="G53" s="3457"/>
      <c r="H53" s="2536" t="s">
        <v>2682</v>
      </c>
      <c r="I53" s="2534"/>
      <c r="J53" s="2815"/>
      <c r="K53" s="2477" t="s">
        <v>1728</v>
      </c>
      <c r="L53" s="3564" t="s">
        <v>1729</v>
      </c>
      <c r="M53" s="3564"/>
      <c r="N53" s="2477" t="s">
        <v>1730</v>
      </c>
      <c r="O53" s="2477" t="s">
        <v>1731</v>
      </c>
      <c r="P53" s="2477" t="s">
        <v>1732</v>
      </c>
    </row>
    <row r="54" spans="1:17" ht="24" customHeight="1">
      <c r="A54" s="2045" t="s">
        <v>1733</v>
      </c>
      <c r="B54" s="3513" t="s">
        <v>1734</v>
      </c>
      <c r="C54" s="3513"/>
      <c r="D54" s="1067">
        <f ca="1">ROUND(D47*'数据-取费表'!E29/(1+'数据-取费表'!F30),0)</f>
        <v>10</v>
      </c>
      <c r="E54" s="2055" t="s">
        <v>1735</v>
      </c>
      <c r="F54" s="2538">
        <f>'数据-取费表'!E29</f>
        <v>5.5000000000000007E-2</v>
      </c>
      <c r="G54" s="2539"/>
      <c r="H54" s="945"/>
      <c r="I54" s="2940"/>
      <c r="J54" s="2815"/>
      <c r="K54" s="2476">
        <v>1</v>
      </c>
      <c r="L54" s="3566" t="s">
        <v>1736</v>
      </c>
      <c r="M54" s="3566"/>
      <c r="N54" s="2478">
        <f ca="1">D50</f>
        <v>10</v>
      </c>
      <c r="O54" s="2476" t="str">
        <f>E50</f>
        <v>销售额×税（费）率</v>
      </c>
      <c r="P54" s="2479">
        <f>F50</f>
        <v>5.5000000000000007E-2</v>
      </c>
    </row>
    <row r="55" spans="1:17" ht="12" customHeight="1">
      <c r="A55" s="2045" t="s">
        <v>1737</v>
      </c>
      <c r="B55" s="3525" t="s">
        <v>2774</v>
      </c>
      <c r="C55" s="3514"/>
      <c r="D55" s="1067">
        <f ca="1">ROUND(D47*'数据-取费表'!E29/(1+'数据-取费表'!F30),0)</f>
        <v>10</v>
      </c>
      <c r="E55" s="2055" t="s">
        <v>1735</v>
      </c>
      <c r="F55" s="2538">
        <f>'数据-取费表'!E29</f>
        <v>5.5000000000000007E-2</v>
      </c>
      <c r="G55" s="2539"/>
      <c r="H55" s="945"/>
      <c r="I55" s="2940"/>
      <c r="J55" s="2815"/>
      <c r="K55" s="2476">
        <v>2</v>
      </c>
      <c r="L55" s="3566" t="s">
        <v>1738</v>
      </c>
      <c r="M55" s="3566"/>
      <c r="N55" s="2478">
        <f t="shared" ref="N55:P56" ca="1" si="1">D57</f>
        <v>0</v>
      </c>
      <c r="O55" s="2476" t="str">
        <f t="shared" si="1"/>
        <v>销售额×税（费）率</v>
      </c>
      <c r="P55" s="2479">
        <f t="shared" si="1"/>
        <v>5.0000000000000001E-4</v>
      </c>
    </row>
    <row r="56" spans="1:17" ht="12" customHeight="1">
      <c r="A56" s="2045" t="s">
        <v>1739</v>
      </c>
      <c r="B56" s="3525" t="s">
        <v>2775</v>
      </c>
      <c r="C56" s="3514"/>
      <c r="D56" s="1067">
        <f ca="1">C70</f>
        <v>10</v>
      </c>
      <c r="E56" s="264" t="s">
        <v>1740</v>
      </c>
      <c r="F56" s="2538">
        <f>'数据-取费表'!E29</f>
        <v>5.5000000000000007E-2</v>
      </c>
      <c r="G56" s="2539"/>
      <c r="H56" s="2941"/>
      <c r="I56" s="2940"/>
      <c r="J56" s="2815"/>
      <c r="K56" s="2476">
        <v>3</v>
      </c>
      <c r="L56" s="3566" t="s">
        <v>1741</v>
      </c>
      <c r="M56" s="3566"/>
      <c r="N56" s="2478">
        <f t="shared" ca="1" si="1"/>
        <v>111</v>
      </c>
      <c r="O56" s="2476" t="str">
        <f t="shared" si="1"/>
        <v>增值额×税（费）率</v>
      </c>
      <c r="P56" s="2480" t="str">
        <f t="shared" si="1"/>
        <v>——</v>
      </c>
    </row>
    <row r="57" spans="1:17" ht="24" customHeight="1">
      <c r="A57" s="3478" t="s">
        <v>1742</v>
      </c>
      <c r="B57" s="3474"/>
      <c r="C57" s="3474"/>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66" t="str">
        <f>IF(H61="非个人房产","——","个人所得税")</f>
        <v>个人所得税</v>
      </c>
      <c r="M57" s="3566"/>
      <c r="N57" s="2481">
        <f ca="1">D61</f>
        <v>2</v>
      </c>
      <c r="O57" s="2482" t="str">
        <f>E61</f>
        <v>销售额×税（费）率</v>
      </c>
      <c r="P57" s="2483">
        <f>F61</f>
        <v>0.01</v>
      </c>
    </row>
    <row r="58" spans="1:17" ht="26">
      <c r="A58" s="3478" t="s">
        <v>1745</v>
      </c>
      <c r="B58" s="3474"/>
      <c r="C58" s="3474"/>
      <c r="D58" s="12">
        <f ca="1">IF(H58="个人住宅",D59,D60)</f>
        <v>111</v>
      </c>
      <c r="E58" s="2055" t="s">
        <v>1746</v>
      </c>
      <c r="F58" s="2538" t="str">
        <f>IF(H58="正常",F60,"免征")</f>
        <v>——</v>
      </c>
      <c r="G58" s="2540" t="s">
        <v>1747</v>
      </c>
      <c r="H58" s="2541" t="s">
        <v>1744</v>
      </c>
      <c r="I58" s="2942"/>
      <c r="J58" s="2815"/>
      <c r="K58" s="2476" t="str">
        <f>IF(项目基本情况!I6="上海银行",IF(K57="",4,K57+1),"")</f>
        <v/>
      </c>
      <c r="L58" s="3570" t="str">
        <f>IF(项目基本情况!I6="上海银行","其他处置费用","")</f>
        <v/>
      </c>
      <c r="M58" s="3575"/>
      <c r="N58" s="2478" t="str">
        <f>IF(项目基本情况!I6="上海银行",N71,"")</f>
        <v/>
      </c>
      <c r="O58" s="3570" t="str">
        <f>IF(项目基本情况!I6="上海银行","包含处置中涉及的律师、诉讼、拍卖、评估等费用","")</f>
        <v/>
      </c>
      <c r="P58" s="3571"/>
    </row>
    <row r="59" spans="1:17" ht="13">
      <c r="A59" s="2045" t="s">
        <v>1722</v>
      </c>
      <c r="B59" s="3525" t="s">
        <v>1748</v>
      </c>
      <c r="C59" s="3514"/>
      <c r="D59" s="2531">
        <v>0</v>
      </c>
      <c r="E59" s="261" t="s">
        <v>1724</v>
      </c>
      <c r="F59" s="235"/>
      <c r="G59" s="2539"/>
      <c r="H59" s="2942"/>
      <c r="I59" s="2942"/>
      <c r="J59" s="2815"/>
      <c r="K59" s="3566">
        <f>IF(AND(K57="",K58=""),4,IF(项目基本情况!I6="上海银行",K58+1,K57+1))</f>
        <v>5</v>
      </c>
      <c r="L59" s="3566" t="s">
        <v>1749</v>
      </c>
      <c r="M59" s="2484" t="s">
        <v>1750</v>
      </c>
      <c r="N59" s="2485"/>
      <c r="O59" s="2486">
        <f ca="1">SUMIF(N54:N58,"&lt;9e307")</f>
        <v>123</v>
      </c>
      <c r="P59" s="2487"/>
      <c r="Q59" s="1273">
        <f ca="1">O59/N51</f>
        <v>0.63076923076923075</v>
      </c>
    </row>
    <row r="60" spans="1:17" ht="26">
      <c r="A60" s="2045" t="s">
        <v>1733</v>
      </c>
      <c r="B60" s="3525" t="s">
        <v>1751</v>
      </c>
      <c r="C60" s="3513"/>
      <c r="D60" s="12">
        <f ca="1">IF(H60="转让取得",C83,C99)</f>
        <v>111</v>
      </c>
      <c r="E60" s="2055" t="s">
        <v>1746</v>
      </c>
      <c r="F60" s="235" t="s">
        <v>48</v>
      </c>
      <c r="G60" s="2539"/>
      <c r="H60" s="2541" t="s">
        <v>1752</v>
      </c>
      <c r="I60" s="2942"/>
      <c r="J60" s="2815"/>
      <c r="K60" s="3566"/>
      <c r="L60" s="3566"/>
      <c r="M60" s="2484" t="s">
        <v>1753</v>
      </c>
      <c r="N60" s="2488"/>
      <c r="O60" s="2489" t="str">
        <f ca="1">IF(H19="元",NUMBERSTRING(INT(O59),2)&amp;"元整",NUMBERSTRING(INT(O59*10000),2)&amp;"元整")</f>
        <v>壹佰贰拾叁万元整</v>
      </c>
      <c r="P60" s="2490"/>
    </row>
    <row r="61" spans="1:17" ht="26.5" thickBot="1">
      <c r="A61" s="3541" t="s">
        <v>1754</v>
      </c>
      <c r="B61" s="3542"/>
      <c r="C61" s="3542"/>
      <c r="D61" s="69">
        <f ca="1">IF(H61="非个人房产","——",IF(H61="个人住宅（满五唯一有凭证）",0,IF(H61="个人其他（无凭证）",ROUND(D47*F61,0),ROUND(C69*F61,0))))</f>
        <v>2</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72">
        <f>K59+1</f>
        <v>6</v>
      </c>
      <c r="L61" s="3566" t="s">
        <v>1755</v>
      </c>
      <c r="M61" s="2476" t="s">
        <v>1750</v>
      </c>
      <c r="N61" s="2491"/>
      <c r="O61" s="2492">
        <f ca="1">N51-O59</f>
        <v>72</v>
      </c>
      <c r="P61" s="2493"/>
    </row>
    <row r="62" spans="1:17" ht="12" customHeight="1">
      <c r="A62" s="1424"/>
      <c r="B62" s="2526"/>
      <c r="C62" s="2526"/>
      <c r="D62" s="2526"/>
      <c r="E62" s="1424"/>
      <c r="F62" s="2942"/>
      <c r="G62" s="2942"/>
      <c r="H62" s="2937"/>
      <c r="I62" s="945"/>
      <c r="J62" s="2815"/>
      <c r="K62" s="3573"/>
      <c r="L62" s="3566"/>
      <c r="M62" s="2484" t="s">
        <v>1753</v>
      </c>
      <c r="N62" s="2488"/>
      <c r="O62" s="2489" t="str">
        <f ca="1">IF(H19="元",NUMBERSTRING(INT(O61),2)&amp;"元整",NUMBERSTRING(INT(O61*10000),2)&amp;"元整")</f>
        <v>柒拾贰万元整</v>
      </c>
      <c r="P62" s="2490"/>
    </row>
    <row r="63" spans="1:17" ht="13.5" thickBot="1">
      <c r="A63" s="3574" t="s">
        <v>1756</v>
      </c>
      <c r="B63" s="3574"/>
      <c r="C63" s="3574"/>
      <c r="D63" s="3574"/>
      <c r="E63" s="3574"/>
      <c r="F63" s="2942"/>
      <c r="G63" s="2942"/>
      <c r="H63" s="2937"/>
      <c r="I63" s="945"/>
      <c r="J63" s="2807"/>
      <c r="K63" s="2476">
        <f>K61+1</f>
        <v>7</v>
      </c>
      <c r="L63" s="3566" t="s">
        <v>1757</v>
      </c>
      <c r="M63" s="3566"/>
      <c r="N63" s="2494"/>
      <c r="O63" s="2495">
        <f ca="1">IF(H19="元",ROUND(O61/项目基本情况!C12,0),ROUND(O61*10000/项目基本情况!C12,0))</f>
        <v>6656</v>
      </c>
      <c r="P63" s="2496"/>
    </row>
    <row r="64" spans="1:17" ht="13">
      <c r="A64" s="3492" t="s">
        <v>1758</v>
      </c>
      <c r="B64" s="3493"/>
      <c r="C64" s="1574"/>
      <c r="D64" s="1574" t="s">
        <v>1759</v>
      </c>
      <c r="E64" s="45" t="s">
        <v>1760</v>
      </c>
      <c r="F64" s="2942"/>
      <c r="G64" s="2942"/>
      <c r="H64" s="2937"/>
      <c r="I64" s="945"/>
      <c r="J64" s="2807"/>
      <c r="K64" s="1275"/>
      <c r="L64" s="1275"/>
      <c r="M64" s="1275"/>
      <c r="N64" s="1275"/>
      <c r="O64" s="1275"/>
    </row>
    <row r="65" spans="1:36" ht="13">
      <c r="A65" s="46">
        <v>1</v>
      </c>
      <c r="B65" s="47" t="s">
        <v>1761</v>
      </c>
      <c r="C65" s="2746">
        <f ca="1">ROUND((C66+C67)/(1+'数据-取费表'!F30),0)</f>
        <v>186</v>
      </c>
      <c r="D65" s="47"/>
      <c r="E65" s="48"/>
      <c r="F65" s="2942"/>
      <c r="G65" s="2942"/>
      <c r="H65" s="2937"/>
      <c r="I65" s="945"/>
      <c r="J65" s="2807"/>
      <c r="K65" s="3562" t="s">
        <v>1762</v>
      </c>
      <c r="L65" s="1274" t="s">
        <v>1763</v>
      </c>
      <c r="M65" s="1274">
        <f ca="1">IF(N51&gt;10000,N51*0.5%,IF(AND(N51&gt;1000,N51&lt;=10000),N51*1%,IF(AND(N51&gt;100,N51&lt;=1000),N51*3%,IF(AND(N51&gt;10,N51&lt;=100),N51*5%,N51*8%))))</f>
        <v>5.85</v>
      </c>
      <c r="N65" s="235">
        <f ca="1">ROUND(M65,1)</f>
        <v>5.9</v>
      </c>
      <c r="O65" s="2497"/>
    </row>
    <row r="66" spans="1:36" ht="13">
      <c r="A66" s="49" t="s">
        <v>71</v>
      </c>
      <c r="B66" s="50" t="s">
        <v>1764</v>
      </c>
      <c r="C66" s="2747">
        <f ca="1">D47</f>
        <v>195</v>
      </c>
      <c r="D66" s="50" t="s">
        <v>41</v>
      </c>
      <c r="E66" s="52"/>
      <c r="F66" s="2942"/>
      <c r="G66" s="2942"/>
      <c r="H66" s="2937"/>
      <c r="I66" s="945"/>
      <c r="J66" s="2807"/>
      <c r="K66" s="3562"/>
      <c r="L66" s="1274" t="s">
        <v>1765</v>
      </c>
      <c r="M66" s="1274">
        <f ca="1">IF(N51&gt;2000,N51*0.5%,IF(AND(N51&gt;1000,N51&lt;=2000),N51*0.6%,IF(AND(N51&gt;500,N51&lt;=1000),N51*0.7%,IF(AND(N51&gt;200,N51&lt;=500),N51*0.8%,IF(AND(N51&gt;100,N51&lt;=200),N51*0.9%,IF(AND(N51&gt;50,N51&lt;=100),N51*1%,IF(AND(N51&gt;20,N51&lt;=50),N51*1.5%,IF(AND(N51&gt;10,N51&lt;=20),N51*2%,IF(AND(N51&gt;1,N51&lt;=10),N51*2.5%)))))))))</f>
        <v>1.7550000000000001</v>
      </c>
      <c r="N66" s="235">
        <f t="shared" ref="N66:N67" ca="1" si="2">ROUND(M66,1)</f>
        <v>1.8</v>
      </c>
      <c r="O66" s="2497" t="s">
        <v>1766</v>
      </c>
    </row>
    <row r="67" spans="1:36" ht="13">
      <c r="A67" s="49" t="s">
        <v>72</v>
      </c>
      <c r="B67" s="50" t="s">
        <v>1767</v>
      </c>
      <c r="C67" s="2748"/>
      <c r="D67" s="50"/>
      <c r="E67" s="52"/>
      <c r="F67" s="2942"/>
      <c r="G67" s="2942"/>
      <c r="H67" s="2937"/>
      <c r="I67" s="945"/>
      <c r="J67" s="2807"/>
      <c r="K67" s="3562"/>
      <c r="L67" s="1274" t="s">
        <v>1768</v>
      </c>
      <c r="M67" s="1274">
        <f ca="1">IF(N51&gt;1000,N51*0.1%,IF(AND(N51&gt;500,N51&lt;=1000),N51*0.5%,IF(AND(N51&gt;50,N51&lt;=500),N51*1%,IF(AND(N51&gt;1,N51&lt;=50),N51*1.5%))))</f>
        <v>1.95</v>
      </c>
      <c r="N67" s="235">
        <f t="shared" ca="1" si="2"/>
        <v>2</v>
      </c>
      <c r="O67" s="2497" t="s">
        <v>1766</v>
      </c>
    </row>
    <row r="68" spans="1:36" ht="13.5">
      <c r="A68" s="53" t="s">
        <v>47</v>
      </c>
      <c r="B68" s="54" t="s">
        <v>1769</v>
      </c>
      <c r="C68" s="2749"/>
      <c r="D68" s="54" t="s">
        <v>41</v>
      </c>
      <c r="E68" s="1283" t="s">
        <v>1770</v>
      </c>
      <c r="F68" s="2942"/>
      <c r="G68" s="2942"/>
      <c r="H68" s="2937"/>
      <c r="I68" s="945"/>
      <c r="J68" s="2807"/>
      <c r="K68" s="3562"/>
      <c r="L68" s="1274" t="s">
        <v>1771</v>
      </c>
      <c r="M68" s="1274">
        <f ca="1">N51*0.5%</f>
        <v>0.97499999999999998</v>
      </c>
      <c r="N68" s="235">
        <f ca="1">IF(M68&gt;0.5,0.5,ROUND(M68,0))</f>
        <v>0.5</v>
      </c>
      <c r="O68" s="2497" t="s">
        <v>1772</v>
      </c>
    </row>
    <row r="69" spans="1:36" ht="13">
      <c r="A69" s="53" t="s">
        <v>42</v>
      </c>
      <c r="B69" s="54" t="s">
        <v>1773</v>
      </c>
      <c r="C69" s="2750">
        <f ca="1">C65-C68</f>
        <v>186</v>
      </c>
      <c r="D69" s="50" t="s">
        <v>41</v>
      </c>
      <c r="E69" s="52"/>
      <c r="F69" s="2942"/>
      <c r="G69" s="2942"/>
      <c r="H69" s="2937"/>
      <c r="I69" s="945"/>
      <c r="J69" s="2807"/>
      <c r="K69" s="3562"/>
      <c r="L69" s="1274" t="s">
        <v>1774</v>
      </c>
      <c r="M69" s="1274">
        <f ca="1">IF(N51&gt;=10000,(8.25+(N51-10000)*0.01%),IF(AND(N51&gt;=8000,N51&lt;10000),(7.85+(N51-8000)*0.02%),IF(AND(N51&gt;=5000,N51&lt;8000),(6.65+(N51-5000)*0.04%),IF(AND(N51&gt;=2000,N51&lt;5000),(4.25+(PN51-2000)*0.08%),IF(AND(N51&gt;=1000,N51&lt;2000),(2.75+(N51-1000)*0.15%),IF(AND(N51&gt;=100,N51&lt;1000),(0.5+(N51-100)*0.25%),IF(AND(N51&gt;0,N51&lt;100),N51*0.5%)))))))</f>
        <v>0.73750000000000004</v>
      </c>
      <c r="N69" s="235">
        <f ca="1">ROUND(M69*0.9,1)</f>
        <v>0.7</v>
      </c>
      <c r="O69" s="2497"/>
    </row>
    <row r="70" spans="1:36" ht="13.5" thickBot="1">
      <c r="A70" s="55" t="s">
        <v>46</v>
      </c>
      <c r="B70" s="56" t="s">
        <v>1775</v>
      </c>
      <c r="C70" s="2751">
        <f ca="1">IF(C69&lt;=0,0,ROUND(C69*D70,0))</f>
        <v>10</v>
      </c>
      <c r="D70" s="2205">
        <f>'数据-取费表'!E29</f>
        <v>5.5000000000000007E-2</v>
      </c>
      <c r="E70" s="57"/>
      <c r="F70" s="2942"/>
      <c r="G70" s="2942"/>
      <c r="H70" s="2937"/>
      <c r="I70" s="945"/>
      <c r="J70" s="2807"/>
      <c r="K70" s="3562"/>
      <c r="L70" s="1274" t="s">
        <v>1776</v>
      </c>
      <c r="M70" s="1274">
        <f ca="1">IF(N51&gt;10000,N51*0.5%,IF(AND(N51&gt;5000,N51&lt;=10000),N51*1%,IF(AND(N51&gt;1000,N51&lt;=5000),N51*2%,IF(AND(N51&gt;200,N51&lt;=1000),N51*3%,N51*5%))))</f>
        <v>9.75</v>
      </c>
      <c r="N70" s="235">
        <f ca="1">ROUND(M70,1)</f>
        <v>9.8000000000000007</v>
      </c>
      <c r="O70" s="2497"/>
    </row>
    <row r="71" spans="1:36" s="1432" customFormat="1" ht="7.5" customHeight="1">
      <c r="A71" s="1444"/>
      <c r="B71" s="1445"/>
      <c r="C71" s="2752"/>
      <c r="D71" s="2248"/>
      <c r="E71" s="1448"/>
      <c r="F71" s="1424"/>
      <c r="G71" s="1424"/>
      <c r="H71" s="1448"/>
      <c r="I71" s="2526"/>
      <c r="J71" s="2807"/>
      <c r="K71" s="3562"/>
      <c r="L71" s="1274" t="s">
        <v>1777</v>
      </c>
      <c r="M71" s="1274"/>
      <c r="N71" s="235">
        <f ca="1">ROUND(SUM(N65:N70),0)</f>
        <v>21</v>
      </c>
      <c r="O71" s="2498">
        <f ca="1">N71/N51</f>
        <v>0.1076923076923077</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5" thickBot="1">
      <c r="A72" s="3579" t="s">
        <v>1778</v>
      </c>
      <c r="B72" s="3580"/>
      <c r="C72" s="3580"/>
      <c r="D72" s="3580"/>
      <c r="E72" s="3580"/>
      <c r="F72" s="3580"/>
      <c r="G72" s="3580"/>
      <c r="H72" s="3580"/>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3492" t="s">
        <v>1758</v>
      </c>
      <c r="B73" s="3493"/>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
      <c r="A74" s="61">
        <v>1</v>
      </c>
      <c r="B74" s="54" t="s">
        <v>1779</v>
      </c>
      <c r="C74" s="2750">
        <f ca="1">ROUND(D47/(1+'数据-取费表'!F30),0)</f>
        <v>186</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63">
        <v>2</v>
      </c>
      <c r="B75" s="41" t="s">
        <v>1781</v>
      </c>
      <c r="C75" s="2750">
        <f ca="1">C76+C80</f>
        <v>1</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525" t="s">
        <v>1788</v>
      </c>
      <c r="F78" s="3513"/>
      <c r="G78" s="3513"/>
      <c r="H78" s="3526"/>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1</v>
      </c>
      <c r="D80" s="2759">
        <f>'数据-取费表'!E31</f>
        <v>5.000000000000001E-3</v>
      </c>
      <c r="E80" s="3461" t="s">
        <v>1793</v>
      </c>
      <c r="F80" s="3462"/>
      <c r="G80" s="3462"/>
      <c r="H80" s="3482"/>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
      <c r="A81" s="53" t="s">
        <v>42</v>
      </c>
      <c r="B81" s="54" t="s">
        <v>1794</v>
      </c>
      <c r="C81" s="2750">
        <f ca="1">C74-C75</f>
        <v>185</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6">
      <c r="A82" s="53" t="s">
        <v>43</v>
      </c>
      <c r="B82" s="54" t="s">
        <v>1795</v>
      </c>
      <c r="C82" s="2760">
        <f ca="1">IF(C81&lt;=0,0,C81/C75)</f>
        <v>185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55" t="s">
        <v>44</v>
      </c>
      <c r="B83" s="56" t="s">
        <v>1796</v>
      </c>
      <c r="C83" s="2761">
        <f ca="1">ROUND(IF(C81&lt;=0,0,IF(C82&gt;=200%,C81*60%-C75*35%,IF(C82&gt;=100%,C81*50%-C75*15%,IF(C82&gt;=50%,C81*40%-C75*5%,IF(C82&lt;50%,C81*30%,0))))),0)</f>
        <v>111</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5" thickBot="1">
      <c r="A85" s="3579" t="s">
        <v>1797</v>
      </c>
      <c r="B85" s="3580"/>
      <c r="C85" s="3580"/>
      <c r="D85" s="3580"/>
      <c r="E85" s="3580"/>
      <c r="F85" s="3580"/>
      <c r="G85" s="3580"/>
      <c r="H85" s="3580"/>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3492" t="s">
        <v>1758</v>
      </c>
      <c r="B86" s="3493"/>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61">
        <v>1</v>
      </c>
      <c r="B87" s="54" t="s">
        <v>1779</v>
      </c>
      <c r="C87" s="2750">
        <f ca="1">ROUND(D47/(1+'数据-取费表'!F30),0)</f>
        <v>186</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63">
        <v>2</v>
      </c>
      <c r="B88" s="41" t="s">
        <v>1781</v>
      </c>
      <c r="C88" s="2750">
        <f ca="1">IF(H90="仅含出让金",C89+C92+C93+C94+C95+C96,C89+C93+C94+C95+C96)</f>
        <v>1</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
      <c r="A92" s="49" t="s">
        <v>77</v>
      </c>
      <c r="B92" s="50" t="s">
        <v>1803</v>
      </c>
      <c r="C92" s="2763"/>
      <c r="D92" s="2759"/>
      <c r="E92" s="74" t="str">
        <f>IF(H90="-","土地取得成本中已包含该笔费用"," ")</f>
        <v xml:space="preserve"> </v>
      </c>
      <c r="F92" s="2049"/>
      <c r="G92" s="3501" t="s">
        <v>2674</v>
      </c>
      <c r="H92" s="3581"/>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61" t="s">
        <v>1805</v>
      </c>
      <c r="F93" s="3462"/>
      <c r="G93" s="3462"/>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61" t="s">
        <v>1808</v>
      </c>
      <c r="F94" s="3462"/>
      <c r="G94" s="3462"/>
      <c r="H94" s="3482"/>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1</v>
      </c>
      <c r="D95" s="2759">
        <f>'数据-取费表'!E31</f>
        <v>5.000000000000001E-3</v>
      </c>
      <c r="E95" s="3461" t="s">
        <v>1793</v>
      </c>
      <c r="F95" s="3462"/>
      <c r="G95" s="3462"/>
      <c r="H95" s="3482"/>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61" t="s">
        <v>1810</v>
      </c>
      <c r="F96" s="3462"/>
      <c r="G96" s="3462"/>
      <c r="H96" s="3482"/>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
      <c r="A97" s="53" t="s">
        <v>42</v>
      </c>
      <c r="B97" s="54" t="s">
        <v>1794</v>
      </c>
      <c r="C97" s="2750">
        <f ca="1">ROUND(C87-C88,0)</f>
        <v>185</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6">
      <c r="A98" s="53" t="s">
        <v>43</v>
      </c>
      <c r="B98" s="54" t="s">
        <v>1795</v>
      </c>
      <c r="C98" s="2760">
        <f ca="1">IF(C97&lt;=0,0,C97/C88)</f>
        <v>185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5" thickBot="1">
      <c r="A99" s="66" t="s">
        <v>44</v>
      </c>
      <c r="B99" s="56" t="s">
        <v>1796</v>
      </c>
      <c r="C99" s="67">
        <f ca="1">ROUND(IF(C97&lt;=0,0,IF(C98&gt;=200%,C97*60%-C88*35%,IF(C98&gt;=100%,C97*50%-C88*15%,IF(C98&gt;=50%,C97*40%-C88*5%,IF(C98&lt;50%,C97*30%,0))))),0)</f>
        <v>111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4">
      <c r="A101" s="3479" t="s">
        <v>1812</v>
      </c>
      <c r="B101" s="3480"/>
      <c r="C101" s="3480"/>
      <c r="D101" s="3481"/>
      <c r="E101" s="1428"/>
      <c r="F101" s="3576" t="s">
        <v>2716</v>
      </c>
      <c r="G101" s="3577"/>
      <c r="H101" s="3577"/>
      <c r="I101" s="3578"/>
      <c r="J101" s="2842"/>
    </row>
    <row r="102" spans="1:36" ht="15.5">
      <c r="A102" s="3496" t="s">
        <v>1814</v>
      </c>
      <c r="B102" s="3497"/>
      <c r="C102" s="2765" t="str">
        <f>C4</f>
        <v>比较法-办公</v>
      </c>
      <c r="D102" s="2766" t="str">
        <f>D4</f>
        <v>收益法</v>
      </c>
      <c r="E102" s="1428"/>
      <c r="F102" s="3498" t="s">
        <v>2717</v>
      </c>
      <c r="G102" s="3500"/>
      <c r="H102" s="3511" t="s">
        <v>2718</v>
      </c>
      <c r="I102" s="3499"/>
      <c r="J102" s="2822"/>
    </row>
    <row r="103" spans="1:36" ht="13">
      <c r="A103" s="3582" t="s">
        <v>2712</v>
      </c>
      <c r="B103" s="2270" t="str">
        <f>IF(H19="元","总价（元）","总价（万元）")</f>
        <v>总价（万元）</v>
      </c>
      <c r="C103" s="1274">
        <f ca="1">C19</f>
        <v>0</v>
      </c>
      <c r="D103" s="2769">
        <f ca="1">D19</f>
        <v>142</v>
      </c>
      <c r="E103" s="1428"/>
      <c r="F103" s="3583"/>
      <c r="G103" s="3584"/>
      <c r="H103" s="3502">
        <f>典型户型修正!B25</f>
        <v>108.17</v>
      </c>
      <c r="I103" s="3499"/>
      <c r="J103" s="2822"/>
    </row>
    <row r="104" spans="1:36" ht="13">
      <c r="A104" s="3582"/>
      <c r="B104" s="2270" t="s">
        <v>2713</v>
      </c>
      <c r="C104" s="2770">
        <f ca="1">C20</f>
        <v>27396</v>
      </c>
      <c r="D104" s="2771">
        <f ca="1">D20</f>
        <v>13143</v>
      </c>
      <c r="E104" s="1428"/>
      <c r="F104" s="3485" t="s">
        <v>2719</v>
      </c>
      <c r="G104" s="3486"/>
      <c r="H104" s="2779" t="str">
        <f>C110</f>
        <v>总价（万元）</v>
      </c>
      <c r="I104" s="2780">
        <f ca="1">H125</f>
        <v>195</v>
      </c>
      <c r="J104" s="2822"/>
    </row>
    <row r="105" spans="1:36" ht="13">
      <c r="A105" s="3582" t="s">
        <v>2714</v>
      </c>
      <c r="B105" s="2208" t="str">
        <f>B103</f>
        <v>总价（万元）</v>
      </c>
      <c r="C105" s="12">
        <f ca="1">ROUND(IF('数据-取费表'!B4="总价",G19,IF(H19="元",G20*'数据-取费表'!E5,G20*'数据-取费表'!E5/10000)),0)</f>
        <v>0</v>
      </c>
      <c r="D105" s="2772"/>
      <c r="E105" s="1428"/>
      <c r="F105" s="3485"/>
      <c r="G105" s="3486"/>
      <c r="H105" s="2779" t="s">
        <v>2720</v>
      </c>
      <c r="I105" s="52">
        <f ca="1">I125</f>
        <v>18027</v>
      </c>
      <c r="J105" s="2806"/>
    </row>
    <row r="106" spans="1:36" ht="13">
      <c r="A106" s="3582"/>
      <c r="B106" s="2270" t="s">
        <v>2713</v>
      </c>
      <c r="C106" s="1448">
        <f ca="1">ROUND(IF('数据-取费表'!B4="楼面单价",G20,IF(H19="元",G19/'数据-取费表'!E5,G19*10000/'数据-取费表'!E5)),0)</f>
        <v>23120</v>
      </c>
      <c r="D106" s="2772"/>
      <c r="E106" s="1428"/>
      <c r="F106" s="3485"/>
      <c r="G106" s="3486"/>
      <c r="H106" s="3517"/>
      <c r="I106" s="3518"/>
      <c r="J106" s="2823"/>
    </row>
    <row r="107" spans="1:36" ht="13">
      <c r="A107" s="3589" t="s">
        <v>2715</v>
      </c>
      <c r="B107" s="2773" t="str">
        <f>B103</f>
        <v>总价（万元）</v>
      </c>
      <c r="C107" s="2774">
        <f ca="1">H125</f>
        <v>195</v>
      </c>
      <c r="D107" s="2775"/>
      <c r="E107" s="1428"/>
      <c r="F107" s="3521" t="s">
        <v>2721</v>
      </c>
      <c r="G107" s="3522"/>
      <c r="H107" s="2781" t="str">
        <f>C112</f>
        <v>总额（万元）</v>
      </c>
      <c r="I107" s="2780">
        <f>SUMIF(I108:I110,"&lt;9E307")</f>
        <v>0</v>
      </c>
      <c r="J107" s="2822"/>
    </row>
    <row r="108" spans="1:36" ht="14.5" thickBot="1">
      <c r="A108" s="3516"/>
      <c r="B108" s="2776" t="s">
        <v>2713</v>
      </c>
      <c r="C108" s="2777">
        <f ca="1">I125</f>
        <v>18027</v>
      </c>
      <c r="D108" s="2778"/>
      <c r="E108" s="1428"/>
      <c r="F108" s="3487" t="s">
        <v>2722</v>
      </c>
      <c r="G108" s="3488"/>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4">
      <c r="A109" s="3585" t="s">
        <v>1815</v>
      </c>
      <c r="B109" s="3586"/>
      <c r="C109" s="3586"/>
      <c r="D109" s="3587"/>
      <c r="E109" s="1428"/>
      <c r="F109" s="3487" t="s">
        <v>2723</v>
      </c>
      <c r="G109" s="3488"/>
      <c r="H109" s="2781" t="str">
        <f>C114</f>
        <v>总额（万元）</v>
      </c>
      <c r="I109" s="52">
        <f>C39</f>
        <v>0</v>
      </c>
      <c r="J109" s="2806"/>
    </row>
    <row r="110" spans="1:36" ht="13">
      <c r="A110" s="3485" t="s">
        <v>2726</v>
      </c>
      <c r="B110" s="3486"/>
      <c r="C110" s="2779" t="str">
        <f>B103</f>
        <v>总价（万元）</v>
      </c>
      <c r="D110" s="2780">
        <f ca="1">H125</f>
        <v>195</v>
      </c>
      <c r="E110" s="1428"/>
      <c r="F110" s="3487" t="s">
        <v>2724</v>
      </c>
      <c r="G110" s="3488"/>
      <c r="H110" s="2781" t="str">
        <f>C115</f>
        <v>总额（万元）</v>
      </c>
      <c r="I110" s="52">
        <f>C40</f>
        <v>0</v>
      </c>
      <c r="J110" s="2806"/>
    </row>
    <row r="111" spans="1:36" ht="13">
      <c r="A111" s="3485"/>
      <c r="B111" s="3486"/>
      <c r="C111" s="2779" t="s">
        <v>2727</v>
      </c>
      <c r="D111" s="52">
        <f ca="1">I125</f>
        <v>18027</v>
      </c>
      <c r="E111" s="1428"/>
      <c r="F111" s="3485"/>
      <c r="G111" s="3486"/>
      <c r="H111" s="3519"/>
      <c r="I111" s="3520"/>
      <c r="J111" s="2824"/>
    </row>
    <row r="112" spans="1:36" ht="28.5" customHeight="1">
      <c r="A112" s="3556" t="s">
        <v>2721</v>
      </c>
      <c r="B112" s="3557"/>
      <c r="C112" s="2781" t="str">
        <f>IF(H19="元","总额（元）","总额（万元）")</f>
        <v>总额（万元）</v>
      </c>
      <c r="D112" s="2780">
        <f>IF(D38="正常操作",I108+I109+I110,I109+I110)</f>
        <v>0</v>
      </c>
      <c r="E112" s="1428"/>
      <c r="F112" s="3468" t="str">
        <f>IF(项目基本情况!F5="已注销","——","3.房地产抵押价值")</f>
        <v>3.房地产抵押价值</v>
      </c>
      <c r="G112" s="3469"/>
      <c r="H112" s="1448" t="str">
        <f>C116</f>
        <v>总价（万元）</v>
      </c>
      <c r="I112" s="2780">
        <f ca="1">IF(F112="——","——",I104-I107)</f>
        <v>195</v>
      </c>
      <c r="J112" s="2822"/>
    </row>
    <row r="113" spans="1:27" ht="13">
      <c r="A113" s="3487" t="s">
        <v>2728</v>
      </c>
      <c r="B113" s="3488"/>
      <c r="C113" s="2781" t="str">
        <f>C112</f>
        <v>总额（万元）</v>
      </c>
      <c r="D113" s="52">
        <f>IF(D38="同一抵押权人同一抵押物续贷",C38&amp;"（未扣减，详见特别提示）",C38)</f>
        <v>0</v>
      </c>
      <c r="E113" s="1428"/>
      <c r="F113" s="3470"/>
      <c r="G113" s="3471"/>
      <c r="H113" s="2779" t="s">
        <v>2720</v>
      </c>
      <c r="I113" s="2783">
        <f ca="1">D117</f>
        <v>18027</v>
      </c>
      <c r="J113" s="2825"/>
    </row>
    <row r="114" spans="1:27" ht="13">
      <c r="A114" s="3487" t="s">
        <v>2729</v>
      </c>
      <c r="B114" s="3488"/>
      <c r="C114" s="2781" t="str">
        <f>C112</f>
        <v>总额（万元）</v>
      </c>
      <c r="D114" s="52">
        <f>C39</f>
        <v>0</v>
      </c>
      <c r="E114" s="1428"/>
      <c r="F114" s="3468" t="str">
        <f>IF(项目基本情况!F5="已注销及未注销","4.抵押担保权已注销时的房地产抵押价值",IF(项目基本情况!F5="已注销","3.抵押担保权已注销时的房地产抵押价值","——"))</f>
        <v>——</v>
      </c>
      <c r="G114" s="3469"/>
      <c r="H114" s="1448" t="str">
        <f>C118</f>
        <v>总价（万元）</v>
      </c>
      <c r="I114" s="2780" t="str">
        <f>IF(F114="——","——",I104-I109-I110)</f>
        <v>——</v>
      </c>
      <c r="J114" s="2822"/>
    </row>
    <row r="115" spans="1:27" ht="13">
      <c r="A115" s="3487" t="s">
        <v>2730</v>
      </c>
      <c r="B115" s="3488"/>
      <c r="C115" s="2781" t="str">
        <f>C112</f>
        <v>总额（万元）</v>
      </c>
      <c r="D115" s="52">
        <f>C40</f>
        <v>0</v>
      </c>
      <c r="E115" s="1428"/>
      <c r="F115" s="3470"/>
      <c r="G115" s="3471"/>
      <c r="H115" s="2779" t="s">
        <v>2720</v>
      </c>
      <c r="I115" s="52" t="str">
        <f>D119</f>
        <v>——</v>
      </c>
      <c r="J115" s="2806"/>
    </row>
    <row r="116" spans="1:27" ht="13">
      <c r="A116" s="3485" t="str">
        <f>IF(项目基本情况!F5="已注销","——","3.房地产抵押价值")</f>
        <v>3.房地产抵押价值</v>
      </c>
      <c r="B116" s="3486"/>
      <c r="C116" s="2779" t="str">
        <f>B103</f>
        <v>总价（万元）</v>
      </c>
      <c r="D116" s="2780">
        <f ca="1">IF(A116="——","——",D110-D112)</f>
        <v>195</v>
      </c>
      <c r="E116" s="1428"/>
      <c r="F116" s="3468" t="str">
        <f>IF(项目基本情况!G5="抵押净值",IF(OR(项目基本情况!F5="已注销",项目基本情况!F5="房地产抵押价值"),"4.抵押净值","5.抵押净值"),"——")</f>
        <v>——</v>
      </c>
      <c r="G116" s="3469"/>
      <c r="H116" s="2779" t="str">
        <f>C120</f>
        <v>总价（万元）</v>
      </c>
      <c r="I116" s="2780" t="str">
        <f>IF(F116="——","——",O61)</f>
        <v>——</v>
      </c>
      <c r="J116" s="2822"/>
    </row>
    <row r="117" spans="1:27" ht="13.5" thickBot="1">
      <c r="A117" s="3485"/>
      <c r="B117" s="3486"/>
      <c r="C117" s="2779" t="s">
        <v>2727</v>
      </c>
      <c r="D117" s="52">
        <f ca="1">ROUND(IF(D116=D110,D111,IF(H19="元",D116/B125,D116*10000/B125)),0)</f>
        <v>18027</v>
      </c>
      <c r="E117" s="1428"/>
      <c r="F117" s="3548"/>
      <c r="G117" s="3549"/>
      <c r="H117" s="2784" t="s">
        <v>2720</v>
      </c>
      <c r="I117" s="2768" t="str">
        <f ca="1">D121</f>
        <v>——</v>
      </c>
      <c r="J117" s="2806"/>
    </row>
    <row r="118" spans="1:27" ht="15.5">
      <c r="A118" s="3485" t="str">
        <f>IF(项目基本情况!F5="已注销及未注销","4.抵押担保权已注销时的房地产抵押价值",IF(项目基本情况!F5="已注销","3.抵押担保权已注销时的房地产抵押价值","——"))</f>
        <v>——</v>
      </c>
      <c r="B118" s="3486"/>
      <c r="C118" s="2779" t="str">
        <f>B103</f>
        <v>总价（万元）</v>
      </c>
      <c r="D118" s="2780" t="str">
        <f>IF(A118="——","——",D110-D114-D115)</f>
        <v>——</v>
      </c>
      <c r="E118" s="1428"/>
      <c r="F118" s="3463"/>
      <c r="G118" s="3463"/>
      <c r="H118" s="3504"/>
      <c r="I118" s="3504"/>
      <c r="J118" s="2826"/>
      <c r="O118" s="32"/>
      <c r="P118" s="32"/>
    </row>
    <row r="119" spans="1:27" s="1275" customFormat="1" ht="13">
      <c r="A119" s="3485"/>
      <c r="B119" s="3486"/>
      <c r="C119" s="2779" t="s">
        <v>2727</v>
      </c>
      <c r="D119" s="52" t="str">
        <f>IF(A118="——","——",IF(H19="元",ROUND(D118/B125,0),ROUND(D118*10000/B125,0)))</f>
        <v>——</v>
      </c>
      <c r="E119" s="1428"/>
      <c r="F119" s="3588" t="str">
        <f>IF(B33="总价","（以上估价结果中楼面单价为总价除以建筑面积得出）","（以上估价结果中总价为楼面单价乘以建筑面积得出）")</f>
        <v>（以上估价结果中总价为楼面单价乘以建筑面积得出）</v>
      </c>
      <c r="G119" s="3588"/>
      <c r="H119" s="3588"/>
      <c r="I119" s="3588"/>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3">
      <c r="A120" s="3485" t="str">
        <f>IF(项目基本情况!G5="抵押净值",IF(OR(项目基本情况!F5="已注销",项目基本情况!F5="房地产抵押价值"),"4.抵押净值","5.抵押净值"),"——")</f>
        <v>——</v>
      </c>
      <c r="B120" s="3486"/>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4"/>
      <c r="B121" s="3555"/>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4">
      <c r="A122" s="3505" t="s">
        <v>1854</v>
      </c>
      <c r="B122" s="3506"/>
      <c r="C122" s="3506"/>
      <c r="D122" s="3506"/>
      <c r="E122" s="3506"/>
      <c r="F122" s="3506"/>
      <c r="G122" s="3506"/>
      <c r="H122" s="3506"/>
      <c r="I122" s="3506"/>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5">
      <c r="A123" s="3478" t="s">
        <v>2731</v>
      </c>
      <c r="B123" s="3476" t="s">
        <v>2732</v>
      </c>
      <c r="C123" s="3476" t="s">
        <v>2738</v>
      </c>
      <c r="D123" s="3483" t="s">
        <v>2733</v>
      </c>
      <c r="E123" s="3484"/>
      <c r="F123" s="3474" t="s">
        <v>2739</v>
      </c>
      <c r="G123" s="3474"/>
      <c r="H123" s="3474" t="s">
        <v>2734</v>
      </c>
      <c r="I123" s="3475"/>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3">
      <c r="A124" s="3478"/>
      <c r="B124" s="3477"/>
      <c r="C124" s="3477"/>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5">
      <c r="A125" s="2045" t="str">
        <f>项目基本情况!I1</f>
        <v>北京市房地产</v>
      </c>
      <c r="B125" s="2055">
        <f>典型户型修正!B25</f>
        <v>108.17</v>
      </c>
      <c r="C125" s="1423"/>
      <c r="D125" s="2055">
        <f>C36</f>
        <v>0</v>
      </c>
      <c r="E125" s="2055">
        <f>ROUND(IF(H19="元",D125/B125,D125*10000/B125),0)</f>
        <v>0</v>
      </c>
      <c r="F125" s="2055">
        <f>C37</f>
        <v>0</v>
      </c>
      <c r="G125" s="2055">
        <f>ROUND(IF(H19="元",F125/B125,F125*10000/B125),0)</f>
        <v>0</v>
      </c>
      <c r="H125" s="2055">
        <f ca="1">C34</f>
        <v>195</v>
      </c>
      <c r="I125" s="52">
        <f ca="1">C35</f>
        <v>18027</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5">
      <c r="A126" s="3478" t="s">
        <v>2737</v>
      </c>
      <c r="B126" s="3474"/>
      <c r="C126" s="3474"/>
      <c r="D126" s="3509" t="str">
        <f>IF(H19="元",NUMBERSTRING(INT(D125),2)&amp;"元整",NUMBERSTRING(INT(D125*10000),2)&amp;"元整")</f>
        <v>零元整</v>
      </c>
      <c r="E126" s="3510"/>
      <c r="F126" s="3509" t="str">
        <f>IF(H19="元",NUMBERSTRING(INT(F125),2)&amp;"元整",NUMBERSTRING(INT(F125*10000),2)&amp;"元整")</f>
        <v>零元整</v>
      </c>
      <c r="G126" s="3510"/>
      <c r="H126" s="3509" t="str">
        <f ca="1">IF(H19="元",NUMBERSTRING(INT(H125),2)&amp;"元整",NUMBERSTRING(INT(H125*10000),2)&amp;"元整")</f>
        <v>壹佰玖拾伍万元整</v>
      </c>
      <c r="I126" s="3558"/>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3">
      <c r="A127" s="3498" t="str">
        <f>IF(项目基本情况!D5="房地产市场价值","——",MID(A112,3,LEN(A112)-2))</f>
        <v>估价师所知悉的法定优先受偿款</v>
      </c>
      <c r="B127" s="3511"/>
      <c r="C127" s="3500"/>
      <c r="D127" s="3502">
        <f>I107</f>
        <v>0</v>
      </c>
      <c r="E127" s="3511"/>
      <c r="F127" s="3511"/>
      <c r="G127" s="3511"/>
      <c r="H127" s="3511"/>
      <c r="I127" s="3499"/>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5">
      <c r="A128" s="3512" t="s">
        <v>2737</v>
      </c>
      <c r="B128" s="3513"/>
      <c r="C128" s="3514"/>
      <c r="D128" s="3550">
        <f>H111</f>
        <v>0</v>
      </c>
      <c r="E128" s="3551"/>
      <c r="F128" s="3551"/>
      <c r="G128" s="3551"/>
      <c r="H128" s="3551"/>
      <c r="I128" s="3552"/>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3">
      <c r="A129" s="3485" t="str">
        <f>IF(项目基本情况!D5="房地产市场价值","——",MID(A116,3,LEN(A116)-2))</f>
        <v>房地产抵押价值</v>
      </c>
      <c r="B129" s="3486"/>
      <c r="C129" s="3486"/>
      <c r="D129" s="3502">
        <f ca="1">I112</f>
        <v>195</v>
      </c>
      <c r="E129" s="3511"/>
      <c r="F129" s="3511"/>
      <c r="G129" s="3511"/>
      <c r="H129" s="3511"/>
      <c r="I129" s="3499"/>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5">
      <c r="A130" s="3478" t="s">
        <v>2737</v>
      </c>
      <c r="B130" s="3474"/>
      <c r="C130" s="3474"/>
      <c r="D130" s="3550">
        <f ca="1">I113</f>
        <v>18027</v>
      </c>
      <c r="E130" s="3551"/>
      <c r="F130" s="3551"/>
      <c r="G130" s="3551"/>
      <c r="H130" s="3551"/>
      <c r="I130" s="3552"/>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5" t="str">
        <f>IF(项目基本情况!D5="房地产市场价值","——",MID(A118,3,LEN(A118)-2))</f>
        <v/>
      </c>
      <c r="B131" s="3486"/>
      <c r="C131" s="3486"/>
      <c r="D131" s="3458" t="str">
        <f>I114</f>
        <v>——</v>
      </c>
      <c r="E131" s="3459"/>
      <c r="F131" s="3459"/>
      <c r="G131" s="3459"/>
      <c r="H131" s="3459"/>
      <c r="I131" s="3460"/>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3.5" thickTop="1" thickBot="1">
      <c r="A132" s="3478" t="s">
        <v>2737</v>
      </c>
      <c r="B132" s="3474"/>
      <c r="C132" s="3525"/>
      <c r="D132" s="3503" t="str">
        <f>I115</f>
        <v>——</v>
      </c>
      <c r="E132" s="3503"/>
      <c r="F132" s="3503"/>
      <c r="G132" s="3503"/>
      <c r="H132" s="3503"/>
      <c r="I132" s="3503"/>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 thickTop="1" thickBot="1">
      <c r="A133" s="3485" t="str">
        <f>IF(项目基本情况!D5="房地产市场价值","——",MID(F116,3,LEN(F116)-2))</f>
        <v/>
      </c>
      <c r="B133" s="3486"/>
      <c r="C133" s="3502"/>
      <c r="D133" s="3553" t="str">
        <f>I116</f>
        <v>——</v>
      </c>
      <c r="E133" s="3553"/>
      <c r="F133" s="3553"/>
      <c r="G133" s="3553"/>
      <c r="H133" s="3553"/>
      <c r="I133" s="3553"/>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3.5" thickTop="1" thickBot="1">
      <c r="A134" s="3541" t="s">
        <v>2737</v>
      </c>
      <c r="B134" s="3542"/>
      <c r="C134" s="3542"/>
      <c r="D134" s="3559">
        <f>H118</f>
        <v>0</v>
      </c>
      <c r="E134" s="3560"/>
      <c r="F134" s="3560"/>
      <c r="G134" s="3560"/>
      <c r="H134" s="3560"/>
      <c r="I134" s="3561"/>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 thickBot="1">
      <c r="A136" s="3546" t="str">
        <f>IF(B33="总价","（以上估价结果中楼面单价为总价除以建筑面积得出）","（以上估价结果中总价为楼面单价乘以建筑面积得出）")</f>
        <v>（以上估价结果中总价为楼面单价乘以建筑面积得出）</v>
      </c>
      <c r="B136" s="3546"/>
      <c r="C136" s="3546"/>
      <c r="D136" s="3546"/>
      <c r="E136" s="3546"/>
      <c r="F136" s="3546"/>
      <c r="G136" s="3546"/>
      <c r="H136" s="3546"/>
      <c r="I136" s="3546"/>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191</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17701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21634</v>
      </c>
      <c r="D10" s="1140">
        <f>IF('数据-取费表'!B10&lt;&gt;"住宅",IF(B1="仅计算典型户型",'数据-取费表'!E5,'数据-取费表'!B5),0)</f>
        <v>108.17</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21634</v>
      </c>
      <c r="D19" s="1143">
        <f>IF(B1="仅计算典型户型",'数据-取费表'!E5,'数据-取费表'!B5)</f>
        <v>108.17</v>
      </c>
      <c r="E19" s="111">
        <f>'数据-取费表'!E15</f>
        <v>200</v>
      </c>
      <c r="F19" s="112"/>
      <c r="G19" s="1485"/>
    </row>
    <row r="20" spans="1:123" s="91" customFormat="1" ht="13.5" customHeight="1">
      <c r="A20" s="120" t="s">
        <v>1884</v>
      </c>
      <c r="B20" s="89" t="s">
        <v>1885</v>
      </c>
      <c r="C20" s="99">
        <f>ROUND((C5+C19)*F20,0)</f>
        <v>21043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91119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1855</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1869</v>
      </c>
      <c r="B25" s="93" t="s">
        <v>1898</v>
      </c>
      <c r="C25" s="1093">
        <f ca="1">ROUND(IF('数据-取费表'!B24&lt;=1,C20*F22*'数据-取费表'!B25/2,C20*(POWER((1+F22),'数据-取费表'!B25/2)-1)),0)</f>
        <v>884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2" t="s">
        <v>1902</v>
      </c>
      <c r="B27" s="110" t="s">
        <v>1903</v>
      </c>
      <c r="C27" s="111">
        <f>C28</f>
        <v>160977</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160977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1434589</v>
      </c>
      <c r="D31" s="1143"/>
      <c r="E31" s="111"/>
      <c r="F31" s="1144"/>
      <c r="G31" s="100" t="s">
        <v>1911</v>
      </c>
    </row>
    <row r="32" spans="1:123" s="88" customFormat="1" ht="16">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473784</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432680</v>
      </c>
      <c r="D34" s="1135"/>
      <c r="E34" s="115"/>
      <c r="F34" s="1146" t="str">
        <f>IF('数据-取费表'!B26=0,"",'数据-取费表'!E20)</f>
        <v/>
      </c>
      <c r="G34" s="95"/>
    </row>
    <row r="35" spans="1:123" ht="13.5" customHeight="1">
      <c r="A35" s="92" t="s">
        <v>1867</v>
      </c>
      <c r="B35" s="93" t="s">
        <v>1916</v>
      </c>
      <c r="C35" s="115">
        <f>ROUND(C34*F35,0)</f>
        <v>12980</v>
      </c>
      <c r="D35" s="115"/>
      <c r="E35" s="115"/>
      <c r="F35" s="1147">
        <f>'数据-取费表'!E21</f>
        <v>0.03</v>
      </c>
      <c r="G35" s="95" t="s">
        <v>1917</v>
      </c>
    </row>
    <row r="36" spans="1:123" ht="26">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21634</v>
      </c>
      <c r="D37" s="1135">
        <f>IF(B1="仅计算典型户型",'数据-取费表'!E5,'数据-取费表'!B5)</f>
        <v>108.17</v>
      </c>
      <c r="E37" s="115">
        <f>'数据-取费表'!E23</f>
        <v>200</v>
      </c>
      <c r="F37" s="1147"/>
      <c r="G37" s="124" t="s">
        <v>1921</v>
      </c>
    </row>
    <row r="38" spans="1:123" ht="13.5" customHeight="1">
      <c r="A38" s="92" t="s">
        <v>1922</v>
      </c>
      <c r="B38" s="93" t="s">
        <v>1923</v>
      </c>
      <c r="C38" s="115">
        <f>ROUND(C34*F38,0)</f>
        <v>6490</v>
      </c>
      <c r="D38" s="115"/>
      <c r="E38" s="115"/>
      <c r="F38" s="1147">
        <f>'数据-取费表'!E24</f>
        <v>1.4999999999999999E-2</v>
      </c>
      <c r="G38" s="95" t="s">
        <v>1917</v>
      </c>
    </row>
    <row r="39" spans="1:123" s="91" customFormat="1" ht="13.5" customHeight="1">
      <c r="A39" s="120" t="s">
        <v>1882</v>
      </c>
      <c r="B39" s="89" t="s">
        <v>1885</v>
      </c>
      <c r="C39" s="99">
        <f>ROUND(C33*F20,0)</f>
        <v>9476</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20297</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19899</v>
      </c>
      <c r="D42" s="104"/>
      <c r="E42" s="104"/>
      <c r="F42" s="105"/>
      <c r="G42" s="3591" t="s">
        <v>1927</v>
      </c>
    </row>
    <row r="43" spans="1:123" ht="13.5" customHeight="1">
      <c r="A43" s="92" t="s">
        <v>1867</v>
      </c>
      <c r="B43" s="93" t="s">
        <v>1896</v>
      </c>
      <c r="C43" s="104">
        <f ca="1">ROUND(IF('数据-取费表'!B24&lt;=1,C39*F22*'数据-取费表'!B23/2,C39*(POWER((1+F22),'数据-取费表'!B23/2)-1)),0)</f>
        <v>398</v>
      </c>
      <c r="D43" s="104"/>
      <c r="E43" s="104"/>
      <c r="F43" s="105"/>
      <c r="G43" s="3592"/>
    </row>
    <row r="44" spans="1:123" ht="13.5" customHeight="1">
      <c r="A44" s="92" t="s">
        <v>1869</v>
      </c>
      <c r="B44" s="93" t="s">
        <v>1898</v>
      </c>
      <c r="C44" s="104">
        <f ca="1">ROUND(IF('数据-取费表'!B24&lt;=1,C40*F22*'数据-取费表'!B23/2,C40*(POWER((1+F22),'数据-取费表'!B23/2)-1)),4)</f>
        <v>8.0000000000000004E-4</v>
      </c>
      <c r="D44" s="104"/>
      <c r="E44" s="104"/>
      <c r="F44" s="105"/>
      <c r="G44" s="3593"/>
    </row>
    <row r="45" spans="1:123" s="91" customFormat="1" ht="13.5" customHeight="1">
      <c r="A45" s="120" t="s">
        <v>1891</v>
      </c>
      <c r="B45" s="110" t="s">
        <v>1903</v>
      </c>
      <c r="C45" s="111">
        <f>C46</f>
        <v>72489</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72489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623561</v>
      </c>
      <c r="D49" s="99"/>
      <c r="E49" s="99"/>
      <c r="F49" s="126"/>
      <c r="G49" s="100" t="s">
        <v>1935</v>
      </c>
    </row>
    <row r="50" spans="1:123" s="122" customFormat="1" ht="26">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480142</v>
      </c>
      <c r="D51" s="99"/>
      <c r="E51" s="99"/>
      <c r="F51" s="126"/>
      <c r="G51" s="100" t="s">
        <v>1941</v>
      </c>
    </row>
    <row r="52" spans="1:123" s="88" customFormat="1" ht="16.5" thickBot="1">
      <c r="A52" s="127" t="s">
        <v>1942</v>
      </c>
      <c r="B52" s="128"/>
      <c r="C52" s="129">
        <f ca="1">C31+C51</f>
        <v>1914731</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5">
      <c r="B55" s="132" t="s">
        <v>1943</v>
      </c>
      <c r="C55" s="133"/>
    </row>
    <row r="56" spans="1:123" ht="13">
      <c r="B56" s="135" t="s">
        <v>1944</v>
      </c>
      <c r="C56" s="136">
        <f ca="1">ROUND(C51/C52,3)</f>
        <v>0.251</v>
      </c>
    </row>
    <row r="57" spans="1:123" ht="13">
      <c r="B57" s="135" t="s">
        <v>1945</v>
      </c>
      <c r="C57" s="137">
        <f ca="1">1-C56</f>
        <v>0.749</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0</v>
      </c>
      <c r="C2" s="1368" t="str">
        <f>'数据-取费表'!B3</f>
        <v>万元</v>
      </c>
      <c r="D2" s="922"/>
      <c r="E2" s="922"/>
      <c r="F2" s="922"/>
      <c r="G2" s="922"/>
      <c r="H2" s="922"/>
      <c r="I2" s="922"/>
      <c r="J2" s="922"/>
      <c r="K2" s="922"/>
    </row>
    <row r="3" spans="1:33" s="139" customFormat="1" ht="18" customHeight="1" thickBot="1">
      <c r="A3" s="83" t="s">
        <v>1231</v>
      </c>
      <c r="B3" s="84" t="e">
        <f ca="1">ROUND(C32/IF(C1="仅计算典型户型",'数据-取费表'!E5,'数据-取费表'!B5),0)</f>
        <v>#DIV/0!</v>
      </c>
      <c r="C3" s="1368" t="s">
        <v>1232</v>
      </c>
      <c r="D3" s="922"/>
      <c r="E3" s="922"/>
      <c r="F3" s="922"/>
      <c r="G3" s="922"/>
      <c r="H3" s="922"/>
      <c r="I3" s="922"/>
      <c r="J3" s="922"/>
      <c r="K3" s="922"/>
    </row>
    <row r="4" spans="1:33" s="143" customFormat="1" ht="16.5" customHeight="1">
      <c r="A4" s="140" t="s">
        <v>1233</v>
      </c>
      <c r="B4" s="141"/>
      <c r="C4" s="1091">
        <f>SUM(C8:K8)</f>
        <v>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0</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0</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0</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0</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0</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0</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0</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0</v>
      </c>
      <c r="D30" s="193"/>
      <c r="E30" s="206"/>
      <c r="F30" s="203"/>
      <c r="G30" s="147"/>
      <c r="H30" s="170"/>
      <c r="I30" s="170"/>
      <c r="J30" s="170"/>
      <c r="K30" s="171"/>
    </row>
    <row r="31" spans="1:33" s="182" customFormat="1" ht="13.5" customHeight="1" thickBot="1">
      <c r="A31" s="1370"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2322</v>
      </c>
      <c r="C1" s="1606" t="s">
        <v>3012</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0</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0</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2038"/>
      <c r="Y4" s="3616" t="s">
        <v>2191</v>
      </c>
      <c r="Z4" s="3617"/>
      <c r="AA4" s="3603" t="s">
        <v>2187</v>
      </c>
      <c r="AB4" s="3603" t="s">
        <v>2188</v>
      </c>
      <c r="AC4" s="3603" t="s">
        <v>2189</v>
      </c>
    </row>
    <row r="5" spans="1:29">
      <c r="A5" s="1635"/>
      <c r="B5" s="1636"/>
      <c r="C5" s="3623" t="s">
        <v>3018</v>
      </c>
      <c r="D5" s="3624"/>
      <c r="E5" s="3623" t="s">
        <v>3013</v>
      </c>
      <c r="F5" s="3624"/>
      <c r="G5" s="3599" t="s">
        <v>3027</v>
      </c>
      <c r="H5" s="3600"/>
      <c r="I5" s="3623" t="s">
        <v>3013</v>
      </c>
      <c r="J5" s="3624"/>
      <c r="K5" s="1929"/>
      <c r="L5" s="2957"/>
      <c r="M5" s="2958"/>
      <c r="N5" s="2958"/>
      <c r="O5" s="2958"/>
      <c r="P5" s="3612"/>
      <c r="Q5" s="3613"/>
      <c r="R5" s="3618"/>
      <c r="S5" s="3619"/>
      <c r="T5" s="3618"/>
      <c r="U5" s="3619"/>
      <c r="V5" s="3622"/>
      <c r="W5" s="3622"/>
      <c r="X5" s="2038"/>
      <c r="Y5" s="3618"/>
      <c r="Z5" s="3619"/>
      <c r="AA5" s="3604"/>
      <c r="AB5" s="3604"/>
      <c r="AC5" s="3604"/>
    </row>
    <row r="6" spans="1:29"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2038"/>
      <c r="Y6" s="3620"/>
      <c r="Z6" s="3621"/>
      <c r="AA6" s="3605"/>
      <c r="AB6" s="3605"/>
      <c r="AC6" s="3605"/>
    </row>
    <row r="7" spans="1:29" s="1652" customFormat="1" ht="14.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601" t="s">
        <v>2199</v>
      </c>
      <c r="Q7" s="3625"/>
      <c r="R7" s="1648" t="s">
        <v>25</v>
      </c>
      <c r="S7" s="1649">
        <f t="shared" ref="S7:S15" si="0">F7</f>
        <v>100</v>
      </c>
      <c r="T7" s="1648" t="s">
        <v>25</v>
      </c>
      <c r="U7" s="1649">
        <f t="shared" ref="U7:U15" si="1">H7</f>
        <v>100</v>
      </c>
      <c r="V7" s="1648" t="s">
        <v>25</v>
      </c>
      <c r="W7" s="1649">
        <f t="shared" ref="W7:W15" si="2">J7</f>
        <v>100</v>
      </c>
      <c r="X7" s="1650"/>
      <c r="Y7" s="3601" t="s">
        <v>2199</v>
      </c>
      <c r="Z7" s="3602"/>
      <c r="AA7" s="1651">
        <f>D7/F7</f>
        <v>1</v>
      </c>
      <c r="AB7" s="1651">
        <f>D7/H7</f>
        <v>1</v>
      </c>
      <c r="AC7" s="1651">
        <f>D7/J7</f>
        <v>1</v>
      </c>
    </row>
    <row r="8" spans="1:29" s="1652" customFormat="1" ht="14.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601" t="s">
        <v>2202</v>
      </c>
      <c r="Q8" s="3602"/>
      <c r="R8" s="1648" t="s">
        <v>25</v>
      </c>
      <c r="S8" s="1649">
        <f t="shared" si="0"/>
        <v>100</v>
      </c>
      <c r="T8" s="1648" t="s">
        <v>25</v>
      </c>
      <c r="U8" s="1649">
        <f t="shared" si="1"/>
        <v>100</v>
      </c>
      <c r="V8" s="1648" t="s">
        <v>25</v>
      </c>
      <c r="W8" s="1649">
        <f t="shared" si="2"/>
        <v>100</v>
      </c>
      <c r="X8" s="1650"/>
      <c r="Y8" s="3601" t="s">
        <v>2202</v>
      </c>
      <c r="Z8" s="3602"/>
      <c r="AA8" s="1651">
        <f t="shared" ref="AA8:AA47" si="3">D8/F8</f>
        <v>1</v>
      </c>
      <c r="AB8" s="1651">
        <f t="shared" ref="AB8:AB47" si="4">D8/H8</f>
        <v>1</v>
      </c>
      <c r="AC8" s="1651">
        <f t="shared" ref="AC8:AC47" si="5">D8/J8</f>
        <v>1</v>
      </c>
    </row>
    <row r="9" spans="1:29" s="1652" customFormat="1">
      <c r="A9" s="2030" t="s">
        <v>2203</v>
      </c>
      <c r="B9" s="1654" t="s">
        <v>2204</v>
      </c>
      <c r="C9" s="3306" t="s">
        <v>2994</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98" t="s">
        <v>2205</v>
      </c>
      <c r="Q9" s="2875"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5" thickBot="1">
      <c r="A10" s="1661"/>
      <c r="B10" s="1662" t="s">
        <v>2207</v>
      </c>
      <c r="C10" s="1663" t="s">
        <v>3028</v>
      </c>
      <c r="D10" s="1664">
        <v>100</v>
      </c>
      <c r="E10" s="1663" t="s">
        <v>3028</v>
      </c>
      <c r="F10" s="1664">
        <f>SUMIF(66:66,E10,67:67)-SUMIF(66:66,C10,67:67)+100</f>
        <v>100</v>
      </c>
      <c r="G10" s="1663" t="s">
        <v>3028</v>
      </c>
      <c r="H10" s="1664">
        <f>SUMIF(66:66,G10,67:67)-SUMIF(66:66,C10,67:67)+100</f>
        <v>100</v>
      </c>
      <c r="I10" s="1663" t="s">
        <v>3028</v>
      </c>
      <c r="J10" s="1664">
        <f>SUMIF(66:66,I10,67:67)-SUMIF(66:66,C10,67:67)+100</f>
        <v>100</v>
      </c>
      <c r="K10" s="1956">
        <v>2</v>
      </c>
      <c r="L10" s="2959"/>
      <c r="M10" s="2960"/>
      <c r="N10" s="2960"/>
      <c r="O10" s="2960"/>
      <c r="P10" s="3598"/>
      <c r="Q10" s="2875"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98"/>
      <c r="Q11" s="2875" t="str">
        <f t="shared" si="6"/>
        <v>容积率</v>
      </c>
      <c r="R11" s="1648" t="s">
        <v>25</v>
      </c>
      <c r="S11" s="1649">
        <f t="shared" si="0"/>
        <v>100</v>
      </c>
      <c r="T11" s="1648" t="s">
        <v>25</v>
      </c>
      <c r="U11" s="1649">
        <f t="shared" si="1"/>
        <v>100</v>
      </c>
      <c r="V11" s="1648" t="s">
        <v>25</v>
      </c>
      <c r="W11" s="1649">
        <f t="shared" si="2"/>
        <v>100</v>
      </c>
      <c r="X11" s="1650"/>
      <c r="Y11" s="3524"/>
      <c r="Z11" s="1660" t="str">
        <f t="shared" si="7"/>
        <v>容积率</v>
      </c>
      <c r="AA11" s="1651">
        <f t="shared" si="3"/>
        <v>1</v>
      </c>
      <c r="AB11" s="1651">
        <f t="shared" si="4"/>
        <v>1</v>
      </c>
      <c r="AC11" s="1651">
        <f t="shared" si="5"/>
        <v>1</v>
      </c>
    </row>
    <row r="12" spans="1:29" s="1652" customFormat="1" ht="15.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98"/>
      <c r="Q12" s="2875">
        <f t="shared" si="6"/>
        <v>111</v>
      </c>
      <c r="R12" s="1648" t="s">
        <v>25</v>
      </c>
      <c r="S12" s="1649">
        <f t="shared" si="0"/>
        <v>100</v>
      </c>
      <c r="T12" s="1648" t="s">
        <v>25</v>
      </c>
      <c r="U12" s="1649">
        <f t="shared" si="1"/>
        <v>100</v>
      </c>
      <c r="V12" s="1648" t="s">
        <v>25</v>
      </c>
      <c r="W12" s="1649">
        <f t="shared" si="2"/>
        <v>100</v>
      </c>
      <c r="X12" s="1650"/>
      <c r="Y12" s="3524"/>
      <c r="Z12" s="1660">
        <f t="shared" si="7"/>
        <v>111</v>
      </c>
      <c r="AA12" s="1651">
        <f>D12/F12</f>
        <v>1</v>
      </c>
      <c r="AB12" s="1651">
        <f>D12/H12</f>
        <v>1</v>
      </c>
      <c r="AC12" s="1651">
        <f>D12/J12</f>
        <v>1</v>
      </c>
    </row>
    <row r="13" spans="1:29" ht="15.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98"/>
      <c r="Q13" s="2875">
        <f t="shared" si="6"/>
        <v>111</v>
      </c>
      <c r="R13" s="1648" t="s">
        <v>25</v>
      </c>
      <c r="S13" s="1649">
        <f t="shared" si="0"/>
        <v>100</v>
      </c>
      <c r="T13" s="1648" t="s">
        <v>25</v>
      </c>
      <c r="U13" s="1649">
        <f t="shared" si="1"/>
        <v>100</v>
      </c>
      <c r="V13" s="1648" t="s">
        <v>25</v>
      </c>
      <c r="W13" s="1649">
        <f t="shared" si="2"/>
        <v>100</v>
      </c>
      <c r="X13" s="1650"/>
      <c r="Y13" s="3524"/>
      <c r="Z13" s="1660">
        <f t="shared" si="7"/>
        <v>111</v>
      </c>
      <c r="AA13" s="1651">
        <f t="shared" si="3"/>
        <v>1</v>
      </c>
      <c r="AB13" s="1651">
        <f t="shared" si="4"/>
        <v>1</v>
      </c>
      <c r="AC13" s="1651">
        <f t="shared" si="5"/>
        <v>1</v>
      </c>
    </row>
    <row r="14" spans="1:29" ht="16"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98"/>
      <c r="Q14" s="2875">
        <f t="shared" si="6"/>
        <v>111</v>
      </c>
      <c r="R14" s="1648" t="s">
        <v>25</v>
      </c>
      <c r="S14" s="1649">
        <f t="shared" si="0"/>
        <v>100</v>
      </c>
      <c r="T14" s="1648" t="s">
        <v>25</v>
      </c>
      <c r="U14" s="1649">
        <f t="shared" si="1"/>
        <v>100</v>
      </c>
      <c r="V14" s="1648" t="s">
        <v>25</v>
      </c>
      <c r="W14" s="1649">
        <f t="shared" si="2"/>
        <v>100</v>
      </c>
      <c r="X14" s="1650"/>
      <c r="Y14" s="3524"/>
      <c r="Z14" s="1660">
        <f t="shared" si="7"/>
        <v>111</v>
      </c>
      <c r="AA14" s="1651">
        <f t="shared" si="3"/>
        <v>1</v>
      </c>
      <c r="AB14" s="1651">
        <f t="shared" si="4"/>
        <v>1</v>
      </c>
      <c r="AC14" s="1651">
        <f t="shared" si="5"/>
        <v>1</v>
      </c>
    </row>
    <row r="15" spans="1:29" ht="15.5">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626" t="s">
        <v>2210</v>
      </c>
      <c r="Q15" s="2876" t="str">
        <f t="shared" si="6"/>
        <v>办公集聚程度</v>
      </c>
      <c r="R15" s="1692" t="s">
        <v>25</v>
      </c>
      <c r="S15" s="1693">
        <f t="shared" si="0"/>
        <v>100</v>
      </c>
      <c r="T15" s="1692" t="s">
        <v>25</v>
      </c>
      <c r="U15" s="1693">
        <f t="shared" si="1"/>
        <v>100</v>
      </c>
      <c r="V15" s="1692" t="s">
        <v>25</v>
      </c>
      <c r="W15" s="1693">
        <f t="shared" si="2"/>
        <v>100</v>
      </c>
      <c r="X15" s="2038"/>
      <c r="Y15" s="3626" t="s">
        <v>2210</v>
      </c>
      <c r="Z15" s="2042" t="str">
        <f t="shared" si="7"/>
        <v>办公集聚程度</v>
      </c>
      <c r="AA15" s="2033">
        <f t="shared" si="3"/>
        <v>1</v>
      </c>
      <c r="AB15" s="2033">
        <f t="shared" si="4"/>
        <v>1</v>
      </c>
      <c r="AC15" s="2033">
        <f t="shared" si="5"/>
        <v>1</v>
      </c>
    </row>
    <row r="16" spans="1:29" ht="15.5">
      <c r="A16" s="1669"/>
      <c r="B16" s="2457"/>
      <c r="C16" s="1939" t="s">
        <v>30</v>
      </c>
      <c r="D16" s="1698"/>
      <c r="E16" s="1939" t="s">
        <v>30</v>
      </c>
      <c r="F16" s="1698"/>
      <c r="G16" s="1939" t="s">
        <v>30</v>
      </c>
      <c r="H16" s="1702"/>
      <c r="I16" s="1939" t="s">
        <v>30</v>
      </c>
      <c r="J16" s="1698"/>
      <c r="K16" s="2437"/>
      <c r="L16" s="2962"/>
      <c r="M16" s="2958"/>
      <c r="N16" s="2958"/>
      <c r="O16" s="2958"/>
      <c r="P16" s="3627"/>
      <c r="Q16" s="2876"/>
      <c r="R16" s="1692"/>
      <c r="S16" s="1693"/>
      <c r="T16" s="1692"/>
      <c r="U16" s="1693"/>
      <c r="V16" s="1692"/>
      <c r="W16" s="1693"/>
      <c r="X16" s="2038"/>
      <c r="Y16" s="3627"/>
      <c r="Z16" s="2042"/>
      <c r="AA16" s="2033">
        <v>1</v>
      </c>
      <c r="AB16" s="2033">
        <v>1</v>
      </c>
      <c r="AC16" s="2033">
        <v>1</v>
      </c>
    </row>
    <row r="17" spans="1:29" ht="126">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627"/>
      <c r="Q17" s="2876" t="str">
        <f>B17</f>
        <v>交通便捷度</v>
      </c>
      <c r="R17" s="1692" t="s">
        <v>25</v>
      </c>
      <c r="S17" s="1693">
        <f>F17</f>
        <v>100</v>
      </c>
      <c r="T17" s="1692" t="s">
        <v>25</v>
      </c>
      <c r="U17" s="1693">
        <f>H17</f>
        <v>100</v>
      </c>
      <c r="V17" s="1692" t="s">
        <v>25</v>
      </c>
      <c r="W17" s="1693">
        <f>J17</f>
        <v>100</v>
      </c>
      <c r="X17" s="2038"/>
      <c r="Y17" s="3627"/>
      <c r="Z17" s="2042" t="str">
        <f>Q17</f>
        <v>交通便捷度</v>
      </c>
      <c r="AA17" s="2033">
        <f t="shared" si="3"/>
        <v>1</v>
      </c>
      <c r="AB17" s="2033">
        <f t="shared" si="4"/>
        <v>1</v>
      </c>
      <c r="AC17" s="2033">
        <f t="shared" si="5"/>
        <v>1</v>
      </c>
    </row>
    <row r="18" spans="1:29" ht="15.5">
      <c r="A18" s="1669"/>
      <c r="B18" s="2459"/>
      <c r="C18" s="1939" t="s">
        <v>30</v>
      </c>
      <c r="D18" s="1702"/>
      <c r="E18" s="1939" t="s">
        <v>30</v>
      </c>
      <c r="F18" s="1702"/>
      <c r="G18" s="1939" t="s">
        <v>30</v>
      </c>
      <c r="H18" s="1698"/>
      <c r="I18" s="1939" t="s">
        <v>30</v>
      </c>
      <c r="J18" s="1698"/>
      <c r="K18" s="2437"/>
      <c r="L18" s="2962"/>
      <c r="M18" s="2958"/>
      <c r="N18" s="2958"/>
      <c r="O18" s="2958"/>
      <c r="P18" s="3627"/>
      <c r="Q18" s="2876"/>
      <c r="R18" s="1692"/>
      <c r="S18" s="1693"/>
      <c r="T18" s="1692"/>
      <c r="U18" s="1693"/>
      <c r="V18" s="1692"/>
      <c r="W18" s="1693"/>
      <c r="X18" s="2038"/>
      <c r="Y18" s="3627"/>
      <c r="Z18" s="2042"/>
      <c r="AA18" s="2033">
        <v>1</v>
      </c>
      <c r="AB18" s="2033">
        <v>1</v>
      </c>
      <c r="AC18" s="2033">
        <v>1</v>
      </c>
    </row>
    <row r="19" spans="1:29" ht="56">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627"/>
      <c r="Q19" s="2876" t="str">
        <f>B19</f>
        <v>公共配套设施</v>
      </c>
      <c r="R19" s="1692" t="s">
        <v>25</v>
      </c>
      <c r="S19" s="1693">
        <f>F19</f>
        <v>100</v>
      </c>
      <c r="T19" s="1692" t="s">
        <v>25</v>
      </c>
      <c r="U19" s="1693">
        <f>H19</f>
        <v>100</v>
      </c>
      <c r="V19" s="1692" t="s">
        <v>25</v>
      </c>
      <c r="W19" s="1693">
        <f>J19</f>
        <v>100</v>
      </c>
      <c r="X19" s="2038"/>
      <c r="Y19" s="3627"/>
      <c r="Z19" s="2042" t="str">
        <f>Q19</f>
        <v>公共配套设施</v>
      </c>
      <c r="AA19" s="2033">
        <f t="shared" si="3"/>
        <v>1</v>
      </c>
      <c r="AB19" s="2033">
        <f t="shared" si="4"/>
        <v>1</v>
      </c>
      <c r="AC19" s="2033">
        <f t="shared" si="5"/>
        <v>1</v>
      </c>
    </row>
    <row r="20" spans="1:29" ht="15.5">
      <c r="A20" s="1669"/>
      <c r="B20" s="2459"/>
      <c r="C20" s="1939" t="s">
        <v>30</v>
      </c>
      <c r="D20" s="1698"/>
      <c r="E20" s="1939" t="s">
        <v>30</v>
      </c>
      <c r="F20" s="1698"/>
      <c r="G20" s="1939" t="s">
        <v>30</v>
      </c>
      <c r="H20" s="1698"/>
      <c r="I20" s="1939" t="s">
        <v>30</v>
      </c>
      <c r="J20" s="1698"/>
      <c r="K20" s="2437"/>
      <c r="L20" s="2962"/>
      <c r="M20" s="2958"/>
      <c r="N20" s="2958"/>
      <c r="O20" s="2958"/>
      <c r="P20" s="3627"/>
      <c r="Q20" s="2876"/>
      <c r="R20" s="1692"/>
      <c r="S20" s="1693"/>
      <c r="T20" s="1692"/>
      <c r="U20" s="1693"/>
      <c r="V20" s="1692"/>
      <c r="W20" s="1693"/>
      <c r="X20" s="2038"/>
      <c r="Y20" s="3627"/>
      <c r="Z20" s="2042"/>
      <c r="AA20" s="2033">
        <v>1</v>
      </c>
      <c r="AB20" s="2033">
        <v>1</v>
      </c>
      <c r="AC20" s="2033">
        <v>1</v>
      </c>
    </row>
    <row r="21" spans="1:29" ht="42">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627"/>
      <c r="Q21" s="2876" t="str">
        <f>B21</f>
        <v>基础设施水平</v>
      </c>
      <c r="R21" s="1692" t="s">
        <v>25</v>
      </c>
      <c r="S21" s="1693">
        <f>F21</f>
        <v>100</v>
      </c>
      <c r="T21" s="1692" t="s">
        <v>25</v>
      </c>
      <c r="U21" s="1693">
        <f>H21</f>
        <v>100</v>
      </c>
      <c r="V21" s="1692" t="s">
        <v>25</v>
      </c>
      <c r="W21" s="1693">
        <f>J21</f>
        <v>100</v>
      </c>
      <c r="X21" s="2038"/>
      <c r="Y21" s="3627"/>
      <c r="Z21" s="2042" t="str">
        <f>Q21</f>
        <v>基础设施水平</v>
      </c>
      <c r="AA21" s="2033">
        <f t="shared" ref="AA21" si="8">D21/F21</f>
        <v>1</v>
      </c>
      <c r="AB21" s="2033">
        <f t="shared" ref="AB21" si="9">D21/H21</f>
        <v>1</v>
      </c>
      <c r="AC21" s="2033">
        <f t="shared" ref="AC21" si="10">D21/J21</f>
        <v>1</v>
      </c>
    </row>
    <row r="22" spans="1:29" ht="15.5">
      <c r="A22" s="1669"/>
      <c r="B22" s="2460"/>
      <c r="C22" s="1943" t="s">
        <v>2995</v>
      </c>
      <c r="D22" s="1698"/>
      <c r="E22" s="1943" t="s">
        <v>2995</v>
      </c>
      <c r="F22" s="1698"/>
      <c r="G22" s="1943" t="s">
        <v>2995</v>
      </c>
      <c r="H22" s="1698"/>
      <c r="I22" s="1943" t="s">
        <v>2995</v>
      </c>
      <c r="J22" s="1698"/>
      <c r="K22" s="2438"/>
      <c r="L22" s="2962"/>
      <c r="M22" s="2958"/>
      <c r="N22" s="2958"/>
      <c r="O22" s="2958"/>
      <c r="P22" s="3627"/>
      <c r="Q22" s="2876"/>
      <c r="R22" s="1692"/>
      <c r="S22" s="1693"/>
      <c r="T22" s="1692"/>
      <c r="U22" s="1693"/>
      <c r="V22" s="1692"/>
      <c r="W22" s="1693"/>
      <c r="X22" s="2038"/>
      <c r="Y22" s="3627"/>
      <c r="Z22" s="2042"/>
      <c r="AA22" s="2033">
        <v>1</v>
      </c>
      <c r="AB22" s="2033">
        <v>1</v>
      </c>
      <c r="AC22" s="2033">
        <v>1</v>
      </c>
    </row>
    <row r="23" spans="1:29" ht="84">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627"/>
      <c r="Q23" s="2876" t="str">
        <f>B23</f>
        <v>环境质量</v>
      </c>
      <c r="R23" s="1692" t="s">
        <v>25</v>
      </c>
      <c r="S23" s="1693">
        <f>F23</f>
        <v>100</v>
      </c>
      <c r="T23" s="1692" t="s">
        <v>25</v>
      </c>
      <c r="U23" s="1693">
        <f>H23</f>
        <v>100</v>
      </c>
      <c r="V23" s="1692" t="s">
        <v>25</v>
      </c>
      <c r="W23" s="1693">
        <f>J23</f>
        <v>100</v>
      </c>
      <c r="X23" s="2038"/>
      <c r="Y23" s="3627"/>
      <c r="Z23" s="2042" t="str">
        <f>Q23</f>
        <v>环境质量</v>
      </c>
      <c r="AA23" s="2033">
        <f t="shared" si="3"/>
        <v>1</v>
      </c>
      <c r="AB23" s="2033">
        <f t="shared" si="4"/>
        <v>1</v>
      </c>
      <c r="AC23" s="2033">
        <f t="shared" si="5"/>
        <v>1</v>
      </c>
    </row>
    <row r="24" spans="1:29" ht="15.5">
      <c r="A24" s="1669"/>
      <c r="B24" s="2460"/>
      <c r="C24" s="1939" t="s">
        <v>30</v>
      </c>
      <c r="D24" s="1698"/>
      <c r="E24" s="1939" t="s">
        <v>30</v>
      </c>
      <c r="F24" s="1698"/>
      <c r="G24" s="1939" t="s">
        <v>30</v>
      </c>
      <c r="H24" s="1698"/>
      <c r="I24" s="1939" t="s">
        <v>30</v>
      </c>
      <c r="J24" s="1698"/>
      <c r="K24" s="2437"/>
      <c r="L24" s="2962"/>
      <c r="M24" s="2958"/>
      <c r="N24" s="2958"/>
      <c r="O24" s="2958"/>
      <c r="P24" s="3627"/>
      <c r="Q24" s="2876"/>
      <c r="R24" s="1692"/>
      <c r="S24" s="1693"/>
      <c r="T24" s="1692"/>
      <c r="U24" s="1693"/>
      <c r="V24" s="1692"/>
      <c r="W24" s="1693"/>
      <c r="X24" s="2038"/>
      <c r="Y24" s="3627"/>
      <c r="Z24" s="2042"/>
      <c r="AA24" s="2033">
        <v>1</v>
      </c>
      <c r="AB24" s="2033">
        <v>1</v>
      </c>
      <c r="AC24" s="2033">
        <v>1</v>
      </c>
    </row>
    <row r="25" spans="1:29" ht="28"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627"/>
      <c r="Q25" s="2876" t="str">
        <f>B25</f>
        <v>毗邻道路的类型与等级</v>
      </c>
      <c r="R25" s="1692" t="s">
        <v>25</v>
      </c>
      <c r="S25" s="1693">
        <f>F25</f>
        <v>100</v>
      </c>
      <c r="T25" s="1692" t="s">
        <v>25</v>
      </c>
      <c r="U25" s="1693">
        <f>H25</f>
        <v>100</v>
      </c>
      <c r="V25" s="1692" t="s">
        <v>25</v>
      </c>
      <c r="W25" s="1693">
        <f>J25</f>
        <v>100</v>
      </c>
      <c r="X25" s="2038"/>
      <c r="Y25" s="3627"/>
      <c r="Z25" s="2042" t="str">
        <f>Q25</f>
        <v>毗邻道路的类型与等级</v>
      </c>
      <c r="AA25" s="2033">
        <f t="shared" si="3"/>
        <v>1</v>
      </c>
      <c r="AB25" s="2033">
        <f t="shared" si="4"/>
        <v>1</v>
      </c>
      <c r="AC25" s="2033">
        <f t="shared" si="5"/>
        <v>1</v>
      </c>
    </row>
    <row r="26" spans="1:29" ht="15.5" hidden="1">
      <c r="A26" s="1635"/>
      <c r="B26" s="2459"/>
      <c r="C26" s="1947"/>
      <c r="D26" s="1678"/>
      <c r="E26" s="1955"/>
      <c r="F26" s="1678"/>
      <c r="G26" s="1947"/>
      <c r="H26" s="1678"/>
      <c r="I26" s="1955"/>
      <c r="J26" s="1678"/>
      <c r="K26" s="2437"/>
      <c r="L26" s="2962"/>
      <c r="M26" s="2958"/>
      <c r="N26" s="2958"/>
      <c r="O26" s="2958"/>
      <c r="P26" s="3627"/>
      <c r="Q26" s="2876"/>
      <c r="R26" s="1692"/>
      <c r="S26" s="1693"/>
      <c r="T26" s="1692"/>
      <c r="U26" s="1693"/>
      <c r="V26" s="1692"/>
      <c r="W26" s="1693"/>
      <c r="X26" s="2038"/>
      <c r="Y26" s="3627"/>
      <c r="Z26" s="2042"/>
      <c r="AA26" s="2033">
        <v>1</v>
      </c>
      <c r="AB26" s="2033">
        <v>1</v>
      </c>
      <c r="AC26" s="2033">
        <v>1</v>
      </c>
    </row>
    <row r="27" spans="1:29" ht="16" thickBot="1">
      <c r="A27" s="1669"/>
      <c r="B27" s="2459" t="s">
        <v>2300</v>
      </c>
      <c r="C27" s="1947" t="s">
        <v>3002</v>
      </c>
      <c r="D27" s="1678">
        <v>100</v>
      </c>
      <c r="E27" s="1955" t="s">
        <v>3019</v>
      </c>
      <c r="F27" s="1678">
        <f>SUMIF(89:89,E27,90:90)-SUMIF(89:89,C27,90:90)+100</f>
        <v>97</v>
      </c>
      <c r="G27" s="1947" t="s">
        <v>3002</v>
      </c>
      <c r="H27" s="1678">
        <f>SUMIF(89:89,G27,90:90)-SUMIF(89:89,C27,90:90)+100</f>
        <v>100</v>
      </c>
      <c r="I27" s="1955" t="s">
        <v>3009</v>
      </c>
      <c r="J27" s="1678">
        <f>SUMIF(89:89,I27,90:90)-SUMIF(89:89,C27,90:90)+100</f>
        <v>94</v>
      </c>
      <c r="K27" s="3320">
        <v>3</v>
      </c>
      <c r="L27" s="2962"/>
      <c r="M27" s="2958"/>
      <c r="N27" s="2958"/>
      <c r="O27" s="2958"/>
      <c r="P27" s="3627"/>
      <c r="Q27" s="2876" t="str">
        <f t="shared" ref="Q27:Q47" si="11">B27</f>
        <v>楼层</v>
      </c>
      <c r="R27" s="1692" t="s">
        <v>25</v>
      </c>
      <c r="S27" s="1693">
        <f>F27</f>
        <v>97</v>
      </c>
      <c r="T27" s="1692" t="s">
        <v>25</v>
      </c>
      <c r="U27" s="1693">
        <f>H27</f>
        <v>100</v>
      </c>
      <c r="V27" s="1692" t="s">
        <v>25</v>
      </c>
      <c r="W27" s="1693">
        <f>J27</f>
        <v>94</v>
      </c>
      <c r="X27" s="2038"/>
      <c r="Y27" s="3627"/>
      <c r="Z27" s="2042" t="str">
        <f>Q27</f>
        <v>楼层</v>
      </c>
      <c r="AA27" s="2033">
        <f t="shared" si="3"/>
        <v>1.0309278350515463</v>
      </c>
      <c r="AB27" s="2033">
        <f t="shared" si="4"/>
        <v>1</v>
      </c>
      <c r="AC27" s="2033">
        <f t="shared" si="5"/>
        <v>1.0638297872340425</v>
      </c>
    </row>
    <row r="28" spans="1:29" s="1652" customFormat="1" ht="16"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627"/>
      <c r="Q28" s="2875" t="str">
        <f t="shared" si="11"/>
        <v>朝向</v>
      </c>
      <c r="R28" s="1648" t="s">
        <v>25</v>
      </c>
      <c r="S28" s="1649">
        <f>F28</f>
        <v>100</v>
      </c>
      <c r="T28" s="1648" t="s">
        <v>25</v>
      </c>
      <c r="U28" s="1649">
        <f>H28</f>
        <v>100</v>
      </c>
      <c r="V28" s="1648" t="s">
        <v>25</v>
      </c>
      <c r="W28" s="1649">
        <f>J28</f>
        <v>100</v>
      </c>
      <c r="X28" s="1650"/>
      <c r="Y28" s="3627"/>
      <c r="Z28" s="1660" t="str">
        <f>Q28</f>
        <v>朝向</v>
      </c>
      <c r="AA28" s="2033">
        <f>D28/F28</f>
        <v>1</v>
      </c>
      <c r="AB28" s="2033">
        <f>D28/H28</f>
        <v>1</v>
      </c>
      <c r="AC28" s="2033">
        <f>D28/J28</f>
        <v>1</v>
      </c>
    </row>
    <row r="29" spans="1:29" ht="15.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627"/>
      <c r="Q29" s="2876">
        <f t="shared" si="11"/>
        <v>111</v>
      </c>
      <c r="R29" s="1692" t="s">
        <v>25</v>
      </c>
      <c r="S29" s="1693">
        <f t="shared" ref="S29:S47" si="12">F29</f>
        <v>100</v>
      </c>
      <c r="T29" s="1692" t="s">
        <v>25</v>
      </c>
      <c r="U29" s="1693">
        <f t="shared" ref="U29:U47" si="13">H29</f>
        <v>100</v>
      </c>
      <c r="V29" s="1692" t="s">
        <v>25</v>
      </c>
      <c r="W29" s="1693">
        <f t="shared" ref="W29:W47" si="14">J29</f>
        <v>100</v>
      </c>
      <c r="X29" s="2038"/>
      <c r="Y29" s="3627"/>
      <c r="Z29" s="2042">
        <f t="shared" ref="Z29:Z47" si="15">Q29</f>
        <v>111</v>
      </c>
      <c r="AA29" s="2033">
        <f t="shared" si="3"/>
        <v>1</v>
      </c>
      <c r="AB29" s="2033">
        <f t="shared" si="4"/>
        <v>1</v>
      </c>
      <c r="AC29" s="2033">
        <f t="shared" si="5"/>
        <v>1</v>
      </c>
    </row>
    <row r="30" spans="1:29" ht="15.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627"/>
      <c r="Q30" s="2876">
        <f t="shared" si="11"/>
        <v>111</v>
      </c>
      <c r="R30" s="1692" t="s">
        <v>25</v>
      </c>
      <c r="S30" s="1693">
        <f t="shared" si="12"/>
        <v>100</v>
      </c>
      <c r="T30" s="1692" t="s">
        <v>25</v>
      </c>
      <c r="U30" s="1693">
        <f t="shared" si="13"/>
        <v>100</v>
      </c>
      <c r="V30" s="1692" t="s">
        <v>25</v>
      </c>
      <c r="W30" s="1693">
        <f t="shared" si="14"/>
        <v>100</v>
      </c>
      <c r="X30" s="2038"/>
      <c r="Y30" s="3627"/>
      <c r="Z30" s="2042">
        <f t="shared" si="15"/>
        <v>111</v>
      </c>
      <c r="AA30" s="2033">
        <f t="shared" si="3"/>
        <v>1</v>
      </c>
      <c r="AB30" s="2033">
        <f t="shared" si="4"/>
        <v>1</v>
      </c>
      <c r="AC30" s="2033">
        <f t="shared" si="5"/>
        <v>1</v>
      </c>
    </row>
    <row r="31" spans="1:29" ht="15.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627"/>
      <c r="Q31" s="2876">
        <f t="shared" si="11"/>
        <v>111</v>
      </c>
      <c r="R31" s="1692" t="s">
        <v>25</v>
      </c>
      <c r="S31" s="1693">
        <f t="shared" si="12"/>
        <v>100</v>
      </c>
      <c r="T31" s="1692" t="s">
        <v>25</v>
      </c>
      <c r="U31" s="1693">
        <f t="shared" si="13"/>
        <v>100</v>
      </c>
      <c r="V31" s="1692" t="s">
        <v>25</v>
      </c>
      <c r="W31" s="1693">
        <f t="shared" si="14"/>
        <v>100</v>
      </c>
      <c r="X31" s="2038"/>
      <c r="Y31" s="3627"/>
      <c r="Z31" s="2042">
        <f t="shared" si="15"/>
        <v>111</v>
      </c>
      <c r="AA31" s="2033">
        <f t="shared" si="3"/>
        <v>1</v>
      </c>
      <c r="AB31" s="2033">
        <f t="shared" si="4"/>
        <v>1</v>
      </c>
      <c r="AC31" s="2033">
        <f t="shared" si="5"/>
        <v>1</v>
      </c>
    </row>
    <row r="32" spans="1:29" ht="16"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627"/>
      <c r="Q32" s="2876">
        <f t="shared" si="11"/>
        <v>111</v>
      </c>
      <c r="R32" s="1692" t="s">
        <v>25</v>
      </c>
      <c r="S32" s="1693">
        <f t="shared" si="12"/>
        <v>100</v>
      </c>
      <c r="T32" s="1692" t="s">
        <v>25</v>
      </c>
      <c r="U32" s="1693">
        <f t="shared" si="13"/>
        <v>100</v>
      </c>
      <c r="V32" s="1692" t="s">
        <v>25</v>
      </c>
      <c r="W32" s="1693">
        <f t="shared" si="14"/>
        <v>100</v>
      </c>
      <c r="X32" s="2038"/>
      <c r="Y32" s="3627"/>
      <c r="Z32" s="2042">
        <f t="shared" si="15"/>
        <v>111</v>
      </c>
      <c r="AA32" s="2033">
        <f t="shared" si="3"/>
        <v>1</v>
      </c>
      <c r="AB32" s="2033">
        <f t="shared" si="4"/>
        <v>1</v>
      </c>
      <c r="AC32" s="2033">
        <f t="shared" si="5"/>
        <v>1</v>
      </c>
    </row>
    <row r="33" spans="1:29" ht="15.5">
      <c r="A33" s="1684" t="s">
        <v>2213</v>
      </c>
      <c r="B33" s="1654" t="s">
        <v>2329</v>
      </c>
      <c r="C33" s="2466" t="s">
        <v>2996</v>
      </c>
      <c r="D33" s="1729">
        <v>100</v>
      </c>
      <c r="E33" s="2466" t="s">
        <v>2996</v>
      </c>
      <c r="F33" s="1721">
        <f>SUMIF(101:101,E33,102:102)-SUMIF(101:101,C33,102:102)+100</f>
        <v>100</v>
      </c>
      <c r="G33" s="2466" t="s">
        <v>2996</v>
      </c>
      <c r="H33" s="1678">
        <f>SUMIF(101:101,G33,102:102)-SUMIF(101:101,C33,102:102)+100</f>
        <v>100</v>
      </c>
      <c r="I33" s="2466" t="s">
        <v>2996</v>
      </c>
      <c r="J33" s="1729">
        <f>SUMIF(101:101,I33,102:102)-SUMIF(101:101,C33,102:102)+100</f>
        <v>100</v>
      </c>
      <c r="K33" s="1956"/>
      <c r="L33" s="2962"/>
      <c r="M33" s="2958"/>
      <c r="N33" s="2958"/>
      <c r="O33" s="2958"/>
      <c r="P33" s="3628" t="s">
        <v>2215</v>
      </c>
      <c r="Q33" s="2876" t="str">
        <f t="shared" si="11"/>
        <v>建筑类型</v>
      </c>
      <c r="R33" s="1692" t="s">
        <v>25</v>
      </c>
      <c r="S33" s="1693">
        <f t="shared" si="12"/>
        <v>100</v>
      </c>
      <c r="T33" s="1692" t="s">
        <v>25</v>
      </c>
      <c r="U33" s="1693">
        <f t="shared" si="13"/>
        <v>100</v>
      </c>
      <c r="V33" s="1692" t="s">
        <v>25</v>
      </c>
      <c r="W33" s="1693">
        <f t="shared" si="14"/>
        <v>100</v>
      </c>
      <c r="X33" s="2038"/>
      <c r="Y33" s="3629" t="s">
        <v>2215</v>
      </c>
      <c r="Z33" s="2042" t="str">
        <f t="shared" si="15"/>
        <v>建筑类型</v>
      </c>
      <c r="AA33" s="2033">
        <f t="shared" si="3"/>
        <v>1</v>
      </c>
      <c r="AB33" s="2033">
        <f t="shared" si="4"/>
        <v>1</v>
      </c>
      <c r="AC33" s="2033">
        <f t="shared" si="5"/>
        <v>1</v>
      </c>
    </row>
    <row r="34" spans="1:29" s="1737" customFormat="1" ht="15.5">
      <c r="A34" s="1730"/>
      <c r="B34" s="1662" t="s">
        <v>2216</v>
      </c>
      <c r="C34" s="1731">
        <f>'数据-取费表'!E5</f>
        <v>0</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629"/>
      <c r="Q34" s="1732" t="str">
        <f t="shared" si="11"/>
        <v>项目建筑规模</v>
      </c>
      <c r="R34" s="1733" t="s">
        <v>25</v>
      </c>
      <c r="S34" s="1734">
        <f t="shared" si="12"/>
        <v>100</v>
      </c>
      <c r="T34" s="1733" t="s">
        <v>25</v>
      </c>
      <c r="U34" s="1734">
        <f t="shared" si="13"/>
        <v>100</v>
      </c>
      <c r="V34" s="1733" t="s">
        <v>25</v>
      </c>
      <c r="W34" s="1734">
        <f t="shared" si="14"/>
        <v>101</v>
      </c>
      <c r="X34" s="1735"/>
      <c r="Y34" s="3629"/>
      <c r="Z34" s="1736" t="str">
        <f t="shared" si="15"/>
        <v>项目建筑规模</v>
      </c>
      <c r="AA34" s="2033">
        <f t="shared" si="3"/>
        <v>1</v>
      </c>
      <c r="AB34" s="2033">
        <f t="shared" si="4"/>
        <v>1</v>
      </c>
      <c r="AC34" s="2033">
        <f t="shared" si="5"/>
        <v>0.99009900990099009</v>
      </c>
    </row>
    <row r="35" spans="1:29" ht="15.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629"/>
      <c r="Q35" s="2876" t="str">
        <f t="shared" si="11"/>
        <v>建筑结构</v>
      </c>
      <c r="R35" s="1692" t="s">
        <v>25</v>
      </c>
      <c r="S35" s="1693">
        <f t="shared" si="12"/>
        <v>100</v>
      </c>
      <c r="T35" s="1692" t="s">
        <v>25</v>
      </c>
      <c r="U35" s="1693">
        <f t="shared" si="13"/>
        <v>100</v>
      </c>
      <c r="V35" s="1692" t="s">
        <v>25</v>
      </c>
      <c r="W35" s="1693">
        <f t="shared" si="14"/>
        <v>100</v>
      </c>
      <c r="X35" s="2038"/>
      <c r="Y35" s="3629"/>
      <c r="Z35" s="2042" t="str">
        <f t="shared" si="15"/>
        <v>建筑结构</v>
      </c>
      <c r="AA35" s="2033">
        <f t="shared" si="3"/>
        <v>1</v>
      </c>
      <c r="AB35" s="2033">
        <f t="shared" si="4"/>
        <v>1</v>
      </c>
      <c r="AC35" s="2033">
        <f t="shared" si="5"/>
        <v>1</v>
      </c>
    </row>
    <row r="36" spans="1:29" ht="15.5">
      <c r="A36" s="1738"/>
      <c r="B36" s="1662" t="s">
        <v>2302</v>
      </c>
      <c r="C36" s="1719" t="s">
        <v>3026</v>
      </c>
      <c r="D36" s="1678">
        <v>100</v>
      </c>
      <c r="E36" s="1719" t="s">
        <v>3026</v>
      </c>
      <c r="F36" s="1721">
        <f>SUMIF(108:108,E36,109:109)-SUMIF(108:108,C36,109:109)+100</f>
        <v>100</v>
      </c>
      <c r="G36" s="1719" t="s">
        <v>3026</v>
      </c>
      <c r="H36" s="1678">
        <f>SUMIF(108:108,G36,109:109)-SUMIF(108:108,C36,109:109)+100</f>
        <v>100</v>
      </c>
      <c r="I36" s="1719" t="s">
        <v>3026</v>
      </c>
      <c r="J36" s="1678">
        <f>SUMIF(108:108,I36,109:109)-SUMIF(108:108,C36,109:109)+100</f>
        <v>100</v>
      </c>
      <c r="K36" s="1956">
        <v>2</v>
      </c>
      <c r="L36" s="2962"/>
      <c r="M36" s="2958"/>
      <c r="N36" s="2958"/>
      <c r="O36" s="2958"/>
      <c r="P36" s="3629"/>
      <c r="Q36" s="2876" t="str">
        <f t="shared" si="11"/>
        <v>公共部分装修</v>
      </c>
      <c r="R36" s="1692" t="s">
        <v>25</v>
      </c>
      <c r="S36" s="1693">
        <f t="shared" si="12"/>
        <v>100</v>
      </c>
      <c r="T36" s="1692" t="s">
        <v>25</v>
      </c>
      <c r="U36" s="1693">
        <f t="shared" si="13"/>
        <v>100</v>
      </c>
      <c r="V36" s="1692" t="s">
        <v>25</v>
      </c>
      <c r="W36" s="1693">
        <f t="shared" si="14"/>
        <v>100</v>
      </c>
      <c r="X36" s="2038"/>
      <c r="Y36" s="3629"/>
      <c r="Z36" s="2042" t="str">
        <f t="shared" si="15"/>
        <v>公共部分装修</v>
      </c>
      <c r="AA36" s="2033">
        <f t="shared" si="3"/>
        <v>1</v>
      </c>
      <c r="AB36" s="2033">
        <f t="shared" si="4"/>
        <v>1</v>
      </c>
      <c r="AC36" s="2033">
        <f t="shared" si="5"/>
        <v>1</v>
      </c>
    </row>
    <row r="37" spans="1:29" ht="15.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629"/>
      <c r="Q37" s="2876" t="str">
        <f t="shared" si="11"/>
        <v>成新度</v>
      </c>
      <c r="R37" s="1692" t="s">
        <v>25</v>
      </c>
      <c r="S37" s="1693">
        <f t="shared" si="12"/>
        <v>100</v>
      </c>
      <c r="T37" s="1692" t="s">
        <v>25</v>
      </c>
      <c r="U37" s="1693">
        <f t="shared" si="13"/>
        <v>102</v>
      </c>
      <c r="V37" s="1692" t="s">
        <v>25</v>
      </c>
      <c r="W37" s="1693">
        <f t="shared" si="14"/>
        <v>102</v>
      </c>
      <c r="X37" s="2038"/>
      <c r="Y37" s="3629"/>
      <c r="Z37" s="2042" t="str">
        <f t="shared" si="15"/>
        <v>成新度</v>
      </c>
      <c r="AA37" s="2033">
        <f t="shared" si="3"/>
        <v>1</v>
      </c>
      <c r="AB37" s="2033">
        <f t="shared" si="4"/>
        <v>0.98039215686274506</v>
      </c>
      <c r="AC37" s="2033">
        <f t="shared" si="5"/>
        <v>0.98039215686274506</v>
      </c>
    </row>
    <row r="38" spans="1:29" s="1652" customFormat="1" ht="15.5">
      <c r="A38" s="1741"/>
      <c r="B38" s="1662" t="s">
        <v>2330</v>
      </c>
      <c r="C38" s="1719" t="s">
        <v>3021</v>
      </c>
      <c r="D38" s="1664">
        <v>100</v>
      </c>
      <c r="E38" s="1719" t="s">
        <v>3021</v>
      </c>
      <c r="F38" s="1721">
        <f>SUMIF(113:113,E38,114:114)-SUMIF(113:113,C38,114:114)+100</f>
        <v>100</v>
      </c>
      <c r="G38" s="1719" t="s">
        <v>3021</v>
      </c>
      <c r="H38" s="1678">
        <f>SUMIF(113:113,G38,114:114)-SUMIF(113:113,C38,114:114)+100</f>
        <v>100</v>
      </c>
      <c r="I38" s="1719" t="s">
        <v>3021</v>
      </c>
      <c r="J38" s="1678">
        <f>SUMIF(113:113,I38,114:114)-SUMIF(113:113,C38,114:114)+100</f>
        <v>100</v>
      </c>
      <c r="K38" s="1956">
        <v>2</v>
      </c>
      <c r="L38" s="2957"/>
      <c r="M38" s="2930"/>
      <c r="N38" s="2930"/>
      <c r="O38" s="2930"/>
      <c r="P38" s="3629"/>
      <c r="Q38" s="2875" t="str">
        <f t="shared" si="11"/>
        <v>写字楼等级</v>
      </c>
      <c r="R38" s="1648" t="s">
        <v>25</v>
      </c>
      <c r="S38" s="1649">
        <f t="shared" si="12"/>
        <v>100</v>
      </c>
      <c r="T38" s="1648" t="s">
        <v>25</v>
      </c>
      <c r="U38" s="1649">
        <f t="shared" si="13"/>
        <v>100</v>
      </c>
      <c r="V38" s="1648" t="s">
        <v>25</v>
      </c>
      <c r="W38" s="1649">
        <f t="shared" si="14"/>
        <v>100</v>
      </c>
      <c r="X38" s="1650"/>
      <c r="Y38" s="3629"/>
      <c r="Z38" s="1660" t="str">
        <f t="shared" si="15"/>
        <v>写字楼等级</v>
      </c>
      <c r="AA38" s="1651">
        <f t="shared" si="3"/>
        <v>1</v>
      </c>
      <c r="AB38" s="1651">
        <f t="shared" si="4"/>
        <v>1</v>
      </c>
      <c r="AC38" s="1651">
        <f t="shared" si="5"/>
        <v>1</v>
      </c>
    </row>
    <row r="39" spans="1:29" ht="15.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629" t="s">
        <v>2215</v>
      </c>
      <c r="Q39" s="2876" t="str">
        <f t="shared" si="11"/>
        <v>物业管理</v>
      </c>
      <c r="R39" s="1692" t="s">
        <v>25</v>
      </c>
      <c r="S39" s="1693">
        <f t="shared" si="12"/>
        <v>100</v>
      </c>
      <c r="T39" s="1692" t="s">
        <v>25</v>
      </c>
      <c r="U39" s="1693">
        <f t="shared" si="13"/>
        <v>100</v>
      </c>
      <c r="V39" s="1692" t="s">
        <v>25</v>
      </c>
      <c r="W39" s="1693">
        <f t="shared" si="14"/>
        <v>100</v>
      </c>
      <c r="X39" s="2038"/>
      <c r="Y39" s="3629" t="s">
        <v>2215</v>
      </c>
      <c r="Z39" s="2042" t="str">
        <f t="shared" si="15"/>
        <v>物业管理</v>
      </c>
      <c r="AA39" s="2033">
        <f t="shared" si="3"/>
        <v>1</v>
      </c>
      <c r="AB39" s="2033">
        <f t="shared" si="4"/>
        <v>1</v>
      </c>
      <c r="AC39" s="2033">
        <f t="shared" si="5"/>
        <v>1</v>
      </c>
    </row>
    <row r="40" spans="1:29" ht="15.5">
      <c r="A40" s="1738"/>
      <c r="B40" s="1662" t="s">
        <v>2304</v>
      </c>
      <c r="C40" s="1719" t="s">
        <v>3024</v>
      </c>
      <c r="D40" s="1678">
        <v>100</v>
      </c>
      <c r="E40" s="1719" t="s">
        <v>3024</v>
      </c>
      <c r="F40" s="1721">
        <f>SUMIF(117:117,E40,118:118)-SUMIF(117:117,C40,118:118)+100</f>
        <v>100</v>
      </c>
      <c r="G40" s="1719" t="s">
        <v>3024</v>
      </c>
      <c r="H40" s="1678">
        <f>SUMIF(117:117,G40,118:118)-SUMIF(117:117,C40,118:118)+100</f>
        <v>100</v>
      </c>
      <c r="I40" s="1719" t="s">
        <v>3024</v>
      </c>
      <c r="J40" s="1678">
        <f>SUMIF(117:117,I40,118:118)-SUMIF(117:117,C40,118:118)+100</f>
        <v>100</v>
      </c>
      <c r="K40" s="1956">
        <v>2</v>
      </c>
      <c r="L40" s="2962"/>
      <c r="M40" s="2958"/>
      <c r="N40" s="2958"/>
      <c r="O40" s="2958"/>
      <c r="P40" s="3629"/>
      <c r="Q40" s="2876" t="str">
        <f t="shared" si="11"/>
        <v>市政基础设施</v>
      </c>
      <c r="R40" s="1692" t="s">
        <v>25</v>
      </c>
      <c r="S40" s="1693">
        <f t="shared" si="12"/>
        <v>100</v>
      </c>
      <c r="T40" s="1692" t="s">
        <v>25</v>
      </c>
      <c r="U40" s="1693">
        <f t="shared" si="13"/>
        <v>100</v>
      </c>
      <c r="V40" s="1692" t="s">
        <v>25</v>
      </c>
      <c r="W40" s="1693">
        <f t="shared" si="14"/>
        <v>100</v>
      </c>
      <c r="X40" s="2038"/>
      <c r="Y40" s="3629"/>
      <c r="Z40" s="2042" t="str">
        <f t="shared" si="15"/>
        <v>市政基础设施</v>
      </c>
      <c r="AA40" s="2033">
        <f t="shared" si="3"/>
        <v>1</v>
      </c>
      <c r="AB40" s="2033">
        <f t="shared" si="4"/>
        <v>1</v>
      </c>
      <c r="AC40" s="2033">
        <f t="shared" si="5"/>
        <v>1</v>
      </c>
    </row>
    <row r="41" spans="1:29" ht="15.5">
      <c r="A41" s="1738"/>
      <c r="B41" s="1662" t="s">
        <v>2306</v>
      </c>
      <c r="C41" s="1955" t="s">
        <v>2996</v>
      </c>
      <c r="D41" s="1678">
        <v>100</v>
      </c>
      <c r="E41" s="1955" t="s">
        <v>2996</v>
      </c>
      <c r="F41" s="1721">
        <f>SUMIF(119:119,E41,120:120)-SUMIF(119:119,C41,120:120)+100</f>
        <v>100</v>
      </c>
      <c r="G41" s="1955" t="s">
        <v>2996</v>
      </c>
      <c r="H41" s="1678">
        <f>SUMIF(119:119,G41,120:120)-SUMIF(119:119,C41,120:120)+100</f>
        <v>100</v>
      </c>
      <c r="I41" s="1955" t="s">
        <v>2996</v>
      </c>
      <c r="J41" s="1678">
        <f>SUMIF(119:119,I41,120:120)-SUMIF(119:119,C41,120:120)+100</f>
        <v>100</v>
      </c>
      <c r="K41" s="1956">
        <v>2</v>
      </c>
      <c r="L41" s="2962"/>
      <c r="M41" s="2958"/>
      <c r="N41" s="2958"/>
      <c r="O41" s="2958"/>
      <c r="P41" s="3629"/>
      <c r="Q41" s="2876" t="str">
        <f t="shared" si="11"/>
        <v>层高</v>
      </c>
      <c r="R41" s="1692" t="s">
        <v>25</v>
      </c>
      <c r="S41" s="1693">
        <f t="shared" si="12"/>
        <v>100</v>
      </c>
      <c r="T41" s="1692" t="s">
        <v>25</v>
      </c>
      <c r="U41" s="1693">
        <f t="shared" si="13"/>
        <v>100</v>
      </c>
      <c r="V41" s="1692" t="s">
        <v>25</v>
      </c>
      <c r="W41" s="1693">
        <f t="shared" si="14"/>
        <v>100</v>
      </c>
      <c r="X41" s="2038"/>
      <c r="Y41" s="3629"/>
      <c r="Z41" s="2042" t="str">
        <f t="shared" si="15"/>
        <v>层高</v>
      </c>
      <c r="AA41" s="2033">
        <f t="shared" si="3"/>
        <v>1</v>
      </c>
      <c r="AB41" s="2033">
        <f t="shared" si="4"/>
        <v>1</v>
      </c>
      <c r="AC41" s="2033">
        <f t="shared" si="5"/>
        <v>1</v>
      </c>
    </row>
    <row r="42" spans="1:29" s="1737" customFormat="1" ht="15.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629"/>
      <c r="Q42" s="1732" t="str">
        <f t="shared" si="11"/>
        <v>单套建筑面积</v>
      </c>
      <c r="R42" s="1733" t="s">
        <v>25</v>
      </c>
      <c r="S42" s="1734">
        <f t="shared" si="12"/>
        <v>100</v>
      </c>
      <c r="T42" s="1733" t="s">
        <v>25</v>
      </c>
      <c r="U42" s="1734">
        <f t="shared" si="13"/>
        <v>100</v>
      </c>
      <c r="V42" s="1733" t="s">
        <v>25</v>
      </c>
      <c r="W42" s="1734">
        <f t="shared" si="14"/>
        <v>100</v>
      </c>
      <c r="X42" s="1735"/>
      <c r="Y42" s="3629"/>
      <c r="Z42" s="1736" t="str">
        <f t="shared" si="15"/>
        <v>单套建筑面积</v>
      </c>
      <c r="AA42" s="2033">
        <f t="shared" si="3"/>
        <v>1</v>
      </c>
      <c r="AB42" s="2033">
        <f t="shared" si="4"/>
        <v>1</v>
      </c>
      <c r="AC42" s="2033">
        <f t="shared" si="5"/>
        <v>1</v>
      </c>
    </row>
    <row r="43" spans="1:29" ht="15.5">
      <c r="A43" s="1738"/>
      <c r="B43" s="1662" t="s">
        <v>2309</v>
      </c>
      <c r="C43" s="1719" t="s">
        <v>2998</v>
      </c>
      <c r="D43" s="1678">
        <v>100</v>
      </c>
      <c r="E43" s="1719" t="s">
        <v>2998</v>
      </c>
      <c r="F43" s="1721">
        <f>SUMIF(123:123,E43,124:124)-SUMIF(123:123,C43,124:124)+100</f>
        <v>100</v>
      </c>
      <c r="G43" s="1719" t="s">
        <v>2998</v>
      </c>
      <c r="H43" s="1678">
        <f>SUMIF(123:123,G43,124:124)-SUMIF(123:123,C43,124:124)+100</f>
        <v>100</v>
      </c>
      <c r="I43" s="1719" t="s">
        <v>2998</v>
      </c>
      <c r="J43" s="1678">
        <f>SUMIF(123:123,I43,124:124)-SUMIF(123:123,C43,124:124)+100</f>
        <v>100</v>
      </c>
      <c r="K43" s="1956">
        <v>2</v>
      </c>
      <c r="L43" s="2962"/>
      <c r="M43" s="2958"/>
      <c r="N43" s="2958"/>
      <c r="O43" s="2958"/>
      <c r="P43" s="3629"/>
      <c r="Q43" s="2876" t="str">
        <f t="shared" si="11"/>
        <v>内部装修</v>
      </c>
      <c r="R43" s="1692" t="s">
        <v>25</v>
      </c>
      <c r="S43" s="1693">
        <f t="shared" si="12"/>
        <v>100</v>
      </c>
      <c r="T43" s="1692" t="s">
        <v>25</v>
      </c>
      <c r="U43" s="1693">
        <f t="shared" si="13"/>
        <v>100</v>
      </c>
      <c r="V43" s="1692" t="s">
        <v>25</v>
      </c>
      <c r="W43" s="1693">
        <f t="shared" si="14"/>
        <v>100</v>
      </c>
      <c r="X43" s="2038"/>
      <c r="Y43" s="3629"/>
      <c r="Z43" s="2042" t="str">
        <f t="shared" si="15"/>
        <v>内部装修</v>
      </c>
      <c r="AA43" s="2033">
        <f t="shared" si="3"/>
        <v>1</v>
      </c>
      <c r="AB43" s="2033">
        <f t="shared" si="4"/>
        <v>1</v>
      </c>
      <c r="AC43" s="2033">
        <f t="shared" si="5"/>
        <v>1</v>
      </c>
    </row>
    <row r="44" spans="1:29" ht="28.5"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629"/>
      <c r="Q44" s="2876" t="str">
        <f t="shared" si="11"/>
        <v>内部装修维护情况</v>
      </c>
      <c r="R44" s="1692" t="s">
        <v>25</v>
      </c>
      <c r="S44" s="1693">
        <f t="shared" si="12"/>
        <v>100</v>
      </c>
      <c r="T44" s="1692" t="s">
        <v>25</v>
      </c>
      <c r="U44" s="1693">
        <f t="shared" si="13"/>
        <v>100</v>
      </c>
      <c r="V44" s="1692" t="s">
        <v>25</v>
      </c>
      <c r="W44" s="1693">
        <f t="shared" si="14"/>
        <v>100</v>
      </c>
      <c r="X44" s="2038"/>
      <c r="Y44" s="3629"/>
      <c r="Z44" s="2042" t="str">
        <f t="shared" si="15"/>
        <v>内部装修维护情况</v>
      </c>
      <c r="AA44" s="2033">
        <f t="shared" si="3"/>
        <v>1</v>
      </c>
      <c r="AB44" s="2033">
        <f t="shared" si="4"/>
        <v>1</v>
      </c>
      <c r="AC44" s="2033">
        <f t="shared" si="5"/>
        <v>1</v>
      </c>
    </row>
    <row r="45" spans="1:29" s="1652" customFormat="1" ht="15.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629"/>
      <c r="Q45" s="2875">
        <f t="shared" si="11"/>
        <v>111</v>
      </c>
      <c r="R45" s="1648" t="s">
        <v>25</v>
      </c>
      <c r="S45" s="1649">
        <f t="shared" si="12"/>
        <v>100</v>
      </c>
      <c r="T45" s="1648" t="s">
        <v>25</v>
      </c>
      <c r="U45" s="1649">
        <f t="shared" si="13"/>
        <v>100</v>
      </c>
      <c r="V45" s="1648" t="s">
        <v>25</v>
      </c>
      <c r="W45" s="1649">
        <f t="shared" si="14"/>
        <v>100</v>
      </c>
      <c r="X45" s="1650"/>
      <c r="Y45" s="3629"/>
      <c r="Z45" s="1660">
        <f t="shared" si="15"/>
        <v>111</v>
      </c>
      <c r="AA45" s="1651">
        <f t="shared" si="3"/>
        <v>1</v>
      </c>
      <c r="AB45" s="1651">
        <f t="shared" si="4"/>
        <v>1</v>
      </c>
      <c r="AC45" s="1651">
        <f t="shared" si="5"/>
        <v>1</v>
      </c>
    </row>
    <row r="46" spans="1:29" ht="15.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629"/>
      <c r="Q46" s="2876">
        <f t="shared" si="11"/>
        <v>111</v>
      </c>
      <c r="R46" s="1692" t="s">
        <v>25</v>
      </c>
      <c r="S46" s="1693">
        <f t="shared" si="12"/>
        <v>100</v>
      </c>
      <c r="T46" s="1692" t="s">
        <v>25</v>
      </c>
      <c r="U46" s="1693">
        <f t="shared" si="13"/>
        <v>100</v>
      </c>
      <c r="V46" s="1692" t="s">
        <v>25</v>
      </c>
      <c r="W46" s="1693">
        <f t="shared" si="14"/>
        <v>100</v>
      </c>
      <c r="X46" s="2038"/>
      <c r="Y46" s="3629"/>
      <c r="Z46" s="2042">
        <f t="shared" si="15"/>
        <v>111</v>
      </c>
      <c r="AA46" s="2033">
        <f t="shared" si="3"/>
        <v>1</v>
      </c>
      <c r="AB46" s="2033">
        <f t="shared" si="4"/>
        <v>1</v>
      </c>
      <c r="AC46" s="2033">
        <f t="shared" si="5"/>
        <v>1</v>
      </c>
    </row>
    <row r="47" spans="1:29" ht="16"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630"/>
      <c r="Q47" s="2876">
        <f t="shared" si="11"/>
        <v>111</v>
      </c>
      <c r="R47" s="1692" t="s">
        <v>25</v>
      </c>
      <c r="S47" s="1693">
        <f t="shared" si="12"/>
        <v>100</v>
      </c>
      <c r="T47" s="1692" t="s">
        <v>25</v>
      </c>
      <c r="U47" s="1693">
        <f t="shared" si="13"/>
        <v>100</v>
      </c>
      <c r="V47" s="1692" t="s">
        <v>25</v>
      </c>
      <c r="W47" s="1693">
        <f t="shared" si="14"/>
        <v>100</v>
      </c>
      <c r="X47" s="2038"/>
      <c r="Y47" s="3630"/>
      <c r="Z47" s="2042">
        <f t="shared" si="15"/>
        <v>111</v>
      </c>
      <c r="AA47" s="2033">
        <f t="shared" si="3"/>
        <v>1</v>
      </c>
      <c r="AB47" s="2033">
        <f t="shared" si="4"/>
        <v>1</v>
      </c>
      <c r="AC47" s="2033">
        <f t="shared" si="5"/>
        <v>1</v>
      </c>
    </row>
    <row r="48" spans="1:29">
      <c r="A48" s="1745" t="s">
        <v>2227</v>
      </c>
      <c r="B48" s="1746"/>
      <c r="C48" s="1747" t="s">
        <v>1</v>
      </c>
      <c r="D48" s="1748"/>
      <c r="E48" s="1749">
        <v>27000</v>
      </c>
      <c r="F48" s="1750"/>
      <c r="G48" s="1751">
        <f>E48</f>
        <v>27000</v>
      </c>
      <c r="H48" s="1752"/>
      <c r="I48" s="1749">
        <f>G48</f>
        <v>27000</v>
      </c>
      <c r="J48" s="1752"/>
      <c r="K48" s="1977"/>
      <c r="L48" s="2963"/>
      <c r="M48" s="2958"/>
      <c r="N48" s="2958"/>
      <c r="O48" s="2958"/>
      <c r="P48" s="3598" t="str">
        <f>A48</f>
        <v>成交单价（元/平方米）</v>
      </c>
      <c r="Q48" s="3598"/>
      <c r="R48" s="3631">
        <f>E48</f>
        <v>27000</v>
      </c>
      <c r="S48" s="3631"/>
      <c r="T48" s="3631">
        <f>G48</f>
        <v>27000</v>
      </c>
      <c r="U48" s="3631"/>
      <c r="V48" s="3631">
        <f>I48</f>
        <v>27000</v>
      </c>
      <c r="W48" s="3631"/>
      <c r="X48" s="1755"/>
      <c r="Y48" s="2037"/>
      <c r="Z48" s="1755"/>
      <c r="AA48" s="1755"/>
      <c r="AB48" s="1755"/>
      <c r="AC48" s="1755"/>
    </row>
    <row r="49" spans="1:29" ht="14.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98" t="str">
        <f>A49</f>
        <v>比较价值（元/平方米）</v>
      </c>
      <c r="Q49" s="3598"/>
      <c r="R49" s="3631">
        <f>IF(E1="售价",ROUND(PRODUCT(R48,AA7:AA47),0),ROUND(PRODUCT(R48,AA7:AA47),1))</f>
        <v>27835</v>
      </c>
      <c r="S49" s="3631"/>
      <c r="T49" s="3631">
        <f>IF(E1="售价",ROUND(PRODUCT(T48,AB7:AB47),0),ROUND(PRODUCT(T48,AB7:AB47),1))</f>
        <v>26471</v>
      </c>
      <c r="U49" s="3631"/>
      <c r="V49" s="3631">
        <f>IF(E1="售价",ROUND(PRODUCT(V48,AC7:AC47),0),ROUND(PRODUCT(V48,AC7:AC47),1))</f>
        <v>27881</v>
      </c>
      <c r="W49" s="3631"/>
      <c r="X49" s="1755"/>
      <c r="Y49" s="1755"/>
      <c r="Z49" s="1755"/>
      <c r="AA49" s="1755"/>
      <c r="AB49" s="1755"/>
      <c r="AC49" s="1755"/>
    </row>
    <row r="50" spans="1:29" ht="14.5" thickBot="1">
      <c r="A50" s="1763" t="s">
        <v>2333</v>
      </c>
      <c r="B50" s="1764"/>
      <c r="C50" s="1766">
        <f>R50</f>
        <v>27396</v>
      </c>
      <c r="D50" s="1766"/>
      <c r="E50" s="1766"/>
      <c r="F50" s="1766"/>
      <c r="G50" s="1766"/>
      <c r="H50" s="1766"/>
      <c r="I50" s="1766"/>
      <c r="J50" s="1766"/>
      <c r="K50" s="1982"/>
      <c r="L50" s="2963"/>
      <c r="M50" s="2958"/>
      <c r="N50" s="2958"/>
      <c r="O50" s="2958"/>
      <c r="P50" s="3632" t="str">
        <f>A50</f>
        <v>估价对象XX用房的比较价值（楼面单价，元/平方米）</v>
      </c>
      <c r="Q50" s="3633"/>
      <c r="R50" s="3634">
        <f>IF(E1="售价",ROUND(IF(D49="简单平均",AVERAGE(R49:V49),R49*F49+T49*H49+V49*J49),0),ROUND(IF(D49="简单平均",AVERAGE(R49:V49),R49*F49+T49*H49+V49*J49),1))</f>
        <v>27396</v>
      </c>
      <c r="S50" s="3634"/>
      <c r="T50" s="3634"/>
      <c r="U50" s="3634"/>
      <c r="V50" s="3634"/>
      <c r="W50" s="3634"/>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1.5"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c r="A60" s="1792"/>
      <c r="B60" s="1793"/>
      <c r="C60" s="1794">
        <v>100</v>
      </c>
      <c r="D60" s="1795">
        <v>100</v>
      </c>
      <c r="E60" s="1795"/>
      <c r="F60" s="1795"/>
      <c r="G60" s="1795"/>
      <c r="H60" s="1795"/>
      <c r="I60" s="1795"/>
      <c r="J60" s="1795"/>
      <c r="K60" s="1795"/>
      <c r="L60" s="1795"/>
      <c r="M60" s="1796"/>
      <c r="N60" s="1795"/>
      <c r="O60" s="1809"/>
      <c r="P60" s="1785"/>
    </row>
    <row r="61" spans="1:29" s="1652" customFormat="1" ht="14.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4.5" thickBot="1">
      <c r="A63" s="1803"/>
      <c r="B63" s="1793"/>
      <c r="C63" s="1808">
        <v>100</v>
      </c>
      <c r="D63" s="1795"/>
      <c r="E63" s="1795"/>
      <c r="F63" s="1795"/>
      <c r="G63" s="1795"/>
      <c r="H63" s="1795"/>
      <c r="I63" s="1795"/>
      <c r="J63" s="1795"/>
      <c r="K63" s="1795"/>
      <c r="L63" s="1795"/>
      <c r="M63" s="1809"/>
      <c r="N63" s="2975"/>
      <c r="O63" s="2975"/>
      <c r="P63" s="1785"/>
      <c r="Q63" s="1785"/>
    </row>
    <row r="64" spans="1:29">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4.5" thickBot="1">
      <c r="A65" s="1817"/>
      <c r="B65" s="1818"/>
      <c r="C65" s="1819">
        <v>100</v>
      </c>
      <c r="D65" s="1819"/>
      <c r="E65" s="1819"/>
      <c r="F65" s="1819"/>
      <c r="G65" s="1819"/>
      <c r="H65" s="1819"/>
      <c r="I65" s="1819"/>
      <c r="J65" s="1819"/>
      <c r="K65" s="1819"/>
      <c r="L65" s="1819"/>
      <c r="M65" s="1820"/>
      <c r="N65" s="2977"/>
      <c r="O65" s="2977"/>
      <c r="P65" s="2021"/>
      <c r="Q65" s="1785"/>
    </row>
    <row r="66" spans="1:17" ht="28.5"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4.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4.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c r="A69" s="1817"/>
      <c r="B69" s="1830"/>
      <c r="C69" s="1831">
        <v>0</v>
      </c>
      <c r="D69" s="1831"/>
      <c r="E69" s="1831"/>
      <c r="F69" s="1831"/>
      <c r="G69" s="1831"/>
      <c r="H69" s="1831"/>
      <c r="I69" s="1831"/>
      <c r="J69" s="1831"/>
      <c r="K69" s="438"/>
      <c r="L69" s="438"/>
      <c r="M69" s="1832"/>
      <c r="N69" s="2976"/>
      <c r="O69" s="2976"/>
      <c r="P69" s="2021"/>
      <c r="Q69" s="1785"/>
    </row>
    <row r="70" spans="1:17" ht="14.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4.5"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4.5" thickBot="1">
      <c r="A72" s="1833"/>
      <c r="B72" s="1825"/>
      <c r="C72" s="1838"/>
      <c r="D72" s="1819"/>
      <c r="E72" s="1819"/>
      <c r="F72" s="1819"/>
      <c r="G72" s="1819"/>
      <c r="H72" s="1819"/>
      <c r="I72" s="1819"/>
      <c r="J72" s="1819"/>
      <c r="K72" s="1819"/>
      <c r="L72" s="1819"/>
      <c r="M72" s="1820"/>
      <c r="N72" s="2977"/>
      <c r="O72" s="2977"/>
      <c r="P72" s="2022"/>
      <c r="Q72" s="1837"/>
    </row>
    <row r="73" spans="1:17" s="1737" customFormat="1" ht="14.5"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4.5" thickBot="1">
      <c r="A74" s="1833"/>
      <c r="B74" s="1825"/>
      <c r="C74" s="1838"/>
      <c r="D74" s="1838"/>
      <c r="E74" s="1838"/>
      <c r="F74" s="1838"/>
      <c r="G74" s="1838"/>
      <c r="H74" s="1841"/>
      <c r="I74" s="1841"/>
      <c r="J74" s="1841"/>
      <c r="K74" s="1841"/>
      <c r="L74" s="1841"/>
      <c r="M74" s="1842"/>
      <c r="N74" s="2978"/>
      <c r="O74" s="2978"/>
      <c r="P74" s="2022"/>
      <c r="Q74" s="1837"/>
    </row>
    <row r="75" spans="1:17" s="1737" customFormat="1" ht="14.5"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4.5" thickBot="1">
      <c r="A76" s="1844"/>
      <c r="B76" s="1845"/>
      <c r="C76" s="1846"/>
      <c r="D76" s="1846"/>
      <c r="E76" s="1846"/>
      <c r="F76" s="1846"/>
      <c r="G76" s="1846"/>
      <c r="H76" s="1847"/>
      <c r="I76" s="1847"/>
      <c r="J76" s="1847"/>
      <c r="K76" s="1847"/>
      <c r="L76" s="1847"/>
      <c r="M76" s="1848"/>
      <c r="N76" s="2978"/>
      <c r="O76" s="2978"/>
      <c r="P76" s="2022"/>
      <c r="Q76" s="1837"/>
    </row>
    <row r="77" spans="1:17">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4.5"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4.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4.5"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4.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4.5"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4.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4.5"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4.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4.5"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8.5" thickTop="1">
      <c r="A87" s="1853"/>
      <c r="B87" s="1822" t="s">
        <v>2336</v>
      </c>
      <c r="C87" s="468"/>
      <c r="D87" s="468"/>
      <c r="E87" s="468"/>
      <c r="F87" s="468"/>
      <c r="G87" s="468"/>
      <c r="H87" s="468"/>
      <c r="I87" s="468"/>
      <c r="J87" s="468"/>
      <c r="K87" s="468"/>
      <c r="L87" s="468"/>
      <c r="M87" s="1854"/>
      <c r="N87" s="2975"/>
      <c r="O87" s="2975"/>
      <c r="P87" s="2021"/>
      <c r="Q87" s="1785"/>
    </row>
    <row r="88" spans="1:17" s="1652" customFormat="1" ht="14.5"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4.5" thickTop="1">
      <c r="A89" s="1853"/>
      <c r="B89" s="1822" t="str">
        <f>B27</f>
        <v>楼层</v>
      </c>
      <c r="C89" s="3308" t="s">
        <v>3003</v>
      </c>
      <c r="D89" s="3308" t="s">
        <v>3004</v>
      </c>
      <c r="E89" s="3308" t="s">
        <v>3005</v>
      </c>
      <c r="F89" s="1856"/>
      <c r="G89" s="468"/>
      <c r="H89" s="468"/>
      <c r="I89" s="468"/>
      <c r="J89" s="468"/>
      <c r="K89" s="468"/>
      <c r="L89" s="468"/>
      <c r="M89" s="1854"/>
      <c r="N89" s="2975"/>
      <c r="O89" s="2975"/>
      <c r="P89" s="2021"/>
      <c r="Q89" s="1785"/>
    </row>
    <row r="90" spans="1:17" s="1652" customFormat="1" ht="14.5"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4.5"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4.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4.5" thickTop="1">
      <c r="A93" s="1817"/>
      <c r="B93" s="1822">
        <f>B29</f>
        <v>111</v>
      </c>
      <c r="C93" s="468"/>
      <c r="D93" s="468"/>
      <c r="E93" s="468"/>
      <c r="F93" s="468"/>
      <c r="G93" s="468"/>
      <c r="H93" s="468"/>
      <c r="I93" s="468"/>
      <c r="J93" s="468"/>
      <c r="K93" s="468"/>
      <c r="L93" s="468"/>
      <c r="M93" s="1854"/>
      <c r="N93" s="2976"/>
      <c r="O93" s="2976"/>
      <c r="P93" s="2021"/>
      <c r="Q93" s="1785"/>
    </row>
    <row r="94" spans="1:17" ht="14.5" thickBot="1">
      <c r="A94" s="1817"/>
      <c r="B94" s="1825"/>
      <c r="C94" s="1838"/>
      <c r="D94" s="1819"/>
      <c r="E94" s="1819"/>
      <c r="F94" s="1819"/>
      <c r="G94" s="1819"/>
      <c r="H94" s="1819"/>
      <c r="I94" s="1819"/>
      <c r="J94" s="1819"/>
      <c r="K94" s="1819"/>
      <c r="L94" s="1819"/>
      <c r="M94" s="1820"/>
      <c r="N94" s="2977"/>
      <c r="O94" s="2977"/>
      <c r="P94" s="2021"/>
      <c r="Q94" s="1785"/>
    </row>
    <row r="95" spans="1:17" ht="14.5" thickTop="1">
      <c r="A95" s="1817"/>
      <c r="B95" s="1822">
        <f>B30</f>
        <v>111</v>
      </c>
      <c r="C95" s="468"/>
      <c r="D95" s="468"/>
      <c r="E95" s="468"/>
      <c r="F95" s="468"/>
      <c r="G95" s="1545"/>
      <c r="H95" s="1545"/>
      <c r="I95" s="1545"/>
      <c r="J95" s="1545"/>
      <c r="K95" s="473"/>
      <c r="L95" s="473"/>
      <c r="M95" s="1857"/>
      <c r="N95" s="2976"/>
      <c r="O95" s="2976"/>
      <c r="P95" s="2021"/>
      <c r="Q95" s="1785"/>
    </row>
    <row r="96" spans="1:17" ht="14.5" thickBot="1">
      <c r="A96" s="1817"/>
      <c r="B96" s="1825"/>
      <c r="C96" s="1838"/>
      <c r="D96" s="1838"/>
      <c r="E96" s="1838"/>
      <c r="F96" s="1838"/>
      <c r="G96" s="1819"/>
      <c r="H96" s="1819"/>
      <c r="I96" s="1819"/>
      <c r="J96" s="1819"/>
      <c r="K96" s="1819"/>
      <c r="L96" s="1819"/>
      <c r="M96" s="1820"/>
      <c r="N96" s="2977"/>
      <c r="O96" s="2977"/>
      <c r="P96" s="2021"/>
      <c r="Q96" s="1785"/>
    </row>
    <row r="97" spans="1:17" ht="14.5" thickTop="1">
      <c r="A97" s="1817"/>
      <c r="B97" s="1822">
        <f>B31</f>
        <v>111</v>
      </c>
      <c r="C97" s="468"/>
      <c r="D97" s="468"/>
      <c r="E97" s="468"/>
      <c r="F97" s="468"/>
      <c r="G97" s="1545"/>
      <c r="H97" s="1545"/>
      <c r="I97" s="1545"/>
      <c r="J97" s="1545"/>
      <c r="K97" s="473"/>
      <c r="L97" s="473"/>
      <c r="M97" s="1857"/>
      <c r="N97" s="2976"/>
      <c r="O97" s="2976"/>
      <c r="P97" s="2021"/>
      <c r="Q97" s="1785"/>
    </row>
    <row r="98" spans="1:17" ht="14.5" thickBot="1">
      <c r="A98" s="1817"/>
      <c r="B98" s="1825"/>
      <c r="C98" s="1838"/>
      <c r="D98" s="1819"/>
      <c r="E98" s="1819"/>
      <c r="F98" s="1819"/>
      <c r="G98" s="1819"/>
      <c r="H98" s="1819"/>
      <c r="I98" s="1819"/>
      <c r="J98" s="1819"/>
      <c r="K98" s="1819"/>
      <c r="L98" s="1819"/>
      <c r="M98" s="1820"/>
      <c r="N98" s="2977"/>
      <c r="O98" s="2977"/>
      <c r="P98" s="2021"/>
      <c r="Q98" s="1785"/>
    </row>
    <row r="99" spans="1:17" ht="14.5" thickTop="1">
      <c r="A99" s="1817"/>
      <c r="B99" s="1828">
        <f>B32</f>
        <v>111</v>
      </c>
      <c r="C99" s="409"/>
      <c r="D99" s="409"/>
      <c r="E99" s="409"/>
      <c r="F99" s="409"/>
      <c r="G99" s="1858"/>
      <c r="H99" s="1858"/>
      <c r="I99" s="1858"/>
      <c r="J99" s="1858"/>
      <c r="K99" s="477"/>
      <c r="L99" s="477"/>
      <c r="M99" s="1859"/>
      <c r="N99" s="2976"/>
      <c r="O99" s="2976"/>
      <c r="P99" s="2021"/>
      <c r="Q99" s="1785"/>
    </row>
    <row r="100" spans="1:17" ht="14.5" thickBot="1">
      <c r="A100" s="1860"/>
      <c r="B100" s="1845"/>
      <c r="C100" s="1846"/>
      <c r="D100" s="1846"/>
      <c r="E100" s="1846"/>
      <c r="F100" s="1846"/>
      <c r="G100" s="1861"/>
      <c r="H100" s="1861"/>
      <c r="I100" s="1861"/>
      <c r="J100" s="1861"/>
      <c r="K100" s="1861"/>
      <c r="L100" s="1861"/>
      <c r="M100" s="1862"/>
      <c r="N100" s="2977"/>
      <c r="O100" s="2977"/>
      <c r="P100" s="2021"/>
      <c r="Q100" s="1785"/>
    </row>
    <row r="101" spans="1:17">
      <c r="A101" s="1810" t="s">
        <v>2213</v>
      </c>
      <c r="B101" s="1811" t="s">
        <v>2262</v>
      </c>
      <c r="C101" s="3307" t="s">
        <v>2997</v>
      </c>
      <c r="D101" s="1813"/>
      <c r="E101" s="1813"/>
      <c r="F101" s="1813"/>
      <c r="G101" s="1813"/>
      <c r="H101" s="1813"/>
      <c r="I101" s="1813"/>
      <c r="J101" s="1813"/>
      <c r="K101" s="417"/>
      <c r="L101" s="417"/>
      <c r="M101" s="1814"/>
      <c r="N101" s="2976"/>
      <c r="O101" s="2976"/>
      <c r="P101" s="2021"/>
      <c r="Q101" s="1785"/>
    </row>
    <row r="102" spans="1:17" ht="14.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4.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4.5"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4.5" thickTop="1">
      <c r="A106" s="1867"/>
      <c r="B106" s="1822" t="s">
        <v>2264</v>
      </c>
      <c r="C106" s="3316" t="s">
        <v>3020</v>
      </c>
      <c r="D106" s="468"/>
      <c r="E106" s="1545"/>
      <c r="F106" s="1545"/>
      <c r="G106" s="1545"/>
      <c r="H106" s="1545"/>
      <c r="I106" s="1545"/>
      <c r="J106" s="1545"/>
      <c r="K106" s="473"/>
      <c r="L106" s="473"/>
      <c r="M106" s="1857"/>
      <c r="N106" s="2976"/>
      <c r="O106" s="2976"/>
      <c r="P106" s="2021"/>
      <c r="Q106" s="1785"/>
    </row>
    <row r="107" spans="1:17" ht="14.5"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4.5" thickTop="1">
      <c r="A108" s="1867"/>
      <c r="B108" s="1822" t="s">
        <v>2266</v>
      </c>
      <c r="C108" s="3308" t="s">
        <v>2999</v>
      </c>
      <c r="D108" s="3308" t="s">
        <v>3000</v>
      </c>
      <c r="E108" s="3308" t="s">
        <v>3001</v>
      </c>
      <c r="F108" s="1545"/>
      <c r="G108" s="1545"/>
      <c r="H108" s="1545"/>
      <c r="I108" s="1545"/>
      <c r="J108" s="1545"/>
      <c r="K108" s="473"/>
      <c r="L108" s="473"/>
      <c r="M108" s="1857"/>
      <c r="N108" s="2976"/>
      <c r="O108" s="2976"/>
      <c r="P108" s="2021"/>
      <c r="Q108" s="1785"/>
    </row>
    <row r="109" spans="1:17" ht="14.5"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4.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4.5"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4.5" thickTop="1">
      <c r="A113" s="1863"/>
      <c r="B113" s="1822" t="s">
        <v>2337</v>
      </c>
      <c r="C113" s="3316" t="s">
        <v>3022</v>
      </c>
      <c r="D113" s="468"/>
      <c r="E113" s="468"/>
      <c r="F113" s="468"/>
      <c r="G113" s="468"/>
      <c r="H113" s="1545"/>
      <c r="I113" s="1545"/>
      <c r="J113" s="1545"/>
      <c r="K113" s="473"/>
      <c r="L113" s="473"/>
      <c r="M113" s="1857"/>
      <c r="N113" s="2978"/>
      <c r="O113" s="2978"/>
      <c r="P113" s="2022"/>
      <c r="Q113" s="1837"/>
    </row>
    <row r="114" spans="1:17" s="1737" customFormat="1" ht="14.5"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4.5" thickTop="1">
      <c r="A115" s="1867"/>
      <c r="B115" s="1822" t="s">
        <v>2268</v>
      </c>
      <c r="C115" s="3316" t="s">
        <v>3023</v>
      </c>
      <c r="D115" s="468"/>
      <c r="E115" s="1545"/>
      <c r="F115" s="1545"/>
      <c r="G115" s="1545"/>
      <c r="H115" s="1545"/>
      <c r="I115" s="1545"/>
      <c r="J115" s="1545"/>
      <c r="K115" s="473"/>
      <c r="L115" s="473"/>
      <c r="M115" s="1857"/>
      <c r="N115" s="2976"/>
      <c r="O115" s="2976"/>
      <c r="P115" s="2021"/>
      <c r="Q115" s="1785"/>
    </row>
    <row r="116" spans="1:17" ht="14.5"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4.5" thickTop="1">
      <c r="A117" s="1867"/>
      <c r="B117" s="1822" t="s">
        <v>2269</v>
      </c>
      <c r="C117" s="3316" t="s">
        <v>3025</v>
      </c>
      <c r="D117" s="468"/>
      <c r="E117" s="468"/>
      <c r="F117" s="468"/>
      <c r="G117" s="468"/>
      <c r="H117" s="1545"/>
      <c r="I117" s="1545"/>
      <c r="J117" s="1545"/>
      <c r="K117" s="473"/>
      <c r="L117" s="473"/>
      <c r="M117" s="1857"/>
      <c r="N117" s="2976"/>
      <c r="O117" s="2976"/>
      <c r="P117" s="2021"/>
      <c r="Q117" s="1785"/>
    </row>
    <row r="118" spans="1:17" ht="14.5"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4.5" thickTop="1">
      <c r="A119" s="1867"/>
      <c r="B119" s="2469" t="s">
        <v>2338</v>
      </c>
      <c r="C119" s="3317" t="s">
        <v>2997</v>
      </c>
      <c r="D119" s="1545"/>
      <c r="E119" s="1545"/>
      <c r="F119" s="1545"/>
      <c r="G119" s="1545"/>
      <c r="H119" s="1545"/>
      <c r="I119" s="1545"/>
      <c r="J119" s="1545"/>
      <c r="K119" s="1545"/>
      <c r="L119" s="1545"/>
      <c r="M119" s="2470"/>
      <c r="N119" s="2977"/>
      <c r="O119" s="2977"/>
      <c r="P119" s="2471"/>
      <c r="Q119" s="2472"/>
    </row>
    <row r="120" spans="1:17" ht="14.5"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4.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4.5" thickBot="1">
      <c r="A122" s="1833"/>
      <c r="B122" s="1818"/>
      <c r="C122" s="1838"/>
      <c r="D122" s="1838"/>
      <c r="E122" s="1838"/>
      <c r="F122" s="1838"/>
      <c r="G122" s="1838"/>
      <c r="H122" s="1838"/>
      <c r="I122" s="1838"/>
      <c r="J122" s="1838"/>
      <c r="K122" s="1838"/>
      <c r="L122" s="1838"/>
      <c r="M122" s="1838"/>
      <c r="N122" s="2978"/>
      <c r="O122" s="2978"/>
      <c r="P122" s="2022"/>
      <c r="Q122" s="1837"/>
    </row>
    <row r="123" spans="1:17" ht="14.5" thickTop="1">
      <c r="A123" s="1867"/>
      <c r="B123" s="1822" t="s">
        <v>2271</v>
      </c>
      <c r="C123" s="3308" t="s">
        <v>2999</v>
      </c>
      <c r="D123" s="3308" t="s">
        <v>3000</v>
      </c>
      <c r="E123" s="3308" t="s">
        <v>3001</v>
      </c>
      <c r="F123" s="1545"/>
      <c r="G123" s="1545"/>
      <c r="H123" s="1545"/>
      <c r="I123" s="1545"/>
      <c r="J123" s="1545"/>
      <c r="K123" s="473"/>
      <c r="L123" s="473"/>
      <c r="M123" s="1857"/>
      <c r="N123" s="2976"/>
      <c r="O123" s="2976"/>
      <c r="P123" s="2021"/>
      <c r="Q123" s="1785"/>
    </row>
    <row r="124" spans="1:17" ht="14.5"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28.5"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4.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4.5"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4.5" thickBot="1">
      <c r="A128" s="1833"/>
      <c r="B128" s="1825"/>
      <c r="C128" s="1838"/>
      <c r="D128" s="1819"/>
      <c r="E128" s="1819"/>
      <c r="F128" s="1819"/>
      <c r="G128" s="1838"/>
      <c r="H128" s="1841"/>
      <c r="I128" s="1841"/>
      <c r="J128" s="1841"/>
      <c r="K128" s="1841"/>
      <c r="L128" s="1841"/>
      <c r="M128" s="1842"/>
      <c r="N128" s="2978"/>
      <c r="O128" s="2978"/>
      <c r="P128" s="2022"/>
      <c r="Q128" s="1837"/>
    </row>
    <row r="129" spans="1:17" ht="14.5"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4.5" thickBot="1">
      <c r="A130" s="1817"/>
      <c r="B130" s="1825"/>
      <c r="C130" s="1838"/>
      <c r="D130" s="1838"/>
      <c r="E130" s="1838"/>
      <c r="F130" s="1838"/>
      <c r="G130" s="1819"/>
      <c r="H130" s="1819"/>
      <c r="I130" s="1819"/>
      <c r="J130" s="1819"/>
      <c r="K130" s="1819"/>
      <c r="L130" s="1819"/>
      <c r="M130" s="1820"/>
      <c r="N130" s="2977"/>
      <c r="O130" s="2977"/>
      <c r="P130" s="2021"/>
      <c r="Q130" s="1785"/>
    </row>
    <row r="131" spans="1:17" ht="14.5"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4.5"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108.17</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2038"/>
      <c r="Y4" s="3616" t="s">
        <v>2191</v>
      </c>
      <c r="Z4" s="3617"/>
      <c r="AA4" s="3603" t="s">
        <v>2187</v>
      </c>
      <c r="AB4" s="3622" t="s">
        <v>2188</v>
      </c>
      <c r="AC4" s="3603" t="s">
        <v>2189</v>
      </c>
    </row>
    <row r="5" spans="1:29">
      <c r="A5" s="1635"/>
      <c r="B5" s="1636"/>
      <c r="C5" s="3636" t="s">
        <v>2192</v>
      </c>
      <c r="D5" s="3600"/>
      <c r="E5" s="3637" t="s">
        <v>2193</v>
      </c>
      <c r="F5" s="3624"/>
      <c r="G5" s="3636" t="s">
        <v>2194</v>
      </c>
      <c r="H5" s="3600"/>
      <c r="I5" s="3636" t="s">
        <v>2195</v>
      </c>
      <c r="J5" s="3600"/>
      <c r="K5" s="1929"/>
      <c r="L5" s="2957"/>
      <c r="M5" s="2958"/>
      <c r="N5" s="2958"/>
      <c r="O5" s="2958"/>
      <c r="P5" s="3612"/>
      <c r="Q5" s="3613"/>
      <c r="R5" s="3618"/>
      <c r="S5" s="3619"/>
      <c r="T5" s="3618"/>
      <c r="U5" s="3619"/>
      <c r="V5" s="3622"/>
      <c r="W5" s="3622"/>
      <c r="X5" s="2038"/>
      <c r="Y5" s="3618"/>
      <c r="Z5" s="3619"/>
      <c r="AA5" s="3604"/>
      <c r="AB5" s="3622"/>
      <c r="AC5" s="3604"/>
    </row>
    <row r="6" spans="1:29"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2038"/>
      <c r="Y6" s="3620"/>
      <c r="Z6" s="3621"/>
      <c r="AA6" s="3605"/>
      <c r="AB6" s="3622"/>
      <c r="AC6" s="3605"/>
    </row>
    <row r="7" spans="1:29" s="1652" customFormat="1" ht="14.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601" t="s">
        <v>2199</v>
      </c>
      <c r="Q7" s="3625"/>
      <c r="R7" s="1648" t="s">
        <v>25</v>
      </c>
      <c r="S7" s="1649">
        <f t="shared" ref="S7:S15" si="0">F7</f>
        <v>0</v>
      </c>
      <c r="T7" s="1648" t="s">
        <v>25</v>
      </c>
      <c r="U7" s="1649">
        <f t="shared" ref="U7:U15" si="1">H7</f>
        <v>0</v>
      </c>
      <c r="V7" s="1648" t="s">
        <v>25</v>
      </c>
      <c r="W7" s="1649">
        <f t="shared" ref="W7:W15" si="2">J7</f>
        <v>0</v>
      </c>
      <c r="X7" s="1650"/>
      <c r="Y7" s="3601" t="s">
        <v>2199</v>
      </c>
      <c r="Z7" s="3602"/>
      <c r="AA7" s="1651" t="e">
        <f>D7/F7</f>
        <v>#DIV/0!</v>
      </c>
      <c r="AB7" s="1651" t="e">
        <f>D7/H7</f>
        <v>#DIV/0!</v>
      </c>
      <c r="AC7" s="1651" t="e">
        <f>D7/J7</f>
        <v>#DIV/0!</v>
      </c>
    </row>
    <row r="8" spans="1:29" s="1652" customFormat="1" ht="14.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601" t="s">
        <v>2202</v>
      </c>
      <c r="Q8" s="3602"/>
      <c r="R8" s="1648" t="s">
        <v>25</v>
      </c>
      <c r="S8" s="1649">
        <f t="shared" si="0"/>
        <v>0</v>
      </c>
      <c r="T8" s="1648" t="s">
        <v>25</v>
      </c>
      <c r="U8" s="1649">
        <f t="shared" si="1"/>
        <v>0</v>
      </c>
      <c r="V8" s="1648" t="s">
        <v>25</v>
      </c>
      <c r="W8" s="1649">
        <f t="shared" si="2"/>
        <v>0</v>
      </c>
      <c r="X8" s="1650"/>
      <c r="Y8" s="3601" t="s">
        <v>2202</v>
      </c>
      <c r="Z8" s="3602"/>
      <c r="AA8" s="1651" t="e">
        <f t="shared" ref="AA8:AA46" si="3">D8/F8</f>
        <v>#DIV/0!</v>
      </c>
      <c r="AB8" s="1651" t="e">
        <f t="shared" ref="AB8:AB46" si="4">D8/H8</f>
        <v>#DIV/0!</v>
      </c>
      <c r="AC8" s="1651" t="e">
        <f t="shared" ref="AC8:AC46" si="5">D8/J8</f>
        <v>#DIV/0!</v>
      </c>
    </row>
    <row r="9" spans="1:29" s="1652" customFormat="1">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35" t="s">
        <v>2205</v>
      </c>
      <c r="Q9" s="2029"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35"/>
      <c r="Q10" s="2029"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35"/>
      <c r="Q11" s="2029" t="str">
        <f t="shared" si="6"/>
        <v>容积率</v>
      </c>
      <c r="R11" s="1648" t="s">
        <v>25</v>
      </c>
      <c r="S11" s="1649" t="e">
        <f t="shared" si="0"/>
        <v>#N/A</v>
      </c>
      <c r="T11" s="1648" t="s">
        <v>25</v>
      </c>
      <c r="U11" s="1649" t="e">
        <f t="shared" si="1"/>
        <v>#N/A</v>
      </c>
      <c r="V11" s="1648" t="s">
        <v>25</v>
      </c>
      <c r="W11" s="1649" t="e">
        <f t="shared" si="2"/>
        <v>#N/A</v>
      </c>
      <c r="X11" s="1650"/>
      <c r="Y11" s="3524"/>
      <c r="Z11" s="1660" t="str">
        <f t="shared" si="7"/>
        <v>容积率</v>
      </c>
      <c r="AA11" s="1651" t="e">
        <f t="shared" si="3"/>
        <v>#N/A</v>
      </c>
      <c r="AB11" s="1651" t="e">
        <f t="shared" si="4"/>
        <v>#N/A</v>
      </c>
      <c r="AC11" s="1651" t="e">
        <f t="shared" si="5"/>
        <v>#N/A</v>
      </c>
    </row>
    <row r="12" spans="1:29" s="1652" customFormat="1" ht="15.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35"/>
      <c r="Q12" s="2029">
        <f t="shared" si="6"/>
        <v>111</v>
      </c>
      <c r="R12" s="1648" t="s">
        <v>25</v>
      </c>
      <c r="S12" s="1649">
        <f t="shared" si="0"/>
        <v>100</v>
      </c>
      <c r="T12" s="1648" t="s">
        <v>25</v>
      </c>
      <c r="U12" s="1649">
        <f t="shared" si="1"/>
        <v>100</v>
      </c>
      <c r="V12" s="1648" t="s">
        <v>25</v>
      </c>
      <c r="W12" s="1649">
        <f t="shared" si="2"/>
        <v>100</v>
      </c>
      <c r="X12" s="1650"/>
      <c r="Y12" s="3524"/>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35"/>
      <c r="Q13" s="2029">
        <f t="shared" si="6"/>
        <v>111</v>
      </c>
      <c r="R13" s="1648" t="s">
        <v>25</v>
      </c>
      <c r="S13" s="1649">
        <f t="shared" si="0"/>
        <v>100</v>
      </c>
      <c r="T13" s="1648" t="s">
        <v>25</v>
      </c>
      <c r="U13" s="1649">
        <f t="shared" si="1"/>
        <v>100</v>
      </c>
      <c r="V13" s="1648" t="s">
        <v>25</v>
      </c>
      <c r="W13" s="1649">
        <f t="shared" si="2"/>
        <v>100</v>
      </c>
      <c r="X13" s="1650"/>
      <c r="Y13" s="3524"/>
      <c r="Z13" s="1660">
        <f t="shared" si="7"/>
        <v>111</v>
      </c>
      <c r="AA13" s="1651">
        <f t="shared" si="3"/>
        <v>1</v>
      </c>
      <c r="AB13" s="1651">
        <f t="shared" si="4"/>
        <v>1</v>
      </c>
      <c r="AC13" s="1651">
        <f t="shared" si="5"/>
        <v>1</v>
      </c>
    </row>
    <row r="14" spans="1:29" ht="1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35"/>
      <c r="Q14" s="2029">
        <f t="shared" si="6"/>
        <v>111</v>
      </c>
      <c r="R14" s="1648" t="s">
        <v>25</v>
      </c>
      <c r="S14" s="1649">
        <f t="shared" si="0"/>
        <v>100</v>
      </c>
      <c r="T14" s="1648" t="s">
        <v>25</v>
      </c>
      <c r="U14" s="1649">
        <f t="shared" si="1"/>
        <v>100</v>
      </c>
      <c r="V14" s="1648" t="s">
        <v>25</v>
      </c>
      <c r="W14" s="1649">
        <f t="shared" si="2"/>
        <v>100</v>
      </c>
      <c r="X14" s="1650"/>
      <c r="Y14" s="3524"/>
      <c r="Z14" s="1660">
        <f t="shared" si="7"/>
        <v>111</v>
      </c>
      <c r="AA14" s="1651">
        <f t="shared" si="3"/>
        <v>1</v>
      </c>
      <c r="AB14" s="1651">
        <f t="shared" si="4"/>
        <v>1</v>
      </c>
      <c r="AC14" s="1651">
        <f t="shared" si="5"/>
        <v>1</v>
      </c>
    </row>
    <row r="15" spans="1:29" ht="84">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38" t="s">
        <v>2210</v>
      </c>
      <c r="Q15" s="2035" t="str">
        <f t="shared" si="6"/>
        <v>商业繁华度</v>
      </c>
      <c r="R15" s="1692" t="s">
        <v>25</v>
      </c>
      <c r="S15" s="1693">
        <f t="shared" si="0"/>
        <v>100</v>
      </c>
      <c r="T15" s="1692" t="s">
        <v>25</v>
      </c>
      <c r="U15" s="1693">
        <f t="shared" si="1"/>
        <v>100</v>
      </c>
      <c r="V15" s="1692" t="s">
        <v>25</v>
      </c>
      <c r="W15" s="1693">
        <f t="shared" si="2"/>
        <v>100</v>
      </c>
      <c r="X15" s="2038"/>
      <c r="Y15" s="3626" t="s">
        <v>2210</v>
      </c>
      <c r="Z15" s="2042" t="str">
        <f t="shared" si="7"/>
        <v>商业繁华度</v>
      </c>
      <c r="AA15" s="2033">
        <f t="shared" si="3"/>
        <v>1</v>
      </c>
      <c r="AB15" s="2033">
        <f t="shared" si="4"/>
        <v>1</v>
      </c>
      <c r="AC15" s="2033">
        <f t="shared" si="5"/>
        <v>1</v>
      </c>
    </row>
    <row r="16" spans="1:29" ht="15.5">
      <c r="A16" s="1669"/>
      <c r="B16" s="1696"/>
      <c r="C16" s="1697"/>
      <c r="D16" s="1698"/>
      <c r="E16" s="1697"/>
      <c r="F16" s="1700"/>
      <c r="G16" s="1697"/>
      <c r="H16" s="1702"/>
      <c r="I16" s="1697"/>
      <c r="J16" s="1698"/>
      <c r="K16" s="2437"/>
      <c r="L16" s="2962"/>
      <c r="M16" s="2958"/>
      <c r="N16" s="2958"/>
      <c r="O16" s="2958"/>
      <c r="P16" s="3639"/>
      <c r="Q16" s="2035"/>
      <c r="R16" s="1692"/>
      <c r="S16" s="1693"/>
      <c r="T16" s="1692"/>
      <c r="U16" s="1693"/>
      <c r="V16" s="1692"/>
      <c r="W16" s="1693"/>
      <c r="X16" s="2038"/>
      <c r="Y16" s="3627"/>
      <c r="Z16" s="2042"/>
      <c r="AA16" s="2033">
        <v>1</v>
      </c>
      <c r="AB16" s="2033">
        <v>1</v>
      </c>
      <c r="AC16" s="2033">
        <v>1</v>
      </c>
    </row>
    <row r="17" spans="1:29" ht="126">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39"/>
      <c r="Q17" s="2035" t="str">
        <f>B17</f>
        <v>交通便捷度</v>
      </c>
      <c r="R17" s="1692" t="s">
        <v>25</v>
      </c>
      <c r="S17" s="1693">
        <f>F17</f>
        <v>100</v>
      </c>
      <c r="T17" s="1692" t="s">
        <v>25</v>
      </c>
      <c r="U17" s="1693">
        <f>H17</f>
        <v>100</v>
      </c>
      <c r="V17" s="1692" t="s">
        <v>25</v>
      </c>
      <c r="W17" s="1693">
        <f>J17</f>
        <v>100</v>
      </c>
      <c r="X17" s="2038"/>
      <c r="Y17" s="3627"/>
      <c r="Z17" s="2042" t="str">
        <f>Q17</f>
        <v>交通便捷度</v>
      </c>
      <c r="AA17" s="2033">
        <f t="shared" si="3"/>
        <v>1</v>
      </c>
      <c r="AB17" s="2033">
        <f t="shared" si="4"/>
        <v>1</v>
      </c>
      <c r="AC17" s="2033">
        <f t="shared" si="5"/>
        <v>1</v>
      </c>
    </row>
    <row r="18" spans="1:29" ht="15.5">
      <c r="A18" s="1669"/>
      <c r="B18" s="1710"/>
      <c r="C18" s="1711"/>
      <c r="D18" s="1702"/>
      <c r="E18" s="1712"/>
      <c r="F18" s="1707"/>
      <c r="G18" s="1713"/>
      <c r="H18" s="1698"/>
      <c r="I18" s="1712"/>
      <c r="J18" s="1698"/>
      <c r="K18" s="2437"/>
      <c r="L18" s="2962"/>
      <c r="M18" s="2958"/>
      <c r="N18" s="2958"/>
      <c r="O18" s="2958"/>
      <c r="P18" s="3639"/>
      <c r="Q18" s="2035"/>
      <c r="R18" s="1692"/>
      <c r="S18" s="1693"/>
      <c r="T18" s="1692"/>
      <c r="U18" s="1693"/>
      <c r="V18" s="1692"/>
      <c r="W18" s="1693"/>
      <c r="X18" s="2038"/>
      <c r="Y18" s="3627"/>
      <c r="Z18" s="2042"/>
      <c r="AA18" s="2033">
        <v>1</v>
      </c>
      <c r="AB18" s="2033">
        <v>1</v>
      </c>
      <c r="AC18" s="2033">
        <v>1</v>
      </c>
    </row>
    <row r="19" spans="1:29" ht="56">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39"/>
      <c r="Q19" s="2035" t="str">
        <f>B19</f>
        <v>公共配套设施</v>
      </c>
      <c r="R19" s="1692" t="s">
        <v>25</v>
      </c>
      <c r="S19" s="1693">
        <f>F19</f>
        <v>100</v>
      </c>
      <c r="T19" s="1692" t="s">
        <v>25</v>
      </c>
      <c r="U19" s="1693">
        <f>H19</f>
        <v>100</v>
      </c>
      <c r="V19" s="1692" t="s">
        <v>25</v>
      </c>
      <c r="W19" s="1693">
        <f>J19</f>
        <v>100</v>
      </c>
      <c r="X19" s="2038"/>
      <c r="Y19" s="3627"/>
      <c r="Z19" s="2042" t="str">
        <f>Q19</f>
        <v>公共配套设施</v>
      </c>
      <c r="AA19" s="2033">
        <f t="shared" si="3"/>
        <v>1</v>
      </c>
      <c r="AB19" s="2033">
        <f t="shared" si="4"/>
        <v>1</v>
      </c>
      <c r="AC19" s="2033">
        <f t="shared" si="5"/>
        <v>1</v>
      </c>
    </row>
    <row r="20" spans="1:29" ht="15.5">
      <c r="A20" s="1669"/>
      <c r="B20" s="1710"/>
      <c r="C20" s="1697"/>
      <c r="D20" s="1698"/>
      <c r="E20" s="1699"/>
      <c r="F20" s="1700"/>
      <c r="G20" s="1701"/>
      <c r="H20" s="1698"/>
      <c r="I20" s="1699"/>
      <c r="J20" s="1698"/>
      <c r="K20" s="2437"/>
      <c r="L20" s="2962"/>
      <c r="M20" s="2958"/>
      <c r="N20" s="2958"/>
      <c r="O20" s="2958"/>
      <c r="P20" s="3639"/>
      <c r="Q20" s="2035"/>
      <c r="R20" s="1692"/>
      <c r="S20" s="1693"/>
      <c r="T20" s="1692"/>
      <c r="U20" s="1693"/>
      <c r="V20" s="1692"/>
      <c r="W20" s="1693"/>
      <c r="X20" s="2038"/>
      <c r="Y20" s="3627"/>
      <c r="Z20" s="2042"/>
      <c r="AA20" s="2033">
        <v>1</v>
      </c>
      <c r="AB20" s="2033">
        <v>1</v>
      </c>
      <c r="AC20" s="2033">
        <v>1</v>
      </c>
    </row>
    <row r="21" spans="1:29" ht="42">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39"/>
      <c r="Q21" s="2035" t="str">
        <f>B21</f>
        <v>基础设施水平</v>
      </c>
      <c r="R21" s="1692" t="s">
        <v>25</v>
      </c>
      <c r="S21" s="1693">
        <f>F21</f>
        <v>100</v>
      </c>
      <c r="T21" s="1692" t="s">
        <v>25</v>
      </c>
      <c r="U21" s="1693">
        <f>H21</f>
        <v>100</v>
      </c>
      <c r="V21" s="1692" t="s">
        <v>25</v>
      </c>
      <c r="W21" s="1693">
        <f>J21</f>
        <v>100</v>
      </c>
      <c r="X21" s="2038"/>
      <c r="Y21" s="3627"/>
      <c r="Z21" s="2042" t="str">
        <f>Q21</f>
        <v>基础设施水平</v>
      </c>
      <c r="AA21" s="2033">
        <f t="shared" ref="AA21" si="8">D21/F21</f>
        <v>1</v>
      </c>
      <c r="AB21" s="2033">
        <f t="shared" ref="AB21" si="9">D21/H21</f>
        <v>1</v>
      </c>
      <c r="AC21" s="2033">
        <f t="shared" ref="AC21" si="10">D21/J21</f>
        <v>1</v>
      </c>
    </row>
    <row r="22" spans="1:29" ht="15.5">
      <c r="A22" s="1669"/>
      <c r="B22" s="1717"/>
      <c r="C22" s="1711"/>
      <c r="D22" s="1698"/>
      <c r="E22" s="1697"/>
      <c r="F22" s="1700"/>
      <c r="G22" s="1697"/>
      <c r="H22" s="1698"/>
      <c r="I22" s="1697"/>
      <c r="J22" s="1698"/>
      <c r="K22" s="2438"/>
      <c r="L22" s="2962"/>
      <c r="M22" s="2958"/>
      <c r="N22" s="2958"/>
      <c r="O22" s="2958"/>
      <c r="P22" s="3639"/>
      <c r="Q22" s="2035"/>
      <c r="R22" s="1692"/>
      <c r="S22" s="1693"/>
      <c r="T22" s="1692"/>
      <c r="U22" s="1693"/>
      <c r="V22" s="1692"/>
      <c r="W22" s="1693"/>
      <c r="X22" s="2038"/>
      <c r="Y22" s="3627"/>
      <c r="Z22" s="2042"/>
      <c r="AA22" s="2033">
        <v>1</v>
      </c>
      <c r="AB22" s="2033">
        <v>1</v>
      </c>
      <c r="AC22" s="2033">
        <v>1</v>
      </c>
    </row>
    <row r="23" spans="1:29" ht="84">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39"/>
      <c r="Q23" s="2035" t="str">
        <f>B23</f>
        <v>自然及人文环境</v>
      </c>
      <c r="R23" s="1692" t="s">
        <v>25</v>
      </c>
      <c r="S23" s="1693">
        <f>F23</f>
        <v>100</v>
      </c>
      <c r="T23" s="1692" t="s">
        <v>25</v>
      </c>
      <c r="U23" s="1693">
        <f>H23</f>
        <v>100</v>
      </c>
      <c r="V23" s="1692" t="s">
        <v>25</v>
      </c>
      <c r="W23" s="1693">
        <f>J23</f>
        <v>100</v>
      </c>
      <c r="X23" s="2038"/>
      <c r="Y23" s="3627"/>
      <c r="Z23" s="2042" t="str">
        <f>Q23</f>
        <v>自然及人文环境</v>
      </c>
      <c r="AA23" s="2033">
        <f t="shared" si="3"/>
        <v>1</v>
      </c>
      <c r="AB23" s="2033">
        <f t="shared" si="4"/>
        <v>1</v>
      </c>
      <c r="AC23" s="2033">
        <f t="shared" si="5"/>
        <v>1</v>
      </c>
    </row>
    <row r="24" spans="1:29" ht="15.5">
      <c r="A24" s="1669"/>
      <c r="B24" s="1710"/>
      <c r="C24" s="1697"/>
      <c r="D24" s="1698"/>
      <c r="E24" s="1699"/>
      <c r="F24" s="1700"/>
      <c r="G24" s="1701"/>
      <c r="H24" s="1698"/>
      <c r="I24" s="1699"/>
      <c r="J24" s="1698"/>
      <c r="K24" s="2437"/>
      <c r="L24" s="2962"/>
      <c r="M24" s="2958"/>
      <c r="N24" s="2958"/>
      <c r="O24" s="2958"/>
      <c r="P24" s="3639"/>
      <c r="Q24" s="2035"/>
      <c r="R24" s="1692"/>
      <c r="S24" s="1693"/>
      <c r="T24" s="1692"/>
      <c r="U24" s="1693"/>
      <c r="V24" s="1692"/>
      <c r="W24" s="1693"/>
      <c r="X24" s="2038"/>
      <c r="Y24" s="3627"/>
      <c r="Z24" s="2042"/>
      <c r="AA24" s="2033">
        <v>1</v>
      </c>
      <c r="AB24" s="2033">
        <v>1</v>
      </c>
      <c r="AC24" s="2033">
        <v>1</v>
      </c>
    </row>
    <row r="25" spans="1:29" ht="15.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39"/>
      <c r="Q25" s="2035" t="str">
        <f t="shared" ref="Q25:Q46" si="11">B25</f>
        <v>临街状况</v>
      </c>
      <c r="R25" s="1692" t="s">
        <v>25</v>
      </c>
      <c r="S25" s="1693">
        <f>F25</f>
        <v>100</v>
      </c>
      <c r="T25" s="1692" t="s">
        <v>25</v>
      </c>
      <c r="U25" s="1693">
        <f>H25</f>
        <v>100</v>
      </c>
      <c r="V25" s="1692" t="s">
        <v>25</v>
      </c>
      <c r="W25" s="1693">
        <f>J25</f>
        <v>100</v>
      </c>
      <c r="X25" s="2038"/>
      <c r="Y25" s="3627"/>
      <c r="Z25" s="2042" t="str">
        <f>Q25</f>
        <v>临街状况</v>
      </c>
      <c r="AA25" s="2033">
        <f t="shared" si="3"/>
        <v>1</v>
      </c>
      <c r="AB25" s="2033">
        <f t="shared" si="4"/>
        <v>1</v>
      </c>
      <c r="AC25" s="2033">
        <f t="shared" si="5"/>
        <v>1</v>
      </c>
    </row>
    <row r="26" spans="1:29" ht="15.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39"/>
      <c r="Q26" s="2035" t="str">
        <f t="shared" si="11"/>
        <v>平面位置/可视性</v>
      </c>
      <c r="R26" s="1692" t="s">
        <v>25</v>
      </c>
      <c r="S26" s="1693">
        <f>F26</f>
        <v>100</v>
      </c>
      <c r="T26" s="1692" t="s">
        <v>25</v>
      </c>
      <c r="U26" s="1693">
        <f>H26</f>
        <v>100</v>
      </c>
      <c r="V26" s="1692" t="s">
        <v>25</v>
      </c>
      <c r="W26" s="1693">
        <f>J26</f>
        <v>100</v>
      </c>
      <c r="X26" s="2038"/>
      <c r="Y26" s="3627"/>
      <c r="Z26" s="2042" t="str">
        <f>Q26</f>
        <v>平面位置/可视性</v>
      </c>
      <c r="AA26" s="2033">
        <f t="shared" si="3"/>
        <v>1</v>
      </c>
      <c r="AB26" s="2033">
        <f t="shared" si="4"/>
        <v>1</v>
      </c>
      <c r="AC26" s="2033">
        <f t="shared" si="5"/>
        <v>1</v>
      </c>
    </row>
    <row r="27" spans="1:29" s="1652" customFormat="1" ht="15.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39"/>
      <c r="Q27" s="2029" t="str">
        <f t="shared" si="11"/>
        <v>人流量</v>
      </c>
      <c r="R27" s="1648" t="s">
        <v>25</v>
      </c>
      <c r="S27" s="1649">
        <f>F27</f>
        <v>100</v>
      </c>
      <c r="T27" s="1648" t="s">
        <v>25</v>
      </c>
      <c r="U27" s="1649">
        <f>H27</f>
        <v>100</v>
      </c>
      <c r="V27" s="1648" t="s">
        <v>25</v>
      </c>
      <c r="W27" s="1649">
        <f>J27</f>
        <v>100</v>
      </c>
      <c r="X27" s="1650"/>
      <c r="Y27" s="3627"/>
      <c r="Z27" s="1660" t="str">
        <f>Q27</f>
        <v>人流量</v>
      </c>
      <c r="AA27" s="2033">
        <f>D27/F27</f>
        <v>1</v>
      </c>
      <c r="AB27" s="2033">
        <f>D27/H27</f>
        <v>1</v>
      </c>
      <c r="AC27" s="2033">
        <f>D27/J27</f>
        <v>1</v>
      </c>
    </row>
    <row r="28" spans="1:29" ht="15.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39"/>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627"/>
      <c r="Z28" s="2042" t="str">
        <f t="shared" ref="Z28:Z46" si="15">Q28</f>
        <v>楼层</v>
      </c>
      <c r="AA28" s="2033">
        <f t="shared" si="3"/>
        <v>1</v>
      </c>
      <c r="AB28" s="2033">
        <f t="shared" si="4"/>
        <v>1</v>
      </c>
      <c r="AC28" s="2033">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39"/>
      <c r="Q29" s="2035">
        <f t="shared" si="11"/>
        <v>111</v>
      </c>
      <c r="R29" s="1692" t="s">
        <v>25</v>
      </c>
      <c r="S29" s="1693">
        <f t="shared" si="12"/>
        <v>100</v>
      </c>
      <c r="T29" s="1692" t="s">
        <v>25</v>
      </c>
      <c r="U29" s="1693">
        <f t="shared" si="13"/>
        <v>100</v>
      </c>
      <c r="V29" s="1692" t="s">
        <v>25</v>
      </c>
      <c r="W29" s="1693">
        <f t="shared" si="14"/>
        <v>100</v>
      </c>
      <c r="X29" s="2038"/>
      <c r="Y29" s="3627"/>
      <c r="Z29" s="2042">
        <f t="shared" si="15"/>
        <v>111</v>
      </c>
      <c r="AA29" s="2033">
        <f t="shared" si="3"/>
        <v>1</v>
      </c>
      <c r="AB29" s="2033">
        <f t="shared" si="4"/>
        <v>1</v>
      </c>
      <c r="AC29" s="2033">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39"/>
      <c r="Q30" s="2035">
        <f t="shared" si="11"/>
        <v>111</v>
      </c>
      <c r="R30" s="1692" t="s">
        <v>25</v>
      </c>
      <c r="S30" s="1693">
        <f t="shared" si="12"/>
        <v>100</v>
      </c>
      <c r="T30" s="1692" t="s">
        <v>25</v>
      </c>
      <c r="U30" s="1693">
        <f t="shared" si="13"/>
        <v>100</v>
      </c>
      <c r="V30" s="1692" t="s">
        <v>25</v>
      </c>
      <c r="W30" s="1693">
        <f t="shared" si="14"/>
        <v>100</v>
      </c>
      <c r="X30" s="2038"/>
      <c r="Y30" s="3627"/>
      <c r="Z30" s="2042">
        <f t="shared" si="15"/>
        <v>111</v>
      </c>
      <c r="AA30" s="2033">
        <f t="shared" si="3"/>
        <v>1</v>
      </c>
      <c r="AB30" s="2033">
        <f t="shared" si="4"/>
        <v>1</v>
      </c>
      <c r="AC30" s="2033">
        <f t="shared" si="5"/>
        <v>1</v>
      </c>
    </row>
    <row r="31" spans="1:29" ht="1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39"/>
      <c r="Q31" s="2035">
        <f t="shared" si="11"/>
        <v>111</v>
      </c>
      <c r="R31" s="1692" t="s">
        <v>25</v>
      </c>
      <c r="S31" s="1693">
        <f t="shared" si="12"/>
        <v>100</v>
      </c>
      <c r="T31" s="1692" t="s">
        <v>25</v>
      </c>
      <c r="U31" s="1693">
        <f t="shared" si="13"/>
        <v>100</v>
      </c>
      <c r="V31" s="1692" t="s">
        <v>25</v>
      </c>
      <c r="W31" s="1693">
        <f t="shared" si="14"/>
        <v>100</v>
      </c>
      <c r="X31" s="2038"/>
      <c r="Y31" s="3627"/>
      <c r="Z31" s="2042">
        <f t="shared" si="15"/>
        <v>111</v>
      </c>
      <c r="AA31" s="2033">
        <f t="shared" si="3"/>
        <v>1</v>
      </c>
      <c r="AB31" s="2033">
        <f t="shared" si="4"/>
        <v>1</v>
      </c>
      <c r="AC31" s="2033">
        <f t="shared" si="5"/>
        <v>1</v>
      </c>
    </row>
    <row r="32" spans="1:29" ht="15.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40" t="s">
        <v>2215</v>
      </c>
      <c r="Q32" s="2035" t="str">
        <f t="shared" si="11"/>
        <v>商业类型</v>
      </c>
      <c r="R32" s="1692" t="s">
        <v>25</v>
      </c>
      <c r="S32" s="1693">
        <f t="shared" si="12"/>
        <v>100</v>
      </c>
      <c r="T32" s="1692" t="s">
        <v>25</v>
      </c>
      <c r="U32" s="1693">
        <f t="shared" si="13"/>
        <v>100</v>
      </c>
      <c r="V32" s="1692" t="s">
        <v>25</v>
      </c>
      <c r="W32" s="1693">
        <f t="shared" si="14"/>
        <v>100</v>
      </c>
      <c r="X32" s="2038"/>
      <c r="Y32" s="3629" t="s">
        <v>2215</v>
      </c>
      <c r="Z32" s="2042" t="str">
        <f t="shared" si="15"/>
        <v>商业类型</v>
      </c>
      <c r="AA32" s="2033">
        <f t="shared" si="3"/>
        <v>1</v>
      </c>
      <c r="AB32" s="2033">
        <f t="shared" si="4"/>
        <v>1</v>
      </c>
      <c r="AC32" s="2033">
        <f t="shared" si="5"/>
        <v>1</v>
      </c>
    </row>
    <row r="33" spans="1:29" s="1737" customFormat="1" ht="15.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41"/>
      <c r="Q33" s="1732" t="str">
        <f t="shared" si="11"/>
        <v>项目建筑规模</v>
      </c>
      <c r="R33" s="1733" t="s">
        <v>25</v>
      </c>
      <c r="S33" s="1734" t="e">
        <f t="shared" si="12"/>
        <v>#N/A</v>
      </c>
      <c r="T33" s="1733" t="s">
        <v>25</v>
      </c>
      <c r="U33" s="1734" t="e">
        <f t="shared" si="13"/>
        <v>#N/A</v>
      </c>
      <c r="V33" s="1733" t="s">
        <v>25</v>
      </c>
      <c r="W33" s="1734" t="e">
        <f t="shared" si="14"/>
        <v>#N/A</v>
      </c>
      <c r="X33" s="1735"/>
      <c r="Y33" s="3629"/>
      <c r="Z33" s="1736" t="str">
        <f t="shared" si="15"/>
        <v>项目建筑规模</v>
      </c>
      <c r="AA33" s="2033" t="e">
        <f t="shared" si="3"/>
        <v>#N/A</v>
      </c>
      <c r="AB33" s="2033" t="e">
        <f t="shared" si="4"/>
        <v>#N/A</v>
      </c>
      <c r="AC33" s="2033" t="e">
        <f t="shared" si="5"/>
        <v>#N/A</v>
      </c>
    </row>
    <row r="34" spans="1:29" ht="15.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41"/>
      <c r="Q34" s="2035" t="str">
        <f t="shared" si="11"/>
        <v>建筑结构</v>
      </c>
      <c r="R34" s="1692" t="s">
        <v>25</v>
      </c>
      <c r="S34" s="1693">
        <f t="shared" si="12"/>
        <v>100</v>
      </c>
      <c r="T34" s="1692" t="s">
        <v>25</v>
      </c>
      <c r="U34" s="1693">
        <f t="shared" si="13"/>
        <v>100</v>
      </c>
      <c r="V34" s="1692" t="s">
        <v>25</v>
      </c>
      <c r="W34" s="1693">
        <f t="shared" si="14"/>
        <v>100</v>
      </c>
      <c r="X34" s="2038"/>
      <c r="Y34" s="3629"/>
      <c r="Z34" s="2042" t="str">
        <f t="shared" si="15"/>
        <v>建筑结构</v>
      </c>
      <c r="AA34" s="2033">
        <f t="shared" si="3"/>
        <v>1</v>
      </c>
      <c r="AB34" s="2033">
        <f t="shared" si="4"/>
        <v>1</v>
      </c>
      <c r="AC34" s="2033">
        <f t="shared" si="5"/>
        <v>1</v>
      </c>
    </row>
    <row r="35" spans="1:29" ht="15.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41"/>
      <c r="Q35" s="2035" t="str">
        <f t="shared" si="11"/>
        <v>公共部分装修</v>
      </c>
      <c r="R35" s="1692" t="s">
        <v>25</v>
      </c>
      <c r="S35" s="1693">
        <f t="shared" si="12"/>
        <v>100</v>
      </c>
      <c r="T35" s="1692" t="s">
        <v>25</v>
      </c>
      <c r="U35" s="1693">
        <f t="shared" si="13"/>
        <v>100</v>
      </c>
      <c r="V35" s="1692" t="s">
        <v>25</v>
      </c>
      <c r="W35" s="1693">
        <f t="shared" si="14"/>
        <v>100</v>
      </c>
      <c r="X35" s="2038"/>
      <c r="Y35" s="3629"/>
      <c r="Z35" s="2042" t="str">
        <f t="shared" si="15"/>
        <v>公共部分装修</v>
      </c>
      <c r="AA35" s="2033">
        <f t="shared" si="3"/>
        <v>1</v>
      </c>
      <c r="AB35" s="2033">
        <f t="shared" si="4"/>
        <v>1</v>
      </c>
      <c r="AC35" s="2033">
        <f t="shared" si="5"/>
        <v>1</v>
      </c>
    </row>
    <row r="36" spans="1:29" ht="15.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41"/>
      <c r="Q36" s="2035" t="str">
        <f t="shared" si="11"/>
        <v>成新度</v>
      </c>
      <c r="R36" s="1692" t="s">
        <v>25</v>
      </c>
      <c r="S36" s="1693" t="e">
        <f t="shared" si="12"/>
        <v>#N/A</v>
      </c>
      <c r="T36" s="1692" t="s">
        <v>25</v>
      </c>
      <c r="U36" s="1693" t="e">
        <f t="shared" si="13"/>
        <v>#N/A</v>
      </c>
      <c r="V36" s="1692" t="s">
        <v>25</v>
      </c>
      <c r="W36" s="1693" t="e">
        <f t="shared" si="14"/>
        <v>#N/A</v>
      </c>
      <c r="X36" s="2038"/>
      <c r="Y36" s="3629"/>
      <c r="Z36" s="2042" t="str">
        <f t="shared" si="15"/>
        <v>成新度</v>
      </c>
      <c r="AA36" s="2033" t="e">
        <f t="shared" si="3"/>
        <v>#N/A</v>
      </c>
      <c r="AB36" s="2033" t="e">
        <f t="shared" si="4"/>
        <v>#N/A</v>
      </c>
      <c r="AC36" s="2033" t="e">
        <f t="shared" si="5"/>
        <v>#N/A</v>
      </c>
    </row>
    <row r="37" spans="1:29" s="1652" customFormat="1" ht="15.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41"/>
      <c r="Q37" s="2029" t="str">
        <f t="shared" si="11"/>
        <v>市政基础设施</v>
      </c>
      <c r="R37" s="1648" t="s">
        <v>25</v>
      </c>
      <c r="S37" s="1649">
        <f t="shared" si="12"/>
        <v>100</v>
      </c>
      <c r="T37" s="1648" t="s">
        <v>25</v>
      </c>
      <c r="U37" s="1649">
        <f t="shared" si="13"/>
        <v>100</v>
      </c>
      <c r="V37" s="1648" t="s">
        <v>25</v>
      </c>
      <c r="W37" s="1649">
        <f t="shared" si="14"/>
        <v>100</v>
      </c>
      <c r="X37" s="1650"/>
      <c r="Y37" s="3629"/>
      <c r="Z37" s="1660" t="str">
        <f t="shared" si="15"/>
        <v>市政基础设施</v>
      </c>
      <c r="AA37" s="1651">
        <f t="shared" si="3"/>
        <v>1</v>
      </c>
      <c r="AB37" s="1651">
        <f t="shared" si="4"/>
        <v>1</v>
      </c>
      <c r="AC37" s="1651">
        <f t="shared" si="5"/>
        <v>1</v>
      </c>
    </row>
    <row r="38" spans="1:29" ht="15.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41" t="s">
        <v>2215</v>
      </c>
      <c r="Q38" s="2035" t="str">
        <f t="shared" si="11"/>
        <v>业态</v>
      </c>
      <c r="R38" s="1692" t="s">
        <v>25</v>
      </c>
      <c r="S38" s="1693">
        <f t="shared" si="12"/>
        <v>100</v>
      </c>
      <c r="T38" s="1692" t="s">
        <v>25</v>
      </c>
      <c r="U38" s="1693">
        <f t="shared" si="13"/>
        <v>100</v>
      </c>
      <c r="V38" s="1692" t="s">
        <v>25</v>
      </c>
      <c r="W38" s="1693">
        <f t="shared" si="14"/>
        <v>100</v>
      </c>
      <c r="X38" s="2038"/>
      <c r="Y38" s="3629" t="s">
        <v>2215</v>
      </c>
      <c r="Z38" s="2042" t="str">
        <f t="shared" si="15"/>
        <v>业态</v>
      </c>
      <c r="AA38" s="2033">
        <f t="shared" si="3"/>
        <v>1</v>
      </c>
      <c r="AB38" s="2033">
        <f t="shared" si="4"/>
        <v>1</v>
      </c>
      <c r="AC38" s="2033">
        <f t="shared" si="5"/>
        <v>1</v>
      </c>
    </row>
    <row r="39" spans="1:29" ht="15.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41"/>
      <c r="Q39" s="2035" t="str">
        <f t="shared" si="11"/>
        <v>层高</v>
      </c>
      <c r="R39" s="1692" t="s">
        <v>25</v>
      </c>
      <c r="S39" s="1693">
        <f t="shared" si="12"/>
        <v>100</v>
      </c>
      <c r="T39" s="1692" t="s">
        <v>25</v>
      </c>
      <c r="U39" s="1693">
        <f t="shared" si="13"/>
        <v>100</v>
      </c>
      <c r="V39" s="1692" t="s">
        <v>25</v>
      </c>
      <c r="W39" s="1693">
        <f t="shared" si="14"/>
        <v>100</v>
      </c>
      <c r="X39" s="2038"/>
      <c r="Y39" s="3629"/>
      <c r="Z39" s="2042" t="str">
        <f t="shared" si="15"/>
        <v>层高</v>
      </c>
      <c r="AA39" s="2033">
        <f t="shared" si="3"/>
        <v>1</v>
      </c>
      <c r="AB39" s="2033">
        <f t="shared" si="4"/>
        <v>1</v>
      </c>
      <c r="AC39" s="2033">
        <f t="shared" si="5"/>
        <v>1</v>
      </c>
    </row>
    <row r="40" spans="1:29" ht="15.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41"/>
      <c r="Q40" s="2035" t="str">
        <f t="shared" si="11"/>
        <v>单套建筑面积</v>
      </c>
      <c r="R40" s="1692" t="s">
        <v>25</v>
      </c>
      <c r="S40" s="1693">
        <f t="shared" si="12"/>
        <v>100</v>
      </c>
      <c r="T40" s="1692" t="s">
        <v>25</v>
      </c>
      <c r="U40" s="1693">
        <f t="shared" si="13"/>
        <v>100</v>
      </c>
      <c r="V40" s="1692" t="s">
        <v>25</v>
      </c>
      <c r="W40" s="1693">
        <f t="shared" si="14"/>
        <v>100</v>
      </c>
      <c r="X40" s="2038"/>
      <c r="Y40" s="3629"/>
      <c r="Z40" s="2042" t="str">
        <f t="shared" si="15"/>
        <v>单套建筑面积</v>
      </c>
      <c r="AA40" s="2033">
        <f t="shared" si="3"/>
        <v>1</v>
      </c>
      <c r="AB40" s="2033">
        <f t="shared" si="4"/>
        <v>1</v>
      </c>
      <c r="AC40" s="2033">
        <f t="shared" si="5"/>
        <v>1</v>
      </c>
    </row>
    <row r="41" spans="1:29" s="1737" customFormat="1" ht="15.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41"/>
      <c r="Q41" s="1732" t="str">
        <f t="shared" si="11"/>
        <v>进深比</v>
      </c>
      <c r="R41" s="1733" t="s">
        <v>25</v>
      </c>
      <c r="S41" s="1734">
        <f t="shared" si="12"/>
        <v>100</v>
      </c>
      <c r="T41" s="1733" t="s">
        <v>25</v>
      </c>
      <c r="U41" s="1734">
        <f t="shared" si="13"/>
        <v>100</v>
      </c>
      <c r="V41" s="1733" t="s">
        <v>25</v>
      </c>
      <c r="W41" s="1734">
        <f t="shared" si="14"/>
        <v>100</v>
      </c>
      <c r="X41" s="1735"/>
      <c r="Y41" s="3629"/>
      <c r="Z41" s="1736" t="str">
        <f t="shared" si="15"/>
        <v>进深比</v>
      </c>
      <c r="AA41" s="2033">
        <f t="shared" si="3"/>
        <v>1</v>
      </c>
      <c r="AB41" s="2033">
        <f t="shared" si="4"/>
        <v>1</v>
      </c>
      <c r="AC41" s="2033">
        <f t="shared" si="5"/>
        <v>1</v>
      </c>
    </row>
    <row r="42" spans="1:29" ht="15.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41"/>
      <c r="Q42" s="2035" t="str">
        <f t="shared" si="11"/>
        <v>内部装修</v>
      </c>
      <c r="R42" s="1692" t="s">
        <v>25</v>
      </c>
      <c r="S42" s="1693">
        <f t="shared" si="12"/>
        <v>100</v>
      </c>
      <c r="T42" s="1692" t="s">
        <v>25</v>
      </c>
      <c r="U42" s="1693">
        <f t="shared" si="13"/>
        <v>100</v>
      </c>
      <c r="V42" s="1692" t="s">
        <v>25</v>
      </c>
      <c r="W42" s="1693">
        <f t="shared" si="14"/>
        <v>100</v>
      </c>
      <c r="X42" s="2038"/>
      <c r="Y42" s="3629"/>
      <c r="Z42" s="2042" t="str">
        <f t="shared" si="15"/>
        <v>内部装修</v>
      </c>
      <c r="AA42" s="2033">
        <f t="shared" si="3"/>
        <v>1</v>
      </c>
      <c r="AB42" s="2033">
        <f t="shared" si="4"/>
        <v>1</v>
      </c>
      <c r="AC42" s="2033">
        <f t="shared" si="5"/>
        <v>1</v>
      </c>
    </row>
    <row r="43" spans="1:29" ht="28">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41"/>
      <c r="Q43" s="2035" t="str">
        <f t="shared" si="11"/>
        <v>内部装修维护情况</v>
      </c>
      <c r="R43" s="1692" t="s">
        <v>25</v>
      </c>
      <c r="S43" s="1693">
        <f t="shared" si="12"/>
        <v>100</v>
      </c>
      <c r="T43" s="1692" t="s">
        <v>25</v>
      </c>
      <c r="U43" s="1693">
        <f t="shared" si="13"/>
        <v>100</v>
      </c>
      <c r="V43" s="1692" t="s">
        <v>25</v>
      </c>
      <c r="W43" s="1693">
        <f t="shared" si="14"/>
        <v>100</v>
      </c>
      <c r="X43" s="2038"/>
      <c r="Y43" s="3629"/>
      <c r="Z43" s="2042" t="str">
        <f t="shared" si="15"/>
        <v>内部装修维护情况</v>
      </c>
      <c r="AA43" s="2033">
        <f t="shared" si="3"/>
        <v>1</v>
      </c>
      <c r="AB43" s="2033">
        <f t="shared" si="4"/>
        <v>1</v>
      </c>
      <c r="AC43" s="2033">
        <f t="shared" si="5"/>
        <v>1</v>
      </c>
    </row>
    <row r="44" spans="1:29" s="1652" customFormat="1" ht="15.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41"/>
      <c r="Q44" s="2029">
        <f t="shared" si="11"/>
        <v>111</v>
      </c>
      <c r="R44" s="1648" t="s">
        <v>25</v>
      </c>
      <c r="S44" s="1649">
        <f t="shared" si="12"/>
        <v>100</v>
      </c>
      <c r="T44" s="1648" t="s">
        <v>25</v>
      </c>
      <c r="U44" s="1649">
        <f t="shared" si="13"/>
        <v>100</v>
      </c>
      <c r="V44" s="1648" t="s">
        <v>25</v>
      </c>
      <c r="W44" s="1649">
        <f t="shared" si="14"/>
        <v>100</v>
      </c>
      <c r="X44" s="1650"/>
      <c r="Y44" s="3629"/>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41"/>
      <c r="Q45" s="2035">
        <f t="shared" si="11"/>
        <v>111</v>
      </c>
      <c r="R45" s="1692" t="s">
        <v>25</v>
      </c>
      <c r="S45" s="1693">
        <f t="shared" si="12"/>
        <v>100</v>
      </c>
      <c r="T45" s="1692" t="s">
        <v>25</v>
      </c>
      <c r="U45" s="1693">
        <f t="shared" si="13"/>
        <v>100</v>
      </c>
      <c r="V45" s="1692" t="s">
        <v>25</v>
      </c>
      <c r="W45" s="1693">
        <f t="shared" si="14"/>
        <v>100</v>
      </c>
      <c r="X45" s="2038"/>
      <c r="Y45" s="3629"/>
      <c r="Z45" s="2042">
        <f t="shared" si="15"/>
        <v>111</v>
      </c>
      <c r="AA45" s="2033">
        <f t="shared" si="3"/>
        <v>1</v>
      </c>
      <c r="AB45" s="2033">
        <f t="shared" si="4"/>
        <v>1</v>
      </c>
      <c r="AC45" s="2033">
        <f t="shared" si="5"/>
        <v>1</v>
      </c>
    </row>
    <row r="46" spans="1:29" ht="16"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42"/>
      <c r="Q46" s="2035">
        <f t="shared" si="11"/>
        <v>111</v>
      </c>
      <c r="R46" s="1692" t="s">
        <v>25</v>
      </c>
      <c r="S46" s="1693">
        <f t="shared" si="12"/>
        <v>100</v>
      </c>
      <c r="T46" s="1692" t="s">
        <v>25</v>
      </c>
      <c r="U46" s="1693">
        <f t="shared" si="13"/>
        <v>100</v>
      </c>
      <c r="V46" s="1692" t="s">
        <v>25</v>
      </c>
      <c r="W46" s="1693">
        <f t="shared" si="14"/>
        <v>100</v>
      </c>
      <c r="X46" s="2038"/>
      <c r="Y46" s="3630"/>
      <c r="Z46" s="2042">
        <f t="shared" si="15"/>
        <v>111</v>
      </c>
      <c r="AA46" s="2033">
        <f t="shared" si="3"/>
        <v>1</v>
      </c>
      <c r="AB46" s="2033">
        <f t="shared" si="4"/>
        <v>1</v>
      </c>
      <c r="AC46" s="2033">
        <f t="shared" si="5"/>
        <v>1</v>
      </c>
    </row>
    <row r="47" spans="1:29">
      <c r="A47" s="1745" t="s">
        <v>2227</v>
      </c>
      <c r="B47" s="1746"/>
      <c r="C47" s="1747" t="s">
        <v>1</v>
      </c>
      <c r="D47" s="1748"/>
      <c r="E47" s="1749"/>
      <c r="F47" s="1750"/>
      <c r="G47" s="1751"/>
      <c r="H47" s="1752"/>
      <c r="I47" s="1749"/>
      <c r="J47" s="1752"/>
      <c r="K47" s="1977"/>
      <c r="L47" s="2963"/>
      <c r="N47" s="2958"/>
      <c r="P47" s="3598" t="str">
        <f>A47</f>
        <v>成交单价（元/平方米）</v>
      </c>
      <c r="Q47" s="3598"/>
      <c r="R47" s="3631">
        <f>E47</f>
        <v>0</v>
      </c>
      <c r="S47" s="3631"/>
      <c r="T47" s="3631">
        <f>G47</f>
        <v>0</v>
      </c>
      <c r="U47" s="3631"/>
      <c r="V47" s="3631">
        <f>I47</f>
        <v>0</v>
      </c>
      <c r="W47" s="3631"/>
      <c r="X47" s="1755"/>
      <c r="Y47" s="2037"/>
      <c r="Z47" s="1755"/>
      <c r="AA47" s="1755"/>
      <c r="AB47" s="1755"/>
      <c r="AC47" s="1755"/>
    </row>
    <row r="48" spans="1:29" ht="14.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98" t="str">
        <f>A48</f>
        <v>比较价值（元/平方米）</v>
      </c>
      <c r="Q48" s="3598"/>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55"/>
      <c r="Y48" s="1755"/>
      <c r="Z48" s="1755"/>
      <c r="AA48" s="1755"/>
      <c r="AB48" s="1755"/>
      <c r="AC48" s="1755"/>
    </row>
    <row r="49" spans="1:29" ht="14.5" thickBot="1">
      <c r="A49" s="1763" t="s">
        <v>2311</v>
      </c>
      <c r="B49" s="1764"/>
      <c r="C49" s="1766" t="e">
        <f>R49</f>
        <v>#DIV/0!</v>
      </c>
      <c r="D49" s="1766"/>
      <c r="E49" s="1766"/>
      <c r="F49" s="1766"/>
      <c r="G49" s="1766"/>
      <c r="H49" s="1766"/>
      <c r="I49" s="1766"/>
      <c r="J49" s="1766"/>
      <c r="K49" s="1982"/>
      <c r="L49" s="2963"/>
      <c r="N49" s="2958"/>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1.5"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4.5" thickBot="1">
      <c r="A62" s="1803"/>
      <c r="B62" s="1793"/>
      <c r="C62" s="1808">
        <v>100</v>
      </c>
      <c r="D62" s="1795"/>
      <c r="E62" s="1795"/>
      <c r="F62" s="1795"/>
      <c r="G62" s="1795"/>
      <c r="H62" s="1795"/>
      <c r="I62" s="1795"/>
      <c r="J62" s="1795"/>
      <c r="K62" s="1795"/>
      <c r="L62" s="1795"/>
      <c r="M62" s="1809"/>
      <c r="N62" s="2975"/>
      <c r="O62" s="2975"/>
      <c r="P62" s="1797"/>
      <c r="Q62" s="1785"/>
    </row>
    <row r="63" spans="1:29">
      <c r="A63" s="1810" t="s">
        <v>2238</v>
      </c>
      <c r="B63" s="1811" t="s">
        <v>2204</v>
      </c>
      <c r="C63" s="1812">
        <f>C9</f>
        <v>0</v>
      </c>
      <c r="D63" s="1813"/>
      <c r="E63" s="1813"/>
      <c r="F63" s="1813"/>
      <c r="G63" s="1813"/>
      <c r="H63" s="1813"/>
      <c r="I63" s="1813"/>
      <c r="J63" s="1813"/>
      <c r="K63" s="417"/>
      <c r="L63" s="417"/>
      <c r="M63" s="1814"/>
      <c r="N63" s="2976"/>
      <c r="O63" s="2976"/>
      <c r="P63" s="1816"/>
      <c r="Q63" s="1785"/>
    </row>
    <row r="64" spans="1:29" ht="14.5" thickBot="1">
      <c r="A64" s="1817"/>
      <c r="B64" s="1818"/>
      <c r="C64" s="1819">
        <v>100</v>
      </c>
      <c r="D64" s="1819"/>
      <c r="E64" s="1819"/>
      <c r="F64" s="1819"/>
      <c r="G64" s="1819"/>
      <c r="H64" s="1819"/>
      <c r="I64" s="1819"/>
      <c r="J64" s="1819"/>
      <c r="K64" s="1819"/>
      <c r="L64" s="1819"/>
      <c r="M64" s="1820"/>
      <c r="N64" s="2977"/>
      <c r="O64" s="2977"/>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4.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4.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c r="A68" s="1817"/>
      <c r="B68" s="1830"/>
      <c r="C68" s="1831"/>
      <c r="D68" s="1831"/>
      <c r="E68" s="1831"/>
      <c r="F68" s="1831"/>
      <c r="G68" s="1831"/>
      <c r="H68" s="1831"/>
      <c r="I68" s="1831"/>
      <c r="J68" s="1831"/>
      <c r="K68" s="438"/>
      <c r="L68" s="438"/>
      <c r="M68" s="1832"/>
      <c r="N68" s="2976"/>
      <c r="O68" s="2976"/>
      <c r="P68" s="1816"/>
      <c r="Q68" s="1785"/>
    </row>
    <row r="69" spans="1:17" ht="14.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4.5"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4.5" thickBot="1">
      <c r="A71" s="1833"/>
      <c r="B71" s="1825"/>
      <c r="C71" s="1838"/>
      <c r="D71" s="1819"/>
      <c r="E71" s="1819"/>
      <c r="F71" s="1819"/>
      <c r="G71" s="1819"/>
      <c r="H71" s="1819"/>
      <c r="I71" s="1819"/>
      <c r="J71" s="1819"/>
      <c r="K71" s="1819"/>
      <c r="L71" s="1819"/>
      <c r="M71" s="1820"/>
      <c r="N71" s="2977"/>
      <c r="O71" s="2977"/>
      <c r="P71" s="1836"/>
      <c r="Q71" s="1837"/>
    </row>
    <row r="72" spans="1:17" s="1737" customFormat="1" ht="14.5"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4.5" thickBot="1">
      <c r="A73" s="1833"/>
      <c r="B73" s="1825"/>
      <c r="C73" s="1838"/>
      <c r="D73" s="1819"/>
      <c r="E73" s="1819"/>
      <c r="F73" s="1819"/>
      <c r="G73" s="1838"/>
      <c r="H73" s="1841"/>
      <c r="I73" s="1841"/>
      <c r="J73" s="1841"/>
      <c r="K73" s="1841"/>
      <c r="L73" s="1841"/>
      <c r="M73" s="1842"/>
      <c r="N73" s="2978"/>
      <c r="O73" s="2978"/>
      <c r="P73" s="1836"/>
      <c r="Q73" s="1837"/>
    </row>
    <row r="74" spans="1:17" s="1737" customFormat="1" ht="14.5"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4.5" thickBot="1">
      <c r="A75" s="1844"/>
      <c r="B75" s="1845"/>
      <c r="C75" s="1846"/>
      <c r="D75" s="1846"/>
      <c r="E75" s="1846"/>
      <c r="F75" s="1846"/>
      <c r="G75" s="1846"/>
      <c r="H75" s="1847"/>
      <c r="I75" s="1847"/>
      <c r="J75" s="1847"/>
      <c r="K75" s="1847"/>
      <c r="L75" s="1847"/>
      <c r="M75" s="1848"/>
      <c r="N75" s="2978"/>
      <c r="O75" s="2978"/>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4.5"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4.5"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4.5"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4.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4.5"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4.5"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4.5" thickTop="1">
      <c r="A86" s="1853"/>
      <c r="B86" s="1822" t="s">
        <v>2316</v>
      </c>
      <c r="C86" s="468"/>
      <c r="D86" s="468"/>
      <c r="E86" s="468"/>
      <c r="F86" s="468"/>
      <c r="G86" s="468"/>
      <c r="H86" s="468"/>
      <c r="I86" s="468"/>
      <c r="J86" s="468"/>
      <c r="K86" s="468"/>
      <c r="L86" s="468"/>
      <c r="M86" s="1854"/>
      <c r="N86" s="2975"/>
      <c r="O86" s="2975"/>
      <c r="P86" s="1816"/>
      <c r="Q86" s="1785"/>
    </row>
    <row r="87" spans="1:17" s="1652" customFormat="1" ht="14.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4.5"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4.5" thickBot="1">
      <c r="A89" s="1853"/>
      <c r="B89" s="1825"/>
      <c r="C89" s="1838"/>
      <c r="D89" s="1819"/>
      <c r="E89" s="1819"/>
      <c r="F89" s="1819"/>
      <c r="G89" s="1819"/>
      <c r="H89" s="1819"/>
      <c r="I89" s="1819"/>
      <c r="J89" s="1819"/>
      <c r="K89" s="1819"/>
      <c r="L89" s="1819"/>
      <c r="M89" s="1819"/>
      <c r="N89" s="2977"/>
      <c r="O89" s="2977"/>
      <c r="P89" s="1816"/>
      <c r="Q89" s="1785"/>
    </row>
    <row r="90" spans="1:17" s="1737" customFormat="1" ht="14.5"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4.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4.5" thickTop="1">
      <c r="A92" s="1817"/>
      <c r="B92" s="1822" t="str">
        <f>B28</f>
        <v>楼层</v>
      </c>
      <c r="C92" s="468"/>
      <c r="D92" s="468"/>
      <c r="E92" s="468"/>
      <c r="F92" s="468"/>
      <c r="G92" s="468"/>
      <c r="H92" s="468"/>
      <c r="I92" s="468"/>
      <c r="J92" s="468"/>
      <c r="K92" s="468"/>
      <c r="L92" s="468"/>
      <c r="M92" s="1854"/>
      <c r="N92" s="2976"/>
      <c r="O92" s="2976"/>
      <c r="P92" s="1816"/>
      <c r="Q92" s="1785"/>
    </row>
    <row r="93" spans="1:17" ht="14.5" thickBot="1">
      <c r="A93" s="1817"/>
      <c r="B93" s="1825"/>
      <c r="C93" s="1819"/>
      <c r="D93" s="1819"/>
      <c r="E93" s="1819"/>
      <c r="F93" s="1819"/>
      <c r="G93" s="1819"/>
      <c r="H93" s="1819"/>
      <c r="I93" s="1819"/>
      <c r="J93" s="1819"/>
      <c r="K93" s="1819"/>
      <c r="L93" s="1819"/>
      <c r="M93" s="1820"/>
      <c r="N93" s="2977"/>
      <c r="O93" s="2977"/>
      <c r="P93" s="1816"/>
      <c r="Q93" s="1785"/>
    </row>
    <row r="94" spans="1:17" ht="14.5" thickTop="1">
      <c r="A94" s="1817"/>
      <c r="B94" s="1822">
        <f>B29</f>
        <v>111</v>
      </c>
      <c r="C94" s="468"/>
      <c r="D94" s="468"/>
      <c r="E94" s="468"/>
      <c r="F94" s="468"/>
      <c r="G94" s="1545"/>
      <c r="H94" s="1545"/>
      <c r="I94" s="1545"/>
      <c r="J94" s="1545"/>
      <c r="K94" s="473"/>
      <c r="L94" s="473"/>
      <c r="M94" s="1857"/>
      <c r="N94" s="2976"/>
      <c r="O94" s="2976"/>
      <c r="P94" s="1816"/>
      <c r="Q94" s="1785"/>
    </row>
    <row r="95" spans="1:17" ht="14.5" thickBot="1">
      <c r="A95" s="1817"/>
      <c r="B95" s="1825"/>
      <c r="C95" s="1838"/>
      <c r="D95" s="1819"/>
      <c r="E95" s="1819"/>
      <c r="F95" s="1819"/>
      <c r="G95" s="1819"/>
      <c r="H95" s="1819"/>
      <c r="I95" s="1819"/>
      <c r="J95" s="1819"/>
      <c r="K95" s="1819"/>
      <c r="L95" s="1819"/>
      <c r="M95" s="1820"/>
      <c r="N95" s="2977"/>
      <c r="O95" s="2977"/>
      <c r="P95" s="1816"/>
      <c r="Q95" s="1785"/>
    </row>
    <row r="96" spans="1:17" ht="14.5" thickTop="1">
      <c r="A96" s="1817"/>
      <c r="B96" s="1822">
        <f>B30</f>
        <v>111</v>
      </c>
      <c r="C96" s="468"/>
      <c r="D96" s="468"/>
      <c r="E96" s="468"/>
      <c r="F96" s="468"/>
      <c r="G96" s="1545"/>
      <c r="H96" s="1545"/>
      <c r="I96" s="1545"/>
      <c r="J96" s="1545"/>
      <c r="K96" s="473"/>
      <c r="L96" s="473"/>
      <c r="M96" s="1857"/>
      <c r="N96" s="2976"/>
      <c r="O96" s="2976"/>
      <c r="P96" s="1816"/>
      <c r="Q96" s="1785"/>
    </row>
    <row r="97" spans="1:17" ht="14.5" thickBot="1">
      <c r="A97" s="1817"/>
      <c r="B97" s="1825"/>
      <c r="C97" s="1838"/>
      <c r="D97" s="1819"/>
      <c r="E97" s="1819"/>
      <c r="F97" s="1819"/>
      <c r="G97" s="1819"/>
      <c r="H97" s="1819"/>
      <c r="I97" s="1819"/>
      <c r="J97" s="1819"/>
      <c r="K97" s="1819"/>
      <c r="L97" s="1819"/>
      <c r="M97" s="1820"/>
      <c r="N97" s="2977"/>
      <c r="O97" s="2977"/>
      <c r="P97" s="1816"/>
      <c r="Q97" s="1785"/>
    </row>
    <row r="98" spans="1:17" ht="14.5" thickTop="1">
      <c r="A98" s="1817"/>
      <c r="B98" s="1828">
        <f>B31</f>
        <v>111</v>
      </c>
      <c r="C98" s="468"/>
      <c r="D98" s="468"/>
      <c r="E98" s="468"/>
      <c r="F98" s="468"/>
      <c r="G98" s="1858"/>
      <c r="H98" s="1858"/>
      <c r="I98" s="1858"/>
      <c r="J98" s="1858"/>
      <c r="K98" s="477"/>
      <c r="L98" s="477"/>
      <c r="M98" s="1859"/>
      <c r="N98" s="2976"/>
      <c r="O98" s="2976"/>
      <c r="P98" s="1816"/>
      <c r="Q98" s="1785"/>
    </row>
    <row r="99" spans="1:17" ht="14.5" thickBot="1">
      <c r="A99" s="1860"/>
      <c r="B99" s="1845"/>
      <c r="C99" s="1846"/>
      <c r="D99" s="1846"/>
      <c r="E99" s="1846"/>
      <c r="F99" s="1846"/>
      <c r="G99" s="1861"/>
      <c r="H99" s="1861"/>
      <c r="I99" s="1861"/>
      <c r="J99" s="1861"/>
      <c r="K99" s="1861"/>
      <c r="L99" s="1861"/>
      <c r="M99" s="1862"/>
      <c r="N99" s="2977"/>
      <c r="O99" s="2977"/>
      <c r="P99" s="1816"/>
      <c r="Q99" s="1785"/>
    </row>
    <row r="100" spans="1:17">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4.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4.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4.5" thickBot="1">
      <c r="A104" s="1833"/>
      <c r="B104" s="1825"/>
      <c r="C104" s="1838"/>
      <c r="D104" s="1819"/>
      <c r="E104" s="1819"/>
      <c r="F104" s="1819"/>
      <c r="G104" s="1819"/>
      <c r="H104" s="1819"/>
      <c r="I104" s="1819"/>
      <c r="J104" s="1819"/>
      <c r="K104" s="1819"/>
      <c r="L104" s="1819"/>
      <c r="M104" s="1820"/>
      <c r="N104" s="2977"/>
      <c r="O104" s="2977"/>
      <c r="P104" s="1836"/>
      <c r="Q104" s="1837"/>
    </row>
    <row r="105" spans="1:17" ht="14.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4.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4.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4.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4.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4.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4.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4.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4.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4.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4.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4.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4.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4.5"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4.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4.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4.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4.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4.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4.5" thickBot="1">
      <c r="A127" s="1833"/>
      <c r="B127" s="1825"/>
      <c r="C127" s="1838"/>
      <c r="D127" s="1819"/>
      <c r="E127" s="1819"/>
      <c r="F127" s="1819"/>
      <c r="G127" s="1838"/>
      <c r="H127" s="1841"/>
      <c r="I127" s="1841"/>
      <c r="J127" s="1841"/>
      <c r="K127" s="1841"/>
      <c r="L127" s="1841"/>
      <c r="M127" s="1842"/>
      <c r="N127" s="2978"/>
      <c r="O127" s="2978"/>
      <c r="P127" s="1836"/>
      <c r="Q127" s="1837"/>
    </row>
    <row r="128" spans="1:17" ht="14.5"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4.5" thickBot="1">
      <c r="A129" s="1817"/>
      <c r="B129" s="1825"/>
      <c r="C129" s="1838"/>
      <c r="D129" s="1819"/>
      <c r="E129" s="1819"/>
      <c r="F129" s="1819"/>
      <c r="G129" s="1819"/>
      <c r="H129" s="1819"/>
      <c r="I129" s="1819"/>
      <c r="J129" s="1819"/>
      <c r="K129" s="1819"/>
      <c r="L129" s="1819"/>
      <c r="M129" s="1820"/>
      <c r="N129" s="2977"/>
      <c r="O129" s="2977"/>
      <c r="P129" s="1816"/>
      <c r="Q129" s="1785"/>
    </row>
    <row r="130" spans="1:17" ht="14.5"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4.5"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项目类型汇总</formula1>
    </dataValidation>
    <dataValidation type="list" allowBlank="1" showInputMessage="1" showErrorMessage="1" sqref="C43 E43 G43 I43" xr:uid="{00000000-0002-0000-1300-000002000000}">
      <formula1>内部装修维护情况</formula1>
    </dataValidation>
    <dataValidation type="list" allowBlank="1" showInputMessage="1" showErrorMessage="1" sqref="I34 C34 E34 G34" xr:uid="{00000000-0002-0000-1300-000003000000}">
      <formula1>商业建筑结构</formula1>
    </dataValidation>
    <dataValidation type="list" allowBlank="1" showInputMessage="1" showErrorMessage="1" sqref="C20 I20 G20 E20" xr:uid="{00000000-0002-0000-1300-000004000000}">
      <formula1>公共配套设施</formula1>
    </dataValidation>
    <dataValidation type="list" allowBlank="1" showInputMessage="1" showErrorMessage="1" sqref="E18 G18 I18 C18" xr:uid="{00000000-0002-0000-1300-000005000000}">
      <formula1>交通便捷度</formula1>
    </dataValidation>
    <dataValidation type="list" allowBlank="1" showInputMessage="1" showErrorMessage="1" sqref="E24 G24 I24 C24" xr:uid="{00000000-0002-0000-1300-000006000000}">
      <formula1>环境</formula1>
    </dataValidation>
    <dataValidation type="list" allowBlank="1" showInputMessage="1" showErrorMessage="1" sqref="C25 E25 G25 I25" xr:uid="{00000000-0002-0000-1300-000007000000}">
      <formula1>商业临街状况</formula1>
    </dataValidation>
    <dataValidation type="list" allowBlank="1" showInputMessage="1" showErrorMessage="1" sqref="C27 E27 G27 I27" xr:uid="{00000000-0002-0000-1300-000008000000}">
      <formula1>商业人流量</formula1>
    </dataValidation>
    <dataValidation type="list" allowBlank="1" showInputMessage="1" showErrorMessage="1" sqref="C28 E28 G28 I28" xr:uid="{00000000-0002-0000-1300-000009000000}">
      <formula1>商业楼层</formula1>
    </dataValidation>
    <dataValidation type="list" allowBlank="1" showInputMessage="1" showErrorMessage="1" sqref="C32 E32 G32 I32" xr:uid="{00000000-0002-0000-1300-00000A000000}">
      <formula1>商业类型</formula1>
    </dataValidation>
    <dataValidation type="list" allowBlank="1" showInputMessage="1" showErrorMessage="1" sqref="C35 E35 G35 I35" xr:uid="{00000000-0002-0000-1300-00000B000000}">
      <formula1>商业公共部分装修</formula1>
    </dataValidation>
    <dataValidation type="list" allowBlank="1" showInputMessage="1" showErrorMessage="1" sqref="C37 E37 G37 I37" xr:uid="{00000000-0002-0000-1300-00000C000000}">
      <formula1>商业基础设施水平</formula1>
    </dataValidation>
    <dataValidation type="list" allowBlank="1" showInputMessage="1" showErrorMessage="1" sqref="C41 E41 G41 I41" xr:uid="{00000000-0002-0000-1300-00000D000000}">
      <formula1>商业进深比</formula1>
    </dataValidation>
    <dataValidation type="list" allowBlank="1" showInputMessage="1" showErrorMessage="1" sqref="C42 E42 G42 I42" xr:uid="{00000000-0002-0000-1300-00000E000000}">
      <formula1>商业内部装修</formula1>
    </dataValidation>
    <dataValidation type="list" allowBlank="1" showInputMessage="1" showErrorMessage="1" sqref="E9 G9 I9" xr:uid="{00000000-0002-0000-1300-00000F000000}">
      <formula1>商业用途</formula1>
    </dataValidation>
    <dataValidation type="list" allowBlank="1" showInputMessage="1" showErrorMessage="1" sqref="C38 E38 G38 I38" xr:uid="{00000000-0002-0000-1300-000010000000}">
      <formula1>商业业态</formula1>
    </dataValidation>
    <dataValidation type="list" allowBlank="1" showInputMessage="1" showErrorMessage="1" sqref="C39 E39 G39 I39" xr:uid="{00000000-0002-0000-1300-000011000000}">
      <formula1>商业层高</formula1>
    </dataValidation>
    <dataValidation type="list" allowBlank="1" showInputMessage="1" showErrorMessage="1" sqref="C8 E8 G8 I8" xr:uid="{00000000-0002-0000-1300-000012000000}">
      <formula1>商业交易情况</formula1>
    </dataValidation>
    <dataValidation type="list" allowBlank="1" showInputMessage="1" showErrorMessage="1" sqref="C16 E16 G16 I16" xr:uid="{00000000-0002-0000-1300-000013000000}">
      <formula1>商业繁华度</formula1>
    </dataValidation>
    <dataValidation type="list" allowBlank="1" showInputMessage="1" showErrorMessage="1" sqref="C1" xr:uid="{00000000-0002-0000-1300-000014000000}">
      <formula1>"估价对象,仅计算典型户型"</formula1>
    </dataValidation>
    <dataValidation type="list" allowBlank="1" showInputMessage="1" showErrorMessage="1" sqref="C22 E22 G22 I22" xr:uid="{00000000-0002-0000-1300-000015000000}">
      <formula1>基础设施水平</formula1>
    </dataValidation>
    <dataValidation type="list" allowBlank="1" showInputMessage="1" showErrorMessage="1" sqref="E1" xr:uid="{00000000-0002-0000-1300-000016000000}">
      <formula1>"售价,租金"</formula1>
    </dataValidation>
    <dataValidation type="list" allowBlank="1" showInputMessage="1" showErrorMessage="1" sqref="D2" xr:uid="{00000000-0002-0000-1300-000017000000}">
      <formula1>"需扣减承租人权益,——"</formula1>
    </dataValidation>
    <dataValidation type="list" allowBlank="1" showInputMessage="1" showErrorMessage="1" sqref="G2" xr:uid="{00000000-0002-0000-1300-000018000000}">
      <formula1>估价方法</formula1>
    </dataValidation>
    <dataValidation type="list" allowBlank="1" showInputMessage="1" showErrorMessage="1" sqref="D48" xr:uid="{00000000-0002-0000-13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zoomScale="85" zoomScaleNormal="70" zoomScaleSheetLayoutView="85" workbookViewId="0">
      <selection activeCell="E3" sqref="E3"/>
    </sheetView>
  </sheetViews>
  <sheetFormatPr defaultColWidth="9" defaultRowHeight="14"/>
  <cols>
    <col min="1" max="1" width="10.453125" style="1634" customWidth="1"/>
    <col min="2" max="2" width="15.7265625" style="1634" customWidth="1"/>
    <col min="3" max="3" width="19.0898437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2182</v>
      </c>
      <c r="C1" s="1606" t="s">
        <v>2686</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219</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20275</v>
      </c>
      <c r="C3" s="1627" t="s">
        <v>2184</v>
      </c>
      <c r="D3" s="1627">
        <f>IF(C1="仅计算典型户型",'数据-取费表'!E5,'数据-取费表'!B5)</f>
        <v>108.17</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c r="A4" s="1630" t="s">
        <v>2185</v>
      </c>
      <c r="B4" s="1631"/>
      <c r="C4" s="3606" t="s">
        <v>2186</v>
      </c>
      <c r="D4" s="3607"/>
      <c r="E4" s="3608" t="s">
        <v>2187</v>
      </c>
      <c r="F4" s="3609"/>
      <c r="G4" s="3606" t="s">
        <v>2188</v>
      </c>
      <c r="H4" s="3607"/>
      <c r="I4" s="3606" t="s">
        <v>2189</v>
      </c>
      <c r="J4" s="3607"/>
      <c r="K4" s="1632" t="s">
        <v>2190</v>
      </c>
      <c r="L4" s="2957"/>
      <c r="M4" s="2958"/>
      <c r="N4" s="2958"/>
      <c r="O4" s="2958"/>
      <c r="P4" s="3610" t="s">
        <v>2191</v>
      </c>
      <c r="Q4" s="3611"/>
      <c r="R4" s="3616" t="s">
        <v>2187</v>
      </c>
      <c r="S4" s="3617"/>
      <c r="T4" s="3616" t="s">
        <v>2188</v>
      </c>
      <c r="U4" s="3617"/>
      <c r="V4" s="3622" t="s">
        <v>2189</v>
      </c>
      <c r="W4" s="3622"/>
      <c r="X4" s="1633"/>
      <c r="Y4" s="3616" t="s">
        <v>2191</v>
      </c>
      <c r="Z4" s="3617"/>
      <c r="AA4" s="3603" t="s">
        <v>2187</v>
      </c>
      <c r="AB4" s="3603" t="s">
        <v>2188</v>
      </c>
      <c r="AC4" s="3603" t="s">
        <v>2189</v>
      </c>
    </row>
    <row r="5" spans="1:29" ht="14.15" customHeight="1">
      <c r="A5" s="1635"/>
      <c r="B5" s="1636"/>
      <c r="C5" s="3636" t="s">
        <v>2192</v>
      </c>
      <c r="D5" s="3600"/>
      <c r="E5" s="3623" t="s">
        <v>3064</v>
      </c>
      <c r="F5" s="3624"/>
      <c r="G5" s="3623" t="s">
        <v>3064</v>
      </c>
      <c r="H5" s="3624"/>
      <c r="I5" s="3623" t="s">
        <v>3064</v>
      </c>
      <c r="J5" s="3624"/>
      <c r="K5" s="1637"/>
      <c r="L5" s="2957"/>
      <c r="M5" s="2958"/>
      <c r="N5" s="2958"/>
      <c r="O5" s="2958"/>
      <c r="P5" s="3612"/>
      <c r="Q5" s="3613"/>
      <c r="R5" s="3618"/>
      <c r="S5" s="3619"/>
      <c r="T5" s="3618"/>
      <c r="U5" s="3619"/>
      <c r="V5" s="3622"/>
      <c r="W5" s="3622"/>
      <c r="X5" s="1633"/>
      <c r="Y5" s="3618"/>
      <c r="Z5" s="3619"/>
      <c r="AA5" s="3604"/>
      <c r="AB5" s="3604"/>
      <c r="AC5" s="3604"/>
    </row>
    <row r="6" spans="1:29" ht="15" thickBot="1">
      <c r="A6" s="1638"/>
      <c r="B6" s="1639"/>
      <c r="C6" s="3596" t="s">
        <v>2196</v>
      </c>
      <c r="D6" s="3597"/>
      <c r="E6" s="3594" t="s">
        <v>2196</v>
      </c>
      <c r="F6" s="3595"/>
      <c r="G6" s="3596" t="s">
        <v>2196</v>
      </c>
      <c r="H6" s="3597"/>
      <c r="I6" s="3596" t="s">
        <v>2196</v>
      </c>
      <c r="J6" s="3597"/>
      <c r="K6" s="1637" t="s">
        <v>2197</v>
      </c>
      <c r="L6" s="2957"/>
      <c r="M6" s="2958"/>
      <c r="N6" s="2958"/>
      <c r="O6" s="2958"/>
      <c r="P6" s="3614"/>
      <c r="Q6" s="3615"/>
      <c r="R6" s="3618"/>
      <c r="S6" s="3619"/>
      <c r="T6" s="3620"/>
      <c r="U6" s="3621"/>
      <c r="V6" s="3622"/>
      <c r="W6" s="3622"/>
      <c r="X6" s="1633"/>
      <c r="Y6" s="3620"/>
      <c r="Z6" s="3621"/>
      <c r="AA6" s="3605"/>
      <c r="AB6" s="3605"/>
      <c r="AC6" s="3605"/>
    </row>
    <row r="7" spans="1:29" s="1652" customFormat="1" ht="14.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601" t="s">
        <v>2199</v>
      </c>
      <c r="Q7" s="3625"/>
      <c r="R7" s="1648" t="s">
        <v>34</v>
      </c>
      <c r="S7" s="1649">
        <f t="shared" ref="S7:S15" si="0">F7</f>
        <v>100</v>
      </c>
      <c r="T7" s="1648" t="s">
        <v>34</v>
      </c>
      <c r="U7" s="1649">
        <f t="shared" ref="U7:U15" si="1">H7</f>
        <v>100</v>
      </c>
      <c r="V7" s="1648" t="s">
        <v>34</v>
      </c>
      <c r="W7" s="1649">
        <f t="shared" ref="W7:W15" si="2">J7</f>
        <v>100</v>
      </c>
      <c r="X7" s="1650"/>
      <c r="Y7" s="3601" t="s">
        <v>2199</v>
      </c>
      <c r="Z7" s="3602"/>
      <c r="AA7" s="1651">
        <f>D7/F7</f>
        <v>1</v>
      </c>
      <c r="AB7" s="1651">
        <f>D7/H7</f>
        <v>1</v>
      </c>
      <c r="AC7" s="1651">
        <f>D7/J7</f>
        <v>1</v>
      </c>
    </row>
    <row r="8" spans="1:29" s="1652" customFormat="1" ht="14.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601" t="s">
        <v>2202</v>
      </c>
      <c r="Q8" s="3602"/>
      <c r="R8" s="1648" t="s">
        <v>34</v>
      </c>
      <c r="S8" s="1649">
        <f t="shared" si="0"/>
        <v>100</v>
      </c>
      <c r="T8" s="1648" t="s">
        <v>34</v>
      </c>
      <c r="U8" s="1649">
        <f t="shared" si="1"/>
        <v>100</v>
      </c>
      <c r="V8" s="1648" t="s">
        <v>34</v>
      </c>
      <c r="W8" s="1649">
        <f t="shared" si="2"/>
        <v>100</v>
      </c>
      <c r="X8" s="1650"/>
      <c r="Y8" s="3601" t="s">
        <v>2202</v>
      </c>
      <c r="Z8" s="3602"/>
      <c r="AA8" s="1651">
        <f t="shared" ref="AA8:AA46" si="3">D8/F8</f>
        <v>1</v>
      </c>
      <c r="AB8" s="1651">
        <f t="shared" ref="AB8:AB46" si="4">D8/H8</f>
        <v>1</v>
      </c>
      <c r="AC8" s="1651">
        <f t="shared" ref="AC8:AC46" si="5">D8/J8</f>
        <v>1</v>
      </c>
    </row>
    <row r="9" spans="1:29" s="1652" customFormat="1">
      <c r="A9" s="1603" t="s">
        <v>2203</v>
      </c>
      <c r="B9" s="1654" t="s">
        <v>2204</v>
      </c>
      <c r="C9" s="3306" t="s">
        <v>3066</v>
      </c>
      <c r="D9" s="1656">
        <v>100</v>
      </c>
      <c r="E9" s="1657" t="s">
        <v>3065</v>
      </c>
      <c r="F9" s="1658">
        <f>SUMIF(63:63,E9,64:64)-SUMIF(63:63,C9,64:64)+100</f>
        <v>100</v>
      </c>
      <c r="G9" s="1657" t="s">
        <v>3065</v>
      </c>
      <c r="H9" s="1656">
        <f>SUMIF(63:63,G9,64:64)-SUMIF(63:63,C9,64:64)+100</f>
        <v>100</v>
      </c>
      <c r="I9" s="1657" t="s">
        <v>3065</v>
      </c>
      <c r="J9" s="1656">
        <f>SUMIF(63:63,I9,64:64)-SUMIF(63:63,C9,64:64)+100</f>
        <v>100</v>
      </c>
      <c r="K9" s="1646"/>
      <c r="L9" s="2957"/>
      <c r="M9" s="2930"/>
      <c r="N9" s="2930"/>
      <c r="O9" s="2930"/>
      <c r="P9" s="3635" t="s">
        <v>2205</v>
      </c>
      <c r="Q9" s="1602"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
      <c r="A10" s="1661"/>
      <c r="B10" s="1662" t="s">
        <v>2207</v>
      </c>
      <c r="C10" s="1663" t="s">
        <v>3067</v>
      </c>
      <c r="D10" s="1664">
        <v>100</v>
      </c>
      <c r="E10" s="1663" t="s">
        <v>3067</v>
      </c>
      <c r="F10" s="1666">
        <f>SUMIF(65:65,E10,66:66)-SUMIF(65:65,C10,66:66)+100</f>
        <v>100</v>
      </c>
      <c r="G10" s="1663" t="s">
        <v>3067</v>
      </c>
      <c r="H10" s="1664">
        <f>SUMIF(65:65,G10,66:66)-SUMIF(65:65,C10,66:66)+100</f>
        <v>100</v>
      </c>
      <c r="I10" s="1663" t="s">
        <v>3067</v>
      </c>
      <c r="J10" s="1664">
        <f>SUMIF(65:65,I10,66:66)-SUMIF(65:65,C10,66:66)+100</f>
        <v>100</v>
      </c>
      <c r="K10" s="1667">
        <v>1</v>
      </c>
      <c r="L10" s="2959"/>
      <c r="M10" s="2960"/>
      <c r="N10" s="2960"/>
      <c r="O10" s="2960"/>
      <c r="P10" s="3635"/>
      <c r="Q10" s="1602"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35"/>
      <c r="Q11" s="1602" t="str">
        <f t="shared" si="6"/>
        <v>容积率</v>
      </c>
      <c r="R11" s="1648" t="s">
        <v>28</v>
      </c>
      <c r="S11" s="1649">
        <f t="shared" si="0"/>
        <v>100</v>
      </c>
      <c r="T11" s="1648" t="s">
        <v>28</v>
      </c>
      <c r="U11" s="1649">
        <f t="shared" si="1"/>
        <v>100</v>
      </c>
      <c r="V11" s="1648" t="s">
        <v>28</v>
      </c>
      <c r="W11" s="1649">
        <f t="shared" si="2"/>
        <v>100</v>
      </c>
      <c r="X11" s="1650"/>
      <c r="Y11" s="3524"/>
      <c r="Z11" s="1660" t="str">
        <f t="shared" si="7"/>
        <v>容积率</v>
      </c>
      <c r="AA11" s="1651">
        <f t="shared" si="3"/>
        <v>1</v>
      </c>
      <c r="AB11" s="1651">
        <f t="shared" si="4"/>
        <v>1</v>
      </c>
      <c r="AC11" s="1651">
        <f t="shared" si="5"/>
        <v>1</v>
      </c>
    </row>
    <row r="12" spans="1:29" s="1652" customFormat="1" ht="15.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35"/>
      <c r="Q12" s="1602">
        <f t="shared" si="6"/>
        <v>111</v>
      </c>
      <c r="R12" s="1648" t="s">
        <v>28</v>
      </c>
      <c r="S12" s="1649">
        <f t="shared" si="0"/>
        <v>100</v>
      </c>
      <c r="T12" s="1648" t="s">
        <v>28</v>
      </c>
      <c r="U12" s="1649">
        <f t="shared" si="1"/>
        <v>100</v>
      </c>
      <c r="V12" s="1648" t="s">
        <v>28</v>
      </c>
      <c r="W12" s="1649">
        <f t="shared" si="2"/>
        <v>100</v>
      </c>
      <c r="X12" s="1650"/>
      <c r="Y12" s="3524"/>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35"/>
      <c r="Q13" s="1602">
        <f t="shared" si="6"/>
        <v>111</v>
      </c>
      <c r="R13" s="1648" t="s">
        <v>28</v>
      </c>
      <c r="S13" s="1649">
        <f t="shared" si="0"/>
        <v>100</v>
      </c>
      <c r="T13" s="1648" t="s">
        <v>28</v>
      </c>
      <c r="U13" s="1649">
        <f t="shared" si="1"/>
        <v>100</v>
      </c>
      <c r="V13" s="1648" t="s">
        <v>28</v>
      </c>
      <c r="W13" s="1649">
        <f t="shared" si="2"/>
        <v>100</v>
      </c>
      <c r="X13" s="1650"/>
      <c r="Y13" s="3524"/>
      <c r="Z13" s="1660">
        <f t="shared" si="7"/>
        <v>111</v>
      </c>
      <c r="AA13" s="1651">
        <f t="shared" si="3"/>
        <v>1</v>
      </c>
      <c r="AB13" s="1651">
        <f t="shared" si="4"/>
        <v>1</v>
      </c>
      <c r="AC13" s="1651">
        <f t="shared" si="5"/>
        <v>1</v>
      </c>
    </row>
    <row r="14" spans="1:29" ht="1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35"/>
      <c r="Q14" s="1602">
        <f t="shared" si="6"/>
        <v>111</v>
      </c>
      <c r="R14" s="1648" t="s">
        <v>28</v>
      </c>
      <c r="S14" s="1649">
        <f t="shared" si="0"/>
        <v>100</v>
      </c>
      <c r="T14" s="1648" t="s">
        <v>28</v>
      </c>
      <c r="U14" s="1649">
        <f t="shared" si="1"/>
        <v>100</v>
      </c>
      <c r="V14" s="1648" t="s">
        <v>28</v>
      </c>
      <c r="W14" s="1649">
        <f t="shared" si="2"/>
        <v>100</v>
      </c>
      <c r="X14" s="1650"/>
      <c r="Y14" s="3524"/>
      <c r="Z14" s="1660">
        <f t="shared" si="7"/>
        <v>111</v>
      </c>
      <c r="AA14" s="1651">
        <f t="shared" si="3"/>
        <v>1</v>
      </c>
      <c r="AB14" s="1651">
        <f t="shared" si="4"/>
        <v>1</v>
      </c>
      <c r="AC14" s="1651">
        <f t="shared" si="5"/>
        <v>1</v>
      </c>
    </row>
    <row r="15" spans="1:29" ht="70">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38" t="s">
        <v>2210</v>
      </c>
      <c r="Q15" s="1583" t="str">
        <f t="shared" si="6"/>
        <v>居住社区成熟度</v>
      </c>
      <c r="R15" s="1692" t="s">
        <v>28</v>
      </c>
      <c r="S15" s="1693">
        <f t="shared" si="0"/>
        <v>100</v>
      </c>
      <c r="T15" s="1692" t="s">
        <v>28</v>
      </c>
      <c r="U15" s="1693">
        <f t="shared" si="1"/>
        <v>100</v>
      </c>
      <c r="V15" s="1692" t="s">
        <v>28</v>
      </c>
      <c r="W15" s="1693">
        <f t="shared" si="2"/>
        <v>100</v>
      </c>
      <c r="X15" s="1633"/>
      <c r="Y15" s="3626" t="s">
        <v>2210</v>
      </c>
      <c r="Z15" s="1694" t="str">
        <f t="shared" si="7"/>
        <v>居住社区成熟度</v>
      </c>
      <c r="AA15" s="1695">
        <f t="shared" si="3"/>
        <v>1</v>
      </c>
      <c r="AB15" s="1695">
        <f t="shared" si="4"/>
        <v>1</v>
      </c>
      <c r="AC15" s="1695">
        <f t="shared" si="5"/>
        <v>1</v>
      </c>
    </row>
    <row r="16" spans="1:29" ht="15.5">
      <c r="A16" s="1669"/>
      <c r="B16" s="1696"/>
      <c r="C16" s="1697" t="s">
        <v>31</v>
      </c>
      <c r="D16" s="1698"/>
      <c r="E16" s="1697" t="s">
        <v>31</v>
      </c>
      <c r="F16" s="1700"/>
      <c r="G16" s="1697" t="s">
        <v>31</v>
      </c>
      <c r="H16" s="1702"/>
      <c r="I16" s="1697" t="s">
        <v>31</v>
      </c>
      <c r="J16" s="1698"/>
      <c r="K16" s="1703"/>
      <c r="L16" s="2962"/>
      <c r="M16" s="2958"/>
      <c r="N16" s="2958"/>
      <c r="O16" s="2958"/>
      <c r="P16" s="3639"/>
      <c r="Q16" s="1583"/>
      <c r="R16" s="1692"/>
      <c r="S16" s="1693"/>
      <c r="T16" s="1692"/>
      <c r="U16" s="1693"/>
      <c r="V16" s="1692"/>
      <c r="W16" s="1693"/>
      <c r="X16" s="1633"/>
      <c r="Y16" s="3627"/>
      <c r="Z16" s="1694"/>
      <c r="AA16" s="1695">
        <v>1</v>
      </c>
      <c r="AB16" s="1695">
        <v>1</v>
      </c>
      <c r="AC16" s="1695">
        <v>1</v>
      </c>
    </row>
    <row r="17" spans="1:29" ht="84">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39"/>
      <c r="Q17" s="1583" t="str">
        <f>B17</f>
        <v>交通便捷度</v>
      </c>
      <c r="R17" s="1692" t="s">
        <v>28</v>
      </c>
      <c r="S17" s="1693">
        <f>F17</f>
        <v>100</v>
      </c>
      <c r="T17" s="1692" t="s">
        <v>28</v>
      </c>
      <c r="U17" s="1693">
        <f>H17</f>
        <v>100</v>
      </c>
      <c r="V17" s="1692" t="s">
        <v>28</v>
      </c>
      <c r="W17" s="1693">
        <f>J17</f>
        <v>100</v>
      </c>
      <c r="X17" s="1633"/>
      <c r="Y17" s="3627"/>
      <c r="Z17" s="1694" t="str">
        <f>Q17</f>
        <v>交通便捷度</v>
      </c>
      <c r="AA17" s="1695">
        <f t="shared" si="3"/>
        <v>1</v>
      </c>
      <c r="AB17" s="1695">
        <f t="shared" si="4"/>
        <v>1</v>
      </c>
      <c r="AC17" s="1695">
        <f t="shared" si="5"/>
        <v>1</v>
      </c>
    </row>
    <row r="18" spans="1:29" ht="15.5">
      <c r="A18" s="1669"/>
      <c r="B18" s="1710"/>
      <c r="C18" s="1711" t="s">
        <v>31</v>
      </c>
      <c r="D18" s="1702"/>
      <c r="E18" s="1711" t="s">
        <v>31</v>
      </c>
      <c r="F18" s="1707"/>
      <c r="G18" s="1711" t="s">
        <v>31</v>
      </c>
      <c r="H18" s="1698"/>
      <c r="I18" s="1711" t="s">
        <v>31</v>
      </c>
      <c r="J18" s="1698"/>
      <c r="K18" s="1703"/>
      <c r="L18" s="2962"/>
      <c r="M18" s="2958"/>
      <c r="N18" s="2958"/>
      <c r="O18" s="2958"/>
      <c r="P18" s="3639"/>
      <c r="Q18" s="1583"/>
      <c r="R18" s="1692"/>
      <c r="S18" s="1693"/>
      <c r="T18" s="1692"/>
      <c r="U18" s="1693"/>
      <c r="V18" s="1692"/>
      <c r="W18" s="1693"/>
      <c r="X18" s="1633"/>
      <c r="Y18" s="3627"/>
      <c r="Z18" s="1694"/>
      <c r="AA18" s="1695">
        <v>1</v>
      </c>
      <c r="AB18" s="1695">
        <v>1</v>
      </c>
      <c r="AC18" s="1695">
        <v>1</v>
      </c>
    </row>
    <row r="19" spans="1:29" ht="42">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39"/>
      <c r="Q19" s="1583" t="str">
        <f>B19</f>
        <v>公共配套设施</v>
      </c>
      <c r="R19" s="1692" t="s">
        <v>28</v>
      </c>
      <c r="S19" s="1693">
        <f>F19</f>
        <v>100</v>
      </c>
      <c r="T19" s="1692" t="s">
        <v>28</v>
      </c>
      <c r="U19" s="1693">
        <f>H19</f>
        <v>100</v>
      </c>
      <c r="V19" s="1692" t="s">
        <v>28</v>
      </c>
      <c r="W19" s="1693">
        <f>J19</f>
        <v>100</v>
      </c>
      <c r="X19" s="1633"/>
      <c r="Y19" s="3627"/>
      <c r="Z19" s="1694" t="str">
        <f>Q19</f>
        <v>公共配套设施</v>
      </c>
      <c r="AA19" s="1695">
        <f t="shared" si="3"/>
        <v>1</v>
      </c>
      <c r="AB19" s="1695">
        <f t="shared" si="4"/>
        <v>1</v>
      </c>
      <c r="AC19" s="1695">
        <f t="shared" si="5"/>
        <v>1</v>
      </c>
    </row>
    <row r="20" spans="1:29" ht="15.5">
      <c r="A20" s="1669"/>
      <c r="B20" s="1710"/>
      <c r="C20" s="1697" t="s">
        <v>31</v>
      </c>
      <c r="D20" s="1698"/>
      <c r="E20" s="1697" t="s">
        <v>31</v>
      </c>
      <c r="F20" s="1700"/>
      <c r="G20" s="1697" t="s">
        <v>31</v>
      </c>
      <c r="H20" s="1698"/>
      <c r="I20" s="1697" t="s">
        <v>31</v>
      </c>
      <c r="J20" s="1698"/>
      <c r="K20" s="1703"/>
      <c r="L20" s="2962"/>
      <c r="M20" s="2958"/>
      <c r="N20" s="2958"/>
      <c r="O20" s="2958"/>
      <c r="P20" s="3639"/>
      <c r="Q20" s="1583"/>
      <c r="R20" s="1692"/>
      <c r="S20" s="1693"/>
      <c r="T20" s="1692"/>
      <c r="U20" s="1693"/>
      <c r="V20" s="1692"/>
      <c r="W20" s="1693"/>
      <c r="X20" s="1633"/>
      <c r="Y20" s="3627"/>
      <c r="Z20" s="1694"/>
      <c r="AA20" s="1695">
        <v>1</v>
      </c>
      <c r="AB20" s="1695">
        <v>1</v>
      </c>
      <c r="AC20" s="1695">
        <v>1</v>
      </c>
    </row>
    <row r="21" spans="1:29" ht="28">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39"/>
      <c r="Q21" s="1583" t="str">
        <f>B21</f>
        <v>基础设施水平</v>
      </c>
      <c r="R21" s="1692" t="s">
        <v>28</v>
      </c>
      <c r="S21" s="1693">
        <f>F21</f>
        <v>100</v>
      </c>
      <c r="T21" s="1692" t="s">
        <v>28</v>
      </c>
      <c r="U21" s="1693">
        <f>H21</f>
        <v>100</v>
      </c>
      <c r="V21" s="1692" t="s">
        <v>28</v>
      </c>
      <c r="W21" s="1693">
        <f>J21</f>
        <v>100</v>
      </c>
      <c r="X21" s="1633"/>
      <c r="Y21" s="3627"/>
      <c r="Z21" s="1694" t="str">
        <f>Q21</f>
        <v>基础设施水平</v>
      </c>
      <c r="AA21" s="1695">
        <f t="shared" ref="AA21" si="8">D21/F21</f>
        <v>1</v>
      </c>
      <c r="AB21" s="1695">
        <f t="shared" ref="AB21" si="9">D21/H21</f>
        <v>1</v>
      </c>
      <c r="AC21" s="1695">
        <f t="shared" ref="AC21" si="10">D21/J21</f>
        <v>1</v>
      </c>
    </row>
    <row r="22" spans="1:29" ht="15.5">
      <c r="A22" s="1669"/>
      <c r="B22" s="1717"/>
      <c r="C22" s="1711" t="s">
        <v>2995</v>
      </c>
      <c r="D22" s="1698"/>
      <c r="E22" s="1711" t="s">
        <v>2995</v>
      </c>
      <c r="F22" s="1700"/>
      <c r="G22" s="1711" t="s">
        <v>2995</v>
      </c>
      <c r="H22" s="1698"/>
      <c r="I22" s="1711" t="s">
        <v>2995</v>
      </c>
      <c r="J22" s="1698"/>
      <c r="K22" s="1718"/>
      <c r="L22" s="2962"/>
      <c r="M22" s="2958"/>
      <c r="N22" s="2958"/>
      <c r="O22" s="2958"/>
      <c r="P22" s="3639"/>
      <c r="Q22" s="1583"/>
      <c r="R22" s="1692"/>
      <c r="S22" s="1693"/>
      <c r="T22" s="1692"/>
      <c r="U22" s="1693"/>
      <c r="V22" s="1692"/>
      <c r="W22" s="1693"/>
      <c r="X22" s="1633"/>
      <c r="Y22" s="3627"/>
      <c r="Z22" s="1694"/>
      <c r="AA22" s="1695">
        <v>1</v>
      </c>
      <c r="AB22" s="1695">
        <v>1</v>
      </c>
      <c r="AC22" s="1695">
        <v>1</v>
      </c>
    </row>
    <row r="23" spans="1:29" ht="56">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39"/>
      <c r="Q23" s="1583" t="str">
        <f>B23</f>
        <v>自然及人文环境</v>
      </c>
      <c r="R23" s="1692" t="s">
        <v>28</v>
      </c>
      <c r="S23" s="1693">
        <f>F23</f>
        <v>100</v>
      </c>
      <c r="T23" s="1692" t="s">
        <v>28</v>
      </c>
      <c r="U23" s="1693">
        <f>H23</f>
        <v>100</v>
      </c>
      <c r="V23" s="1692" t="s">
        <v>28</v>
      </c>
      <c r="W23" s="1693">
        <f>J23</f>
        <v>100</v>
      </c>
      <c r="X23" s="1633"/>
      <c r="Y23" s="3627"/>
      <c r="Z23" s="1694" t="str">
        <f>Q23</f>
        <v>自然及人文环境</v>
      </c>
      <c r="AA23" s="1695">
        <f t="shared" si="3"/>
        <v>1</v>
      </c>
      <c r="AB23" s="1695">
        <f t="shared" si="4"/>
        <v>1</v>
      </c>
      <c r="AC23" s="1695">
        <f t="shared" si="5"/>
        <v>1</v>
      </c>
    </row>
    <row r="24" spans="1:29" ht="15.5">
      <c r="A24" s="1669"/>
      <c r="B24" s="1710"/>
      <c r="C24" s="1697" t="s">
        <v>31</v>
      </c>
      <c r="D24" s="1698"/>
      <c r="E24" s="1697" t="s">
        <v>31</v>
      </c>
      <c r="F24" s="1700"/>
      <c r="G24" s="1697" t="s">
        <v>31</v>
      </c>
      <c r="H24" s="1698"/>
      <c r="I24" s="1697" t="s">
        <v>31</v>
      </c>
      <c r="J24" s="1698"/>
      <c r="K24" s="1703"/>
      <c r="L24" s="2962"/>
      <c r="M24" s="2958"/>
      <c r="N24" s="2958"/>
      <c r="O24" s="2958"/>
      <c r="P24" s="3639"/>
      <c r="Q24" s="1583"/>
      <c r="R24" s="1692"/>
      <c r="S24" s="1693"/>
      <c r="T24" s="1692"/>
      <c r="U24" s="1693"/>
      <c r="V24" s="1692"/>
      <c r="W24" s="1693"/>
      <c r="X24" s="1633"/>
      <c r="Y24" s="3627"/>
      <c r="Z24" s="1694"/>
      <c r="AA24" s="1695">
        <v>1</v>
      </c>
      <c r="AB24" s="1695">
        <v>1</v>
      </c>
      <c r="AC24" s="1695">
        <v>1</v>
      </c>
    </row>
    <row r="25" spans="1:29" ht="15.5">
      <c r="A25" s="1669"/>
      <c r="B25" s="1662" t="s">
        <v>2211</v>
      </c>
      <c r="C25" s="1722" t="s">
        <v>3019</v>
      </c>
      <c r="D25" s="1678">
        <v>100</v>
      </c>
      <c r="E25" s="1720" t="s">
        <v>3002</v>
      </c>
      <c r="F25" s="1721">
        <f>SUMIF(86:86,E25,87:87)-SUMIF(86:86,C25,87:87)+100</f>
        <v>100</v>
      </c>
      <c r="G25" s="1722" t="s">
        <v>3019</v>
      </c>
      <c r="H25" s="1678">
        <f>SUMIF(86:86,G25,87:87)-SUMIF(86:86,C25,87:87)+100</f>
        <v>100</v>
      </c>
      <c r="I25" s="1720" t="s">
        <v>3019</v>
      </c>
      <c r="J25" s="1678">
        <f>SUMIF(86:86,I25,87:87)-SUMIF(86:86,C25,87:87)+100</f>
        <v>100</v>
      </c>
      <c r="K25" s="1667"/>
      <c r="L25" s="2962"/>
      <c r="M25" s="2958"/>
      <c r="N25" s="2958"/>
      <c r="O25" s="2958"/>
      <c r="P25" s="3639"/>
      <c r="Q25" s="1583" t="str">
        <f t="shared" ref="Q25:Q46" si="11">B25</f>
        <v>楼层-1</v>
      </c>
      <c r="R25" s="1692" t="s">
        <v>28</v>
      </c>
      <c r="S25" s="1693">
        <f>F25</f>
        <v>100</v>
      </c>
      <c r="T25" s="1692" t="s">
        <v>28</v>
      </c>
      <c r="U25" s="1693">
        <f>H25</f>
        <v>100</v>
      </c>
      <c r="V25" s="1692" t="s">
        <v>28</v>
      </c>
      <c r="W25" s="1693">
        <f>J25</f>
        <v>100</v>
      </c>
      <c r="X25" s="1633"/>
      <c r="Y25" s="3627"/>
      <c r="Z25" s="1694" t="str">
        <f>Q25</f>
        <v>楼层-1</v>
      </c>
      <c r="AA25" s="1695">
        <f t="shared" si="3"/>
        <v>1</v>
      </c>
      <c r="AB25" s="1695">
        <f t="shared" si="4"/>
        <v>1</v>
      </c>
      <c r="AC25" s="1695">
        <f t="shared" si="5"/>
        <v>1</v>
      </c>
    </row>
    <row r="26" spans="1:29" ht="15.5">
      <c r="A26" s="1669"/>
      <c r="B26" s="1662" t="s">
        <v>2212</v>
      </c>
      <c r="C26" s="1719" t="s">
        <v>3048</v>
      </c>
      <c r="D26" s="1678">
        <v>100</v>
      </c>
      <c r="E26" s="1720" t="s">
        <v>3072</v>
      </c>
      <c r="F26" s="1721">
        <f>SUMIF(88:88,E26,89:89)-SUMIF(88:88,C26,89:89)+100</f>
        <v>101.5</v>
      </c>
      <c r="G26" s="1722" t="s">
        <v>3054</v>
      </c>
      <c r="H26" s="1678">
        <f>SUMIF(88:88,G26,89:89)-SUMIF(88:88,C26,89:89)+100</f>
        <v>101</v>
      </c>
      <c r="I26" s="1720" t="s">
        <v>3048</v>
      </c>
      <c r="J26" s="1678">
        <f>SUMIF(88:88,I26,89:89)-SUMIF(88:88,C26,89:89)+100</f>
        <v>100</v>
      </c>
      <c r="K26" s="1667">
        <v>0.5</v>
      </c>
      <c r="L26" s="2962"/>
      <c r="M26" s="2958"/>
      <c r="N26" s="2958"/>
      <c r="O26" s="2958"/>
      <c r="P26" s="3639"/>
      <c r="Q26" s="1583" t="str">
        <f t="shared" si="11"/>
        <v>朝向</v>
      </c>
      <c r="R26" s="1692" t="s">
        <v>28</v>
      </c>
      <c r="S26" s="1693">
        <f>F26</f>
        <v>101.5</v>
      </c>
      <c r="T26" s="1692" t="s">
        <v>28</v>
      </c>
      <c r="U26" s="1693">
        <f>H26</f>
        <v>101</v>
      </c>
      <c r="V26" s="1692" t="s">
        <v>28</v>
      </c>
      <c r="W26" s="1693">
        <f>J26</f>
        <v>100</v>
      </c>
      <c r="X26" s="1633"/>
      <c r="Y26" s="3627"/>
      <c r="Z26" s="1694" t="str">
        <f>Q26</f>
        <v>朝向</v>
      </c>
      <c r="AA26" s="1695">
        <f t="shared" si="3"/>
        <v>0.98522167487684731</v>
      </c>
      <c r="AB26" s="1695">
        <f t="shared" si="4"/>
        <v>0.99009900990099009</v>
      </c>
      <c r="AC26" s="1695">
        <f t="shared" si="5"/>
        <v>1</v>
      </c>
    </row>
    <row r="27" spans="1:29" s="1652" customFormat="1" ht="15.5">
      <c r="A27" s="1672"/>
      <c r="B27" s="3343" t="s">
        <v>3076</v>
      </c>
      <c r="C27" s="3344" t="s">
        <v>3077</v>
      </c>
      <c r="D27" s="1723">
        <v>100</v>
      </c>
      <c r="E27" s="3344" t="s">
        <v>3077</v>
      </c>
      <c r="F27" s="1725">
        <f>SUMIF(90:90,E27,91:91)-SUMIF(90:90,C27,91:91)+100</f>
        <v>100</v>
      </c>
      <c r="G27" s="3339" t="s">
        <v>3078</v>
      </c>
      <c r="H27" s="1723">
        <f>SUMIF(90:90,G27,91:91)-SUMIF(90:90,C27,91:91)+100</f>
        <v>97</v>
      </c>
      <c r="I27" s="3342" t="s">
        <v>3078</v>
      </c>
      <c r="J27" s="1723">
        <f>SUMIF(90:90,I27,91:91)-SUMIF(90:90,C27,91:91)+100</f>
        <v>97</v>
      </c>
      <c r="K27" s="1676"/>
      <c r="L27" s="2957"/>
      <c r="M27" s="2930"/>
      <c r="N27" s="2930"/>
      <c r="O27" s="2930"/>
      <c r="P27" s="3639"/>
      <c r="Q27" s="1602" t="str">
        <f t="shared" si="11"/>
        <v>楼层</v>
      </c>
      <c r="R27" s="1648" t="s">
        <v>28</v>
      </c>
      <c r="S27" s="1649">
        <f>F27</f>
        <v>100</v>
      </c>
      <c r="T27" s="1648" t="s">
        <v>28</v>
      </c>
      <c r="U27" s="1649">
        <f>H27</f>
        <v>97</v>
      </c>
      <c r="V27" s="1648" t="s">
        <v>28</v>
      </c>
      <c r="W27" s="1649">
        <f>J27</f>
        <v>97</v>
      </c>
      <c r="X27" s="1650"/>
      <c r="Y27" s="3627"/>
      <c r="Z27" s="1660" t="str">
        <f>Q27</f>
        <v>楼层</v>
      </c>
      <c r="AA27" s="1695">
        <f>D27/F27</f>
        <v>1</v>
      </c>
      <c r="AB27" s="1695">
        <f>D27/H27</f>
        <v>1.0309278350515463</v>
      </c>
      <c r="AC27" s="1695">
        <f>D27/J27</f>
        <v>1.0309278350515463</v>
      </c>
    </row>
    <row r="28" spans="1:29" ht="15.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39"/>
      <c r="Q28" s="1583">
        <f t="shared" si="11"/>
        <v>111</v>
      </c>
      <c r="R28" s="1692" t="s">
        <v>28</v>
      </c>
      <c r="S28" s="1693">
        <f t="shared" ref="S28:S46" si="12">F28</f>
        <v>100</v>
      </c>
      <c r="T28" s="1692" t="s">
        <v>28</v>
      </c>
      <c r="U28" s="1693">
        <f t="shared" ref="U28:U46" si="13">H28</f>
        <v>100</v>
      </c>
      <c r="V28" s="1692" t="s">
        <v>28</v>
      </c>
      <c r="W28" s="1693">
        <f t="shared" ref="W28:W46" si="14">J28</f>
        <v>100</v>
      </c>
      <c r="X28" s="1633"/>
      <c r="Y28" s="3627"/>
      <c r="Z28" s="1694">
        <f t="shared" ref="Z28:Z46" si="15">Q28</f>
        <v>111</v>
      </c>
      <c r="AA28" s="1695">
        <f t="shared" si="3"/>
        <v>1</v>
      </c>
      <c r="AB28" s="1695">
        <f t="shared" si="4"/>
        <v>1</v>
      </c>
      <c r="AC28" s="1695">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39"/>
      <c r="Q29" s="1583">
        <f t="shared" si="11"/>
        <v>111</v>
      </c>
      <c r="R29" s="1692" t="s">
        <v>28</v>
      </c>
      <c r="S29" s="1693">
        <f t="shared" si="12"/>
        <v>100</v>
      </c>
      <c r="T29" s="1692" t="s">
        <v>28</v>
      </c>
      <c r="U29" s="1693">
        <f t="shared" si="13"/>
        <v>100</v>
      </c>
      <c r="V29" s="1692" t="s">
        <v>28</v>
      </c>
      <c r="W29" s="1693">
        <f t="shared" si="14"/>
        <v>100</v>
      </c>
      <c r="X29" s="1633"/>
      <c r="Y29" s="3627"/>
      <c r="Z29" s="1694">
        <f t="shared" si="15"/>
        <v>111</v>
      </c>
      <c r="AA29" s="1695">
        <f t="shared" si="3"/>
        <v>1</v>
      </c>
      <c r="AB29" s="1695">
        <f t="shared" si="4"/>
        <v>1</v>
      </c>
      <c r="AC29" s="1695">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39"/>
      <c r="Q30" s="1583">
        <f t="shared" si="11"/>
        <v>111</v>
      </c>
      <c r="R30" s="1692" t="s">
        <v>28</v>
      </c>
      <c r="S30" s="1693">
        <f t="shared" si="12"/>
        <v>100</v>
      </c>
      <c r="T30" s="1692" t="s">
        <v>28</v>
      </c>
      <c r="U30" s="1693">
        <f t="shared" si="13"/>
        <v>100</v>
      </c>
      <c r="V30" s="1692" t="s">
        <v>28</v>
      </c>
      <c r="W30" s="1693">
        <f t="shared" si="14"/>
        <v>100</v>
      </c>
      <c r="X30" s="1633"/>
      <c r="Y30" s="3627"/>
      <c r="Z30" s="1694">
        <f t="shared" si="15"/>
        <v>111</v>
      </c>
      <c r="AA30" s="1695">
        <f t="shared" si="3"/>
        <v>1</v>
      </c>
      <c r="AB30" s="1695">
        <f t="shared" si="4"/>
        <v>1</v>
      </c>
      <c r="AC30" s="1695">
        <f t="shared" si="5"/>
        <v>1</v>
      </c>
    </row>
    <row r="31" spans="1:29" ht="1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39"/>
      <c r="Q31" s="1583">
        <f t="shared" si="11"/>
        <v>111</v>
      </c>
      <c r="R31" s="1692" t="s">
        <v>28</v>
      </c>
      <c r="S31" s="1693">
        <f t="shared" si="12"/>
        <v>100</v>
      </c>
      <c r="T31" s="1692" t="s">
        <v>28</v>
      </c>
      <c r="U31" s="1693">
        <f t="shared" si="13"/>
        <v>100</v>
      </c>
      <c r="V31" s="1692" t="s">
        <v>28</v>
      </c>
      <c r="W31" s="1693">
        <f t="shared" si="14"/>
        <v>100</v>
      </c>
      <c r="X31" s="1633"/>
      <c r="Y31" s="3627"/>
      <c r="Z31" s="1694">
        <f t="shared" si="15"/>
        <v>111</v>
      </c>
      <c r="AA31" s="1695">
        <f t="shared" si="3"/>
        <v>1</v>
      </c>
      <c r="AB31" s="1695">
        <f t="shared" si="4"/>
        <v>1</v>
      </c>
      <c r="AC31" s="1695">
        <f t="shared" si="5"/>
        <v>1</v>
      </c>
    </row>
    <row r="32" spans="1:29" ht="15.5">
      <c r="A32" s="1684" t="s">
        <v>2213</v>
      </c>
      <c r="B32" s="1654" t="s">
        <v>2214</v>
      </c>
      <c r="C32" s="1728" t="s">
        <v>3045</v>
      </c>
      <c r="D32" s="1729">
        <v>100</v>
      </c>
      <c r="E32" s="1728" t="s">
        <v>3045</v>
      </c>
      <c r="F32" s="1721">
        <f>SUMIF(100:100,E32,101:101)-SUMIF(100:100,C32,101:101)+100</f>
        <v>100</v>
      </c>
      <c r="G32" s="1728" t="s">
        <v>3045</v>
      </c>
      <c r="H32" s="1729">
        <f>SUMIF(100:100,G32,101:101)-SUMIF(100:100,C32,101:101)+100</f>
        <v>100</v>
      </c>
      <c r="I32" s="1728" t="s">
        <v>3045</v>
      </c>
      <c r="J32" s="1678">
        <f>SUMIF(100:100,I32,101:101)-SUMIF(100:100,C32,101:101)+100</f>
        <v>100</v>
      </c>
      <c r="K32" s="1667">
        <v>3</v>
      </c>
      <c r="L32" s="2962"/>
      <c r="M32" s="2958"/>
      <c r="N32" s="2958"/>
      <c r="O32" s="2958"/>
      <c r="P32" s="3640" t="s">
        <v>2215</v>
      </c>
      <c r="Q32" s="1583" t="str">
        <f t="shared" si="11"/>
        <v>建筑类型</v>
      </c>
      <c r="R32" s="1692" t="s">
        <v>28</v>
      </c>
      <c r="S32" s="1693">
        <f t="shared" si="12"/>
        <v>100</v>
      </c>
      <c r="T32" s="1692" t="s">
        <v>28</v>
      </c>
      <c r="U32" s="1693">
        <f t="shared" si="13"/>
        <v>100</v>
      </c>
      <c r="V32" s="1692" t="s">
        <v>28</v>
      </c>
      <c r="W32" s="1693">
        <f t="shared" si="14"/>
        <v>100</v>
      </c>
      <c r="X32" s="1633"/>
      <c r="Y32" s="3629" t="s">
        <v>2215</v>
      </c>
      <c r="Z32" s="1694" t="str">
        <f t="shared" si="15"/>
        <v>建筑类型</v>
      </c>
      <c r="AA32" s="1695">
        <f t="shared" si="3"/>
        <v>1</v>
      </c>
      <c r="AB32" s="1695">
        <f t="shared" si="4"/>
        <v>1</v>
      </c>
      <c r="AC32" s="1695">
        <f t="shared" si="5"/>
        <v>1</v>
      </c>
    </row>
    <row r="33" spans="1:29" s="1737" customFormat="1" ht="15.5">
      <c r="A33" s="1730"/>
      <c r="B33" s="1662" t="s">
        <v>2216</v>
      </c>
      <c r="C33" s="1731">
        <f>'数据-取费表'!B5</f>
        <v>108.17</v>
      </c>
      <c r="D33" s="1664">
        <v>100</v>
      </c>
      <c r="E33" s="1731">
        <v>91.98</v>
      </c>
      <c r="F33" s="1666">
        <f>LOOKUP(E33,103:103,104:104)-LOOKUP(C33,103:103,104:104)+100</f>
        <v>102</v>
      </c>
      <c r="G33" s="1731">
        <v>121.35</v>
      </c>
      <c r="H33" s="1664">
        <f>LOOKUP(G33,103:103,104:104)-LOOKUP(C33,103:103,104:104)+100</f>
        <v>100</v>
      </c>
      <c r="I33" s="1731">
        <v>108.41</v>
      </c>
      <c r="J33" s="1664">
        <f>LOOKUP(I33,103:103,104:104)-LOOKUP(C33,103:103,104:104)+100</f>
        <v>100</v>
      </c>
      <c r="K33" s="1676"/>
      <c r="L33" s="2961"/>
      <c r="M33" s="2023"/>
      <c r="N33" s="2023"/>
      <c r="O33" s="2023"/>
      <c r="P33" s="3641"/>
      <c r="Q33" s="1732" t="str">
        <f t="shared" si="11"/>
        <v>项目建筑规模</v>
      </c>
      <c r="R33" s="1733" t="s">
        <v>28</v>
      </c>
      <c r="S33" s="1734">
        <f t="shared" si="12"/>
        <v>102</v>
      </c>
      <c r="T33" s="1733" t="s">
        <v>28</v>
      </c>
      <c r="U33" s="1734">
        <f t="shared" si="13"/>
        <v>100</v>
      </c>
      <c r="V33" s="1733" t="s">
        <v>28</v>
      </c>
      <c r="W33" s="1734">
        <f t="shared" si="14"/>
        <v>100</v>
      </c>
      <c r="X33" s="1735"/>
      <c r="Y33" s="3629"/>
      <c r="Z33" s="1736" t="str">
        <f t="shared" si="15"/>
        <v>项目建筑规模</v>
      </c>
      <c r="AA33" s="1695">
        <f t="shared" si="3"/>
        <v>0.98039215686274506</v>
      </c>
      <c r="AB33" s="1695">
        <f t="shared" si="4"/>
        <v>1</v>
      </c>
      <c r="AC33" s="1695">
        <f t="shared" si="5"/>
        <v>1</v>
      </c>
    </row>
    <row r="34" spans="1:29" ht="15.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41"/>
      <c r="Q34" s="1583" t="str">
        <f t="shared" si="11"/>
        <v>建筑结构</v>
      </c>
      <c r="R34" s="1692" t="s">
        <v>28</v>
      </c>
      <c r="S34" s="1693">
        <f t="shared" si="12"/>
        <v>100</v>
      </c>
      <c r="T34" s="1692" t="s">
        <v>28</v>
      </c>
      <c r="U34" s="1693">
        <f t="shared" si="13"/>
        <v>100</v>
      </c>
      <c r="V34" s="1692" t="s">
        <v>28</v>
      </c>
      <c r="W34" s="1693">
        <f t="shared" si="14"/>
        <v>100</v>
      </c>
      <c r="X34" s="1633"/>
      <c r="Y34" s="3629"/>
      <c r="Z34" s="1694" t="str">
        <f t="shared" si="15"/>
        <v>建筑结构</v>
      </c>
      <c r="AA34" s="1695">
        <f t="shared" si="3"/>
        <v>1</v>
      </c>
      <c r="AB34" s="1695">
        <f t="shared" si="4"/>
        <v>1</v>
      </c>
      <c r="AC34" s="1695">
        <f t="shared" si="5"/>
        <v>1</v>
      </c>
    </row>
    <row r="35" spans="1:29" ht="15.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41"/>
      <c r="Q35" s="1583" t="str">
        <f t="shared" si="11"/>
        <v>建筑品质</v>
      </c>
      <c r="R35" s="1692" t="s">
        <v>28</v>
      </c>
      <c r="S35" s="1693">
        <f t="shared" si="12"/>
        <v>100</v>
      </c>
      <c r="T35" s="1692" t="s">
        <v>28</v>
      </c>
      <c r="U35" s="1693">
        <f t="shared" si="13"/>
        <v>100</v>
      </c>
      <c r="V35" s="1692" t="s">
        <v>28</v>
      </c>
      <c r="W35" s="1693">
        <f t="shared" si="14"/>
        <v>100</v>
      </c>
      <c r="X35" s="1633"/>
      <c r="Y35" s="3629"/>
      <c r="Z35" s="1694" t="str">
        <f t="shared" si="15"/>
        <v>建筑品质</v>
      </c>
      <c r="AA35" s="1695">
        <f t="shared" si="3"/>
        <v>1</v>
      </c>
      <c r="AB35" s="1695">
        <f t="shared" si="4"/>
        <v>1</v>
      </c>
      <c r="AC35" s="1695">
        <f t="shared" si="5"/>
        <v>1</v>
      </c>
    </row>
    <row r="36" spans="1:29" ht="15.5">
      <c r="A36" s="1738"/>
      <c r="B36" s="1662" t="s">
        <v>2219</v>
      </c>
      <c r="C36" s="1722" t="s">
        <v>2998</v>
      </c>
      <c r="D36" s="1678">
        <v>100</v>
      </c>
      <c r="E36" s="1722" t="s">
        <v>2998</v>
      </c>
      <c r="F36" s="1721">
        <f>SUMIF(109:109,E36,110:110)-SUMIF(109:109,C36,110:110)+100</f>
        <v>100</v>
      </c>
      <c r="G36" s="1722" t="s">
        <v>2998</v>
      </c>
      <c r="H36" s="1678">
        <f>SUMIF(109:109,G36,110:110)-SUMIF(109:109,C36,110:110)+100</f>
        <v>100</v>
      </c>
      <c r="I36" s="1722" t="s">
        <v>2998</v>
      </c>
      <c r="J36" s="1678">
        <f>SUMIF(109:109,I36,110:110)-SUMIF(109:109,C36,110:110)+100</f>
        <v>100</v>
      </c>
      <c r="K36" s="1667">
        <v>2</v>
      </c>
      <c r="L36" s="2962"/>
      <c r="M36" s="2958"/>
      <c r="N36" s="2958"/>
      <c r="O36" s="2958"/>
      <c r="P36" s="3641"/>
      <c r="Q36" s="1583" t="str">
        <f t="shared" si="11"/>
        <v>公共部分装修</v>
      </c>
      <c r="R36" s="1692" t="s">
        <v>28</v>
      </c>
      <c r="S36" s="1693">
        <f t="shared" si="12"/>
        <v>100</v>
      </c>
      <c r="T36" s="1692" t="s">
        <v>28</v>
      </c>
      <c r="U36" s="1693">
        <f t="shared" si="13"/>
        <v>100</v>
      </c>
      <c r="V36" s="1692" t="s">
        <v>28</v>
      </c>
      <c r="W36" s="1693">
        <f t="shared" si="14"/>
        <v>100</v>
      </c>
      <c r="X36" s="1633"/>
      <c r="Y36" s="3629"/>
      <c r="Z36" s="1694" t="str">
        <f t="shared" si="15"/>
        <v>公共部分装修</v>
      </c>
      <c r="AA36" s="1695">
        <f t="shared" si="3"/>
        <v>1</v>
      </c>
      <c r="AB36" s="1695">
        <f t="shared" si="4"/>
        <v>1</v>
      </c>
      <c r="AC36" s="1695">
        <f t="shared" si="5"/>
        <v>1</v>
      </c>
    </row>
    <row r="37" spans="1:29" s="1652" customFormat="1" ht="15.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41"/>
      <c r="Q37" s="1602" t="str">
        <f t="shared" si="11"/>
        <v>成新度</v>
      </c>
      <c r="R37" s="1648" t="s">
        <v>28</v>
      </c>
      <c r="S37" s="1649">
        <f t="shared" si="12"/>
        <v>100</v>
      </c>
      <c r="T37" s="1648" t="s">
        <v>28</v>
      </c>
      <c r="U37" s="1649">
        <f t="shared" si="13"/>
        <v>100</v>
      </c>
      <c r="V37" s="1648" t="s">
        <v>28</v>
      </c>
      <c r="W37" s="1649">
        <f t="shared" si="14"/>
        <v>100</v>
      </c>
      <c r="X37" s="1650"/>
      <c r="Y37" s="3629"/>
      <c r="Z37" s="1660" t="str">
        <f t="shared" si="15"/>
        <v>成新度</v>
      </c>
      <c r="AA37" s="1651">
        <f t="shared" si="3"/>
        <v>1</v>
      </c>
      <c r="AB37" s="1651">
        <f t="shared" si="4"/>
        <v>1</v>
      </c>
      <c r="AC37" s="1651">
        <f t="shared" si="5"/>
        <v>1</v>
      </c>
    </row>
    <row r="38" spans="1:29" ht="15.5">
      <c r="A38" s="1738"/>
      <c r="B38" s="1662" t="s">
        <v>2221</v>
      </c>
      <c r="C38" s="1722" t="s">
        <v>3062</v>
      </c>
      <c r="D38" s="1678">
        <v>100</v>
      </c>
      <c r="E38" s="1722" t="s">
        <v>3062</v>
      </c>
      <c r="F38" s="1721">
        <f>SUMIF(114:114,E38,115:115)-SUMIF(114:114,C38,115:115)+100</f>
        <v>100</v>
      </c>
      <c r="G38" s="1722" t="s">
        <v>3062</v>
      </c>
      <c r="H38" s="1678">
        <f>SUMIF(114:114,G38,115:115)-SUMIF(114:114,C38,115:115)+100</f>
        <v>100</v>
      </c>
      <c r="I38" s="1722" t="s">
        <v>3062</v>
      </c>
      <c r="J38" s="1678">
        <f>SUMIF(114:114,I38,115:115)-SUMIF(114:114,C38,115:115)+100</f>
        <v>100</v>
      </c>
      <c r="K38" s="1667">
        <v>2</v>
      </c>
      <c r="L38" s="2962"/>
      <c r="M38" s="2958"/>
      <c r="N38" s="2958"/>
      <c r="O38" s="2958"/>
      <c r="P38" s="3641" t="s">
        <v>2215</v>
      </c>
      <c r="Q38" s="1583" t="str">
        <f t="shared" si="11"/>
        <v>物业管理</v>
      </c>
      <c r="R38" s="1692" t="s">
        <v>28</v>
      </c>
      <c r="S38" s="1693">
        <f t="shared" si="12"/>
        <v>100</v>
      </c>
      <c r="T38" s="1692" t="s">
        <v>28</v>
      </c>
      <c r="U38" s="1693">
        <f t="shared" si="13"/>
        <v>100</v>
      </c>
      <c r="V38" s="1692" t="s">
        <v>28</v>
      </c>
      <c r="W38" s="1693">
        <f t="shared" si="14"/>
        <v>100</v>
      </c>
      <c r="X38" s="1633"/>
      <c r="Y38" s="3629" t="s">
        <v>2215</v>
      </c>
      <c r="Z38" s="1694" t="str">
        <f t="shared" si="15"/>
        <v>物业管理</v>
      </c>
      <c r="AA38" s="1695">
        <f t="shared" si="3"/>
        <v>1</v>
      </c>
      <c r="AB38" s="1695">
        <f t="shared" si="4"/>
        <v>1</v>
      </c>
      <c r="AC38" s="1695">
        <f t="shared" si="5"/>
        <v>1</v>
      </c>
    </row>
    <row r="39" spans="1:29" ht="15.5">
      <c r="A39" s="1738"/>
      <c r="B39" s="1662" t="s">
        <v>2222</v>
      </c>
      <c r="C39" s="1722" t="s">
        <v>3063</v>
      </c>
      <c r="D39" s="1678">
        <v>100</v>
      </c>
      <c r="E39" s="1722" t="s">
        <v>3063</v>
      </c>
      <c r="F39" s="1721">
        <f>SUMIF(116:116,E39,117:117)-SUMIF(116:116,C39,117:117)+100</f>
        <v>100</v>
      </c>
      <c r="G39" s="1722" t="s">
        <v>3063</v>
      </c>
      <c r="H39" s="1678">
        <f>SUMIF(116:116,G39,117:117)-SUMIF(116:116,C39,117:117)+100</f>
        <v>100</v>
      </c>
      <c r="I39" s="1722" t="s">
        <v>3063</v>
      </c>
      <c r="J39" s="1678">
        <f>SUMIF(116:116,I39,117:117)-SUMIF(116:116,C39,117:117)+100</f>
        <v>100</v>
      </c>
      <c r="K39" s="1667">
        <v>1</v>
      </c>
      <c r="L39" s="2962"/>
      <c r="M39" s="2958"/>
      <c r="N39" s="2958"/>
      <c r="O39" s="2958"/>
      <c r="P39" s="3641"/>
      <c r="Q39" s="1583" t="str">
        <f t="shared" si="11"/>
        <v>市政基础设施</v>
      </c>
      <c r="R39" s="1692" t="s">
        <v>28</v>
      </c>
      <c r="S39" s="1693">
        <f t="shared" si="12"/>
        <v>100</v>
      </c>
      <c r="T39" s="1692" t="s">
        <v>28</v>
      </c>
      <c r="U39" s="1693">
        <f t="shared" si="13"/>
        <v>100</v>
      </c>
      <c r="V39" s="1692" t="s">
        <v>28</v>
      </c>
      <c r="W39" s="1693">
        <f t="shared" si="14"/>
        <v>100</v>
      </c>
      <c r="X39" s="1633"/>
      <c r="Y39" s="3629"/>
      <c r="Z39" s="1694" t="str">
        <f t="shared" si="15"/>
        <v>市政基础设施</v>
      </c>
      <c r="AA39" s="1695">
        <f t="shared" si="3"/>
        <v>1</v>
      </c>
      <c r="AB39" s="1695">
        <f t="shared" si="4"/>
        <v>1</v>
      </c>
      <c r="AC39" s="1695">
        <f t="shared" si="5"/>
        <v>1</v>
      </c>
    </row>
    <row r="40" spans="1:29" ht="15.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41"/>
      <c r="Q40" s="1583" t="str">
        <f t="shared" si="11"/>
        <v>房型</v>
      </c>
      <c r="R40" s="1692" t="s">
        <v>28</v>
      </c>
      <c r="S40" s="1693">
        <f t="shared" si="12"/>
        <v>100</v>
      </c>
      <c r="T40" s="1692" t="s">
        <v>28</v>
      </c>
      <c r="U40" s="1693">
        <f t="shared" si="13"/>
        <v>100</v>
      </c>
      <c r="V40" s="1692" t="s">
        <v>28</v>
      </c>
      <c r="W40" s="1693">
        <f t="shared" si="14"/>
        <v>100</v>
      </c>
      <c r="X40" s="1633"/>
      <c r="Y40" s="3629"/>
      <c r="Z40" s="1694" t="str">
        <f t="shared" si="15"/>
        <v>房型</v>
      </c>
      <c r="AA40" s="1695">
        <f t="shared" si="3"/>
        <v>1</v>
      </c>
      <c r="AB40" s="1695">
        <f t="shared" si="4"/>
        <v>1</v>
      </c>
      <c r="AC40" s="1695">
        <f t="shared" si="5"/>
        <v>1</v>
      </c>
    </row>
    <row r="41" spans="1:29" s="1737" customFormat="1" ht="28.5">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41"/>
      <c r="Q41" s="1732" t="str">
        <f t="shared" si="11"/>
        <v>单套/主力户型建筑面积</v>
      </c>
      <c r="R41" s="1733" t="s">
        <v>28</v>
      </c>
      <c r="S41" s="1734">
        <f t="shared" si="12"/>
        <v>100</v>
      </c>
      <c r="T41" s="1733" t="s">
        <v>28</v>
      </c>
      <c r="U41" s="1734">
        <f t="shared" si="13"/>
        <v>100</v>
      </c>
      <c r="V41" s="1733" t="s">
        <v>28</v>
      </c>
      <c r="W41" s="1734">
        <f t="shared" si="14"/>
        <v>100</v>
      </c>
      <c r="X41" s="1735"/>
      <c r="Y41" s="3629"/>
      <c r="Z41" s="1736" t="str">
        <f t="shared" si="15"/>
        <v>单套/主力户型建筑面积</v>
      </c>
      <c r="AA41" s="1695">
        <f t="shared" si="3"/>
        <v>1</v>
      </c>
      <c r="AB41" s="1695">
        <f t="shared" si="4"/>
        <v>1</v>
      </c>
      <c r="AC41" s="1695">
        <f t="shared" si="5"/>
        <v>1</v>
      </c>
    </row>
    <row r="42" spans="1:29" ht="15.5">
      <c r="A42" s="1738"/>
      <c r="B42" s="1662" t="s">
        <v>2225</v>
      </c>
      <c r="C42" s="1722" t="s">
        <v>3081</v>
      </c>
      <c r="D42" s="1678">
        <v>100</v>
      </c>
      <c r="E42" s="1722" t="s">
        <v>2998</v>
      </c>
      <c r="F42" s="1721">
        <f>SUMIF(122:122,E42,123:123)-SUMIF(122:122,C42,123:123)+100</f>
        <v>104.5</v>
      </c>
      <c r="G42" s="1722" t="s">
        <v>2998</v>
      </c>
      <c r="H42" s="1678">
        <f>SUMIF(122:122,G42,123:123)-SUMIF(122:122,C42,123:123)+100</f>
        <v>104.5</v>
      </c>
      <c r="I42" s="1722" t="s">
        <v>2998</v>
      </c>
      <c r="J42" s="1678">
        <f>SUMIF(122:122,I42,123:123)-SUMIF(122:122,C42,123:123)+100</f>
        <v>104.5</v>
      </c>
      <c r="K42" s="1667">
        <v>1.5</v>
      </c>
      <c r="L42" s="2962"/>
      <c r="M42" s="2958"/>
      <c r="N42" s="2958"/>
      <c r="O42" s="2958"/>
      <c r="P42" s="3641"/>
      <c r="Q42" s="1583" t="str">
        <f t="shared" si="11"/>
        <v>内部装修</v>
      </c>
      <c r="R42" s="1692" t="s">
        <v>28</v>
      </c>
      <c r="S42" s="1693">
        <f t="shared" si="12"/>
        <v>104.5</v>
      </c>
      <c r="T42" s="1692" t="s">
        <v>28</v>
      </c>
      <c r="U42" s="1693">
        <f t="shared" si="13"/>
        <v>104.5</v>
      </c>
      <c r="V42" s="1692" t="s">
        <v>28</v>
      </c>
      <c r="W42" s="1693">
        <f t="shared" si="14"/>
        <v>104.5</v>
      </c>
      <c r="X42" s="1633"/>
      <c r="Y42" s="3629"/>
      <c r="Z42" s="1694" t="str">
        <f t="shared" si="15"/>
        <v>内部装修</v>
      </c>
      <c r="AA42" s="1695">
        <f t="shared" si="3"/>
        <v>0.9569377990430622</v>
      </c>
      <c r="AB42" s="1695">
        <f t="shared" si="4"/>
        <v>0.9569377990430622</v>
      </c>
      <c r="AC42" s="1695">
        <f t="shared" si="5"/>
        <v>0.9569377990430622</v>
      </c>
    </row>
    <row r="43" spans="1:29" ht="28">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41"/>
      <c r="Q43" s="1583" t="str">
        <f t="shared" si="11"/>
        <v>内部装修维护情况</v>
      </c>
      <c r="R43" s="1692" t="s">
        <v>28</v>
      </c>
      <c r="S43" s="1693">
        <f t="shared" si="12"/>
        <v>100</v>
      </c>
      <c r="T43" s="1692" t="s">
        <v>28</v>
      </c>
      <c r="U43" s="1693">
        <f t="shared" si="13"/>
        <v>100</v>
      </c>
      <c r="V43" s="1692" t="s">
        <v>28</v>
      </c>
      <c r="W43" s="1693">
        <f t="shared" si="14"/>
        <v>100</v>
      </c>
      <c r="X43" s="1633"/>
      <c r="Y43" s="3629"/>
      <c r="Z43" s="1694" t="str">
        <f t="shared" si="15"/>
        <v>内部装修维护情况</v>
      </c>
      <c r="AA43" s="1695">
        <f t="shared" si="3"/>
        <v>1</v>
      </c>
      <c r="AB43" s="1695">
        <f t="shared" si="4"/>
        <v>1</v>
      </c>
      <c r="AC43" s="1695">
        <f t="shared" si="5"/>
        <v>1</v>
      </c>
    </row>
    <row r="44" spans="1:29" s="1652" customFormat="1" ht="15.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41"/>
      <c r="Q44" s="1602">
        <f t="shared" si="11"/>
        <v>111</v>
      </c>
      <c r="R44" s="1648" t="s">
        <v>28</v>
      </c>
      <c r="S44" s="1649">
        <f t="shared" si="12"/>
        <v>100</v>
      </c>
      <c r="T44" s="1648" t="s">
        <v>28</v>
      </c>
      <c r="U44" s="1649">
        <f t="shared" si="13"/>
        <v>100</v>
      </c>
      <c r="V44" s="1648" t="s">
        <v>28</v>
      </c>
      <c r="W44" s="1649">
        <f t="shared" si="14"/>
        <v>100</v>
      </c>
      <c r="X44" s="1650"/>
      <c r="Y44" s="3629"/>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41"/>
      <c r="Q45" s="1583">
        <f t="shared" si="11"/>
        <v>111</v>
      </c>
      <c r="R45" s="1692" t="s">
        <v>28</v>
      </c>
      <c r="S45" s="1693">
        <f t="shared" si="12"/>
        <v>100</v>
      </c>
      <c r="T45" s="1692" t="s">
        <v>28</v>
      </c>
      <c r="U45" s="1693">
        <f t="shared" si="13"/>
        <v>100</v>
      </c>
      <c r="V45" s="1692" t="s">
        <v>28</v>
      </c>
      <c r="W45" s="1693">
        <f t="shared" si="14"/>
        <v>100</v>
      </c>
      <c r="X45" s="1633"/>
      <c r="Y45" s="3629"/>
      <c r="Z45" s="1694">
        <f t="shared" si="15"/>
        <v>111</v>
      </c>
      <c r="AA45" s="1695">
        <f t="shared" si="3"/>
        <v>1</v>
      </c>
      <c r="AB45" s="1695">
        <f t="shared" si="4"/>
        <v>1</v>
      </c>
      <c r="AC45" s="1695">
        <f t="shared" si="5"/>
        <v>1</v>
      </c>
    </row>
    <row r="46" spans="1:29" ht="16"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42"/>
      <c r="Q46" s="1583">
        <f t="shared" si="11"/>
        <v>111</v>
      </c>
      <c r="R46" s="1692" t="s">
        <v>27</v>
      </c>
      <c r="S46" s="1693">
        <f t="shared" si="12"/>
        <v>100</v>
      </c>
      <c r="T46" s="1692" t="s">
        <v>27</v>
      </c>
      <c r="U46" s="1693">
        <f t="shared" si="13"/>
        <v>100</v>
      </c>
      <c r="V46" s="1692" t="s">
        <v>27</v>
      </c>
      <c r="W46" s="1693">
        <f t="shared" si="14"/>
        <v>100</v>
      </c>
      <c r="X46" s="1633"/>
      <c r="Y46" s="3630"/>
      <c r="Z46" s="1694">
        <f t="shared" si="15"/>
        <v>111</v>
      </c>
      <c r="AA46" s="1695">
        <f t="shared" si="3"/>
        <v>1</v>
      </c>
      <c r="AB46" s="1695">
        <f t="shared" si="4"/>
        <v>1</v>
      </c>
      <c r="AC46" s="1695">
        <f t="shared" si="5"/>
        <v>1</v>
      </c>
    </row>
    <row r="47" spans="1:29">
      <c r="A47" s="1745" t="s">
        <v>2227</v>
      </c>
      <c r="B47" s="1746"/>
      <c r="C47" s="1747" t="s">
        <v>26</v>
      </c>
      <c r="D47" s="1748"/>
      <c r="E47" s="1749">
        <f>ROUND(20700*E50,0)</f>
        <v>20286</v>
      </c>
      <c r="F47" s="1750"/>
      <c r="G47" s="1749">
        <f>ROUND(22992*G50,0)</f>
        <v>22532</v>
      </c>
      <c r="H47" s="1752"/>
      <c r="I47" s="1749">
        <f>ROUND(20755*I50,0)</f>
        <v>20340</v>
      </c>
      <c r="J47" s="1752"/>
      <c r="K47" s="1753"/>
      <c r="L47" s="2963"/>
      <c r="N47" s="2958"/>
      <c r="P47" s="3598" t="str">
        <f>A47</f>
        <v>成交单价（元/平方米）</v>
      </c>
      <c r="Q47" s="3598"/>
      <c r="R47" s="3631">
        <f>E47</f>
        <v>20286</v>
      </c>
      <c r="S47" s="3631"/>
      <c r="T47" s="3631">
        <f>G47</f>
        <v>22532</v>
      </c>
      <c r="U47" s="3631"/>
      <c r="V47" s="3631">
        <f>I47</f>
        <v>20340</v>
      </c>
      <c r="W47" s="3631"/>
      <c r="X47" s="1755"/>
      <c r="Y47" s="1756"/>
      <c r="Z47" s="1755"/>
      <c r="AA47" s="1755"/>
      <c r="AB47" s="1755"/>
      <c r="AC47" s="1755"/>
    </row>
    <row r="48" spans="1:29" ht="14.5" thickBot="1">
      <c r="A48" s="1757" t="s">
        <v>2228</v>
      </c>
      <c r="B48" s="1758"/>
      <c r="C48" s="1759">
        <f>R49</f>
        <v>20275</v>
      </c>
      <c r="D48" s="1760" t="s">
        <v>2683</v>
      </c>
      <c r="E48" s="1761">
        <f>R48</f>
        <v>18751</v>
      </c>
      <c r="F48" s="1762"/>
      <c r="G48" s="1759">
        <f>T48</f>
        <v>22008</v>
      </c>
      <c r="H48" s="1762"/>
      <c r="I48" s="1761">
        <f>V48</f>
        <v>20066</v>
      </c>
      <c r="J48" s="1762"/>
      <c r="K48" s="2475">
        <f>F48+H48+J48</f>
        <v>0</v>
      </c>
      <c r="L48" s="2963"/>
      <c r="P48" s="3598" t="str">
        <f>A48</f>
        <v>比较价值（元/平方米）</v>
      </c>
      <c r="Q48" s="3598"/>
      <c r="R48" s="3631">
        <f>IF(E1="售价",ROUND(PRODUCT(R47,AA7:AA46),0),ROUND(PRODUCT(R47,AA7:AA46),1))</f>
        <v>18751</v>
      </c>
      <c r="S48" s="3631"/>
      <c r="T48" s="3643">
        <f>IF(E1="售价",ROUND(PRODUCT(T47,AB7:AB46),0),ROUND(PRODUCT(T47,AB7:AB46),1))</f>
        <v>22008</v>
      </c>
      <c r="U48" s="3644"/>
      <c r="V48" s="3631">
        <f>IF(E1="售价",ROUND(PRODUCT(V47,AC7:AC46),0),ROUND(PRODUCT(V47,AC7:AC46),1))</f>
        <v>20066</v>
      </c>
      <c r="W48" s="3631"/>
      <c r="X48" s="1755"/>
      <c r="Y48" s="1755"/>
      <c r="Z48" s="1755"/>
      <c r="AA48" s="1755"/>
      <c r="AB48" s="1755"/>
      <c r="AC48" s="1755"/>
    </row>
    <row r="49" spans="1:29" ht="14.5" thickBot="1">
      <c r="A49" s="1763" t="s">
        <v>2229</v>
      </c>
      <c r="B49" s="1764"/>
      <c r="C49" s="1765">
        <f>R49</f>
        <v>20275</v>
      </c>
      <c r="D49" s="1766"/>
      <c r="E49" s="1766"/>
      <c r="F49" s="1766"/>
      <c r="G49" s="1766"/>
      <c r="H49" s="1766"/>
      <c r="I49" s="1766"/>
      <c r="J49" s="1766"/>
      <c r="K49" s="1767"/>
      <c r="L49" s="2963"/>
      <c r="P49" s="3632" t="str">
        <f>A49</f>
        <v>估价对象XX用房的比较价值（楼面单价，元/平方米）</v>
      </c>
      <c r="Q49" s="3633"/>
      <c r="R49" s="3634">
        <f>IF(E1="售价",ROUND(IF(D48="简单平均",AVERAGE(R48:V48),R48*F48+T48*H48+V48*J48),0),ROUND(IF(D48="简单平均",AVERAGE(R48:V48),R48*F48+T48*H48+V48*J48),1))</f>
        <v>20275</v>
      </c>
      <c r="S49" s="3634"/>
      <c r="T49" s="3634"/>
      <c r="U49" s="3634"/>
      <c r="V49" s="3634"/>
      <c r="W49" s="3634"/>
      <c r="X49" s="1755"/>
      <c r="Y49" s="1755"/>
      <c r="Z49" s="1755"/>
      <c r="AA49" s="1755"/>
      <c r="AB49" s="1755"/>
      <c r="AC49" s="1755"/>
    </row>
    <row r="50" spans="1:29">
      <c r="E50" s="1634">
        <v>0.98</v>
      </c>
      <c r="G50" s="1634">
        <f>E50</f>
        <v>0.98</v>
      </c>
      <c r="I50" s="1634">
        <f>G50</f>
        <v>0.98</v>
      </c>
    </row>
    <row r="52" spans="1:29" ht="13.5" customHeight="1">
      <c r="C52" s="383" t="s">
        <v>2230</v>
      </c>
      <c r="D52" s="1771"/>
      <c r="E52" s="1772">
        <f>IF(E47&lt;E48,E48/E47-1,E47/E48-1)</f>
        <v>8.1862300677297162E-2</v>
      </c>
      <c r="F52" s="1773" t="str">
        <f>IF(OR(E52&gt;=0.3,E52&lt;=-0.3),"超过30%","")</f>
        <v/>
      </c>
      <c r="G52" s="1772">
        <f>IF(G47&lt;G48,G48/G47-1,G47/G48-1)</f>
        <v>2.3809523809523725E-2</v>
      </c>
      <c r="H52" s="1773" t="str">
        <f>IF(OR(G52&gt;=0.3,G52&lt;=-0.3),"超过30%","")</f>
        <v/>
      </c>
      <c r="I52" s="1772">
        <f>IF(I47&lt;I48,I48/I47-1,I47/I48-1)</f>
        <v>1.3654938702282404E-2</v>
      </c>
      <c r="J52" s="1773" t="str">
        <f>IF(OR(I52&gt;=0.3,I52&lt;=-0.3),"超过30%","")</f>
        <v/>
      </c>
    </row>
    <row r="53" spans="1:29" ht="13.5" customHeight="1">
      <c r="C53" s="383" t="s">
        <v>2231</v>
      </c>
      <c r="D53" s="1774"/>
      <c r="E53" s="1772">
        <f>IF(E48&lt;G48,G48/E48-1,E48/G48-1)</f>
        <v>0.17369740280518364</v>
      </c>
      <c r="F53" s="1773" t="str">
        <f>IF(OR(E53&gt;=0.2,E53&lt;=-0.2),"超过20%","")</f>
        <v/>
      </c>
      <c r="G53" s="1772">
        <f>IF(G48&lt;I48,I48/G48-1,G48/I48-1)</f>
        <v>9.6780623940994737E-2</v>
      </c>
      <c r="H53" s="1773" t="str">
        <f>IF(OR(G53&gt;=0.2,G53&lt;=-0.2),"超过20%","")</f>
        <v/>
      </c>
      <c r="I53" s="1772">
        <f>IF(I48&lt;E48,E48/I48-1,I48/E48-1)</f>
        <v>7.0129593088368525E-2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1.5"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4.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4.5" thickBot="1">
      <c r="A64" s="1817"/>
      <c r="B64" s="1818"/>
      <c r="C64" s="1819">
        <v>100</v>
      </c>
      <c r="D64" s="1819"/>
      <c r="E64" s="1819"/>
      <c r="F64" s="1819"/>
      <c r="G64" s="1819"/>
      <c r="H64" s="1819"/>
      <c r="I64" s="1819"/>
      <c r="J64" s="1819"/>
      <c r="K64" s="1819"/>
      <c r="L64" s="1819"/>
      <c r="M64" s="1820"/>
      <c r="N64" s="1821"/>
      <c r="O64" s="1821"/>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4.5"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4.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c r="A68" s="1817"/>
      <c r="B68" s="1830"/>
      <c r="C68" s="1831">
        <v>0</v>
      </c>
      <c r="D68" s="1831"/>
      <c r="E68" s="1831"/>
      <c r="F68" s="1831"/>
      <c r="G68" s="1831"/>
      <c r="H68" s="1831"/>
      <c r="I68" s="1831"/>
      <c r="J68" s="1831"/>
      <c r="K68" s="438"/>
      <c r="L68" s="438"/>
      <c r="M68" s="1832"/>
      <c r="N68" s="1815"/>
      <c r="O68" s="1815"/>
      <c r="P68" s="1816"/>
      <c r="Q68" s="1785"/>
    </row>
    <row r="69" spans="1:17" ht="14.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4.5"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4.5" thickBot="1">
      <c r="A71" s="1833"/>
      <c r="B71" s="1825"/>
      <c r="C71" s="1838"/>
      <c r="D71" s="1819"/>
      <c r="E71" s="1819"/>
      <c r="F71" s="1819"/>
      <c r="G71" s="1819"/>
      <c r="H71" s="1819"/>
      <c r="I71" s="1819"/>
      <c r="J71" s="1819"/>
      <c r="K71" s="1819"/>
      <c r="L71" s="1819"/>
      <c r="M71" s="1820"/>
      <c r="N71" s="1821"/>
      <c r="O71" s="1821"/>
      <c r="P71" s="1836"/>
      <c r="Q71" s="1837"/>
    </row>
    <row r="72" spans="1:17" s="1737" customFormat="1" ht="14.5"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4.5" thickBot="1">
      <c r="A73" s="1833"/>
      <c r="B73" s="1825"/>
      <c r="C73" s="1838"/>
      <c r="D73" s="1838"/>
      <c r="E73" s="1838"/>
      <c r="F73" s="1838"/>
      <c r="G73" s="1838"/>
      <c r="H73" s="1841"/>
      <c r="I73" s="1841"/>
      <c r="J73" s="1841"/>
      <c r="K73" s="1841"/>
      <c r="L73" s="1841"/>
      <c r="M73" s="1842"/>
      <c r="N73" s="1835"/>
      <c r="O73" s="1835"/>
      <c r="P73" s="1836"/>
      <c r="Q73" s="1837"/>
    </row>
    <row r="74" spans="1:17" s="1737" customFormat="1" ht="14.5"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4.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4.5"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4.5"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4.5"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4.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4.5"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4.5"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4.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4.5" thickTop="1">
      <c r="A88" s="1853"/>
      <c r="B88" s="1822" t="s">
        <v>2261</v>
      </c>
      <c r="C88" s="3336" t="s">
        <v>3047</v>
      </c>
      <c r="D88" s="3348" t="s">
        <v>3054</v>
      </c>
      <c r="E88" s="3348" t="s">
        <v>3055</v>
      </c>
      <c r="F88" s="3349" t="s">
        <v>3048</v>
      </c>
      <c r="G88" s="3348" t="s">
        <v>3056</v>
      </c>
      <c r="H88" s="3348" t="s">
        <v>3049</v>
      </c>
      <c r="I88" s="3348" t="s">
        <v>3050</v>
      </c>
      <c r="J88" s="3348" t="s">
        <v>3053</v>
      </c>
      <c r="K88" s="3348" t="s">
        <v>3051</v>
      </c>
      <c r="L88" s="3348" t="s">
        <v>3052</v>
      </c>
      <c r="M88" s="1854"/>
      <c r="N88" s="1806"/>
      <c r="O88" s="1806"/>
      <c r="P88" s="1816"/>
      <c r="Q88" s="1785"/>
    </row>
    <row r="89" spans="1:17" s="1652" customFormat="1" ht="14.5"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4.5" thickTop="1">
      <c r="A90" s="1833"/>
      <c r="B90" s="1822" t="str">
        <f>B27</f>
        <v>楼层</v>
      </c>
      <c r="C90" s="3308" t="s">
        <v>3073</v>
      </c>
      <c r="D90" s="3308" t="s">
        <v>3074</v>
      </c>
      <c r="E90" s="3308" t="s">
        <v>3075</v>
      </c>
      <c r="F90" s="3338"/>
      <c r="G90" s="3337"/>
      <c r="H90" s="3337"/>
      <c r="I90" s="3337"/>
      <c r="J90" s="3337"/>
      <c r="K90" s="3337"/>
      <c r="L90" s="3337"/>
      <c r="M90" s="1834"/>
      <c r="N90" s="1835"/>
      <c r="O90" s="1835"/>
      <c r="P90" s="1836"/>
      <c r="Q90" s="1837"/>
    </row>
    <row r="91" spans="1:17" s="1737" customFormat="1" ht="14.5"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4.5" thickTop="1">
      <c r="A92" s="1817"/>
      <c r="B92" s="1822">
        <f>B28</f>
        <v>111</v>
      </c>
      <c r="C92" s="468"/>
      <c r="D92" s="468"/>
      <c r="E92" s="468"/>
      <c r="F92" s="468"/>
      <c r="G92" s="1545"/>
      <c r="H92" s="1545"/>
      <c r="I92" s="1545"/>
      <c r="J92" s="1545"/>
      <c r="K92" s="473"/>
      <c r="L92" s="473"/>
      <c r="M92" s="1857"/>
      <c r="N92" s="1815"/>
      <c r="O92" s="1815"/>
      <c r="P92" s="1816"/>
      <c r="Q92" s="1785"/>
    </row>
    <row r="93" spans="1:17" ht="14.5" thickBot="1">
      <c r="A93" s="1817"/>
      <c r="B93" s="1825"/>
      <c r="C93" s="1838"/>
      <c r="D93" s="1819"/>
      <c r="E93" s="1819"/>
      <c r="F93" s="1819"/>
      <c r="G93" s="1819"/>
      <c r="H93" s="1819"/>
      <c r="I93" s="1819"/>
      <c r="J93" s="1819"/>
      <c r="K93" s="1819"/>
      <c r="L93" s="1819"/>
      <c r="M93" s="1820"/>
      <c r="N93" s="1821"/>
      <c r="O93" s="1821"/>
      <c r="P93" s="1816"/>
      <c r="Q93" s="1785"/>
    </row>
    <row r="94" spans="1:17" ht="14.5" thickTop="1">
      <c r="A94" s="1817"/>
      <c r="B94" s="1822">
        <f>B29</f>
        <v>111</v>
      </c>
      <c r="C94" s="468"/>
      <c r="D94" s="468"/>
      <c r="E94" s="468"/>
      <c r="F94" s="468"/>
      <c r="G94" s="1545"/>
      <c r="H94" s="1545"/>
      <c r="I94" s="1545"/>
      <c r="J94" s="1545"/>
      <c r="K94" s="473"/>
      <c r="L94" s="473"/>
      <c r="M94" s="1857"/>
      <c r="N94" s="1815"/>
      <c r="O94" s="1815"/>
      <c r="P94" s="1816"/>
      <c r="Q94" s="1785"/>
    </row>
    <row r="95" spans="1:17" ht="14.5" thickBot="1">
      <c r="A95" s="1817"/>
      <c r="B95" s="1825"/>
      <c r="C95" s="1838"/>
      <c r="D95" s="1838"/>
      <c r="E95" s="1838"/>
      <c r="F95" s="1838"/>
      <c r="G95" s="1819"/>
      <c r="H95" s="1819"/>
      <c r="I95" s="1819"/>
      <c r="J95" s="1819"/>
      <c r="K95" s="1819"/>
      <c r="L95" s="1819"/>
      <c r="M95" s="1820"/>
      <c r="N95" s="1821"/>
      <c r="O95" s="1821"/>
      <c r="P95" s="1816"/>
      <c r="Q95" s="1785"/>
    </row>
    <row r="96" spans="1:17" ht="14.5" thickTop="1">
      <c r="A96" s="1817"/>
      <c r="B96" s="1822">
        <f>B30</f>
        <v>111</v>
      </c>
      <c r="C96" s="468"/>
      <c r="D96" s="468"/>
      <c r="E96" s="468"/>
      <c r="F96" s="468"/>
      <c r="G96" s="1545"/>
      <c r="H96" s="1545"/>
      <c r="I96" s="1545"/>
      <c r="J96" s="1545"/>
      <c r="K96" s="473"/>
      <c r="L96" s="473"/>
      <c r="M96" s="1857"/>
      <c r="N96" s="1815"/>
      <c r="O96" s="1815"/>
      <c r="P96" s="1816"/>
      <c r="Q96" s="1785"/>
    </row>
    <row r="97" spans="1:17" ht="14.5" thickBot="1">
      <c r="A97" s="1817"/>
      <c r="B97" s="1825"/>
      <c r="C97" s="1846"/>
      <c r="D97" s="1846"/>
      <c r="E97" s="1846"/>
      <c r="F97" s="1846"/>
      <c r="G97" s="1819"/>
      <c r="H97" s="1819"/>
      <c r="I97" s="1819"/>
      <c r="J97" s="1819"/>
      <c r="K97" s="1819"/>
      <c r="L97" s="1819"/>
      <c r="M97" s="1820"/>
      <c r="N97" s="1821"/>
      <c r="O97" s="1821"/>
      <c r="P97" s="1816"/>
      <c r="Q97" s="1785"/>
    </row>
    <row r="98" spans="1:17" ht="14.5" thickTop="1">
      <c r="A98" s="1817"/>
      <c r="B98" s="1828">
        <f>B31</f>
        <v>111</v>
      </c>
      <c r="C98" s="1858"/>
      <c r="D98" s="1858"/>
      <c r="E98" s="1858"/>
      <c r="F98" s="1858"/>
      <c r="G98" s="1858"/>
      <c r="H98" s="1858"/>
      <c r="I98" s="1858"/>
      <c r="J98" s="1858"/>
      <c r="K98" s="477"/>
      <c r="L98" s="477"/>
      <c r="M98" s="1859"/>
      <c r="N98" s="1815"/>
      <c r="O98" s="1815"/>
      <c r="P98" s="1816"/>
      <c r="Q98" s="1785"/>
    </row>
    <row r="99" spans="1:17" ht="14.5" thickBot="1">
      <c r="A99" s="1860"/>
      <c r="B99" s="1845"/>
      <c r="C99" s="1861"/>
      <c r="D99" s="1861"/>
      <c r="E99" s="1861"/>
      <c r="F99" s="1861"/>
      <c r="G99" s="1861"/>
      <c r="H99" s="1861"/>
      <c r="I99" s="1861"/>
      <c r="J99" s="1861"/>
      <c r="K99" s="1861"/>
      <c r="L99" s="1861"/>
      <c r="M99" s="1862"/>
      <c r="N99" s="1821"/>
      <c r="O99" s="1821"/>
      <c r="P99" s="1816"/>
      <c r="Q99" s="1785"/>
    </row>
    <row r="100" spans="1:17">
      <c r="A100" s="1810" t="s">
        <v>2213</v>
      </c>
      <c r="B100" s="1811" t="s">
        <v>2262</v>
      </c>
      <c r="C100" s="3307" t="s">
        <v>3046</v>
      </c>
      <c r="D100" s="3360" t="s">
        <v>3084</v>
      </c>
      <c r="E100" s="1813"/>
      <c r="F100" s="1813"/>
      <c r="G100" s="1813"/>
      <c r="H100" s="1813"/>
      <c r="I100" s="1813"/>
      <c r="J100" s="1813"/>
      <c r="K100" s="417"/>
      <c r="L100" s="417"/>
      <c r="M100" s="1814"/>
      <c r="N100" s="1815"/>
      <c r="O100" s="1815"/>
      <c r="P100" s="1816"/>
      <c r="Q100" s="1785"/>
    </row>
    <row r="101" spans="1:17" ht="14.5"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4.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4.5" thickBot="1">
      <c r="A104" s="1833"/>
      <c r="B104" s="1825"/>
      <c r="C104" s="1838">
        <v>100</v>
      </c>
      <c r="D104" s="1819">
        <f>C104-2</f>
        <v>98</v>
      </c>
      <c r="E104" s="1819">
        <f t="shared" ref="E104:F104" si="24">D104-2</f>
        <v>96</v>
      </c>
      <c r="F104" s="1819">
        <f t="shared" si="24"/>
        <v>94</v>
      </c>
      <c r="G104" s="1819"/>
      <c r="H104" s="1819"/>
      <c r="I104" s="1819"/>
      <c r="J104" s="1819"/>
      <c r="K104" s="1819"/>
      <c r="L104" s="1819"/>
      <c r="M104" s="1819"/>
      <c r="N104" s="1821"/>
      <c r="O104" s="1821"/>
      <c r="P104" s="1836"/>
      <c r="Q104" s="1837"/>
    </row>
    <row r="105" spans="1:17" ht="14.5" thickTop="1">
      <c r="A105" s="1867"/>
      <c r="B105" s="1822" t="s">
        <v>2264</v>
      </c>
      <c r="C105" s="3350" t="s">
        <v>2991</v>
      </c>
      <c r="D105" s="468"/>
      <c r="E105" s="1545"/>
      <c r="F105" s="1545"/>
      <c r="G105" s="1545"/>
      <c r="H105" s="1545"/>
      <c r="I105" s="1545"/>
      <c r="J105" s="1545"/>
      <c r="K105" s="473"/>
      <c r="L105" s="473"/>
      <c r="M105" s="1857"/>
      <c r="N105" s="1815"/>
      <c r="O105" s="1815"/>
      <c r="P105" s="1816"/>
      <c r="Q105" s="1785"/>
    </row>
    <row r="106" spans="1:17" ht="14.5"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4.5" thickTop="1">
      <c r="A107" s="1867"/>
      <c r="B107" s="1822" t="s">
        <v>2265</v>
      </c>
      <c r="C107" s="3351" t="s">
        <v>3057</v>
      </c>
      <c r="D107" s="3351" t="s">
        <v>3058</v>
      </c>
      <c r="E107" s="1545"/>
      <c r="F107" s="1545"/>
      <c r="G107" s="1545"/>
      <c r="H107" s="1545"/>
      <c r="I107" s="1545"/>
      <c r="J107" s="1545"/>
      <c r="K107" s="473"/>
      <c r="L107" s="473"/>
      <c r="M107" s="1857"/>
      <c r="N107" s="1815"/>
      <c r="O107" s="1815"/>
      <c r="P107" s="1816"/>
      <c r="Q107" s="1785"/>
    </row>
    <row r="108" spans="1:17" ht="14.5"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4.5" thickTop="1">
      <c r="A109" s="1867"/>
      <c r="B109" s="1822" t="s">
        <v>2266</v>
      </c>
      <c r="C109" s="3352" t="s">
        <v>2998</v>
      </c>
      <c r="D109" s="3352" t="s">
        <v>3059</v>
      </c>
      <c r="E109" s="3352" t="s">
        <v>3060</v>
      </c>
      <c r="F109" s="3353" t="s">
        <v>3061</v>
      </c>
      <c r="G109" s="1545"/>
      <c r="H109" s="1545"/>
      <c r="I109" s="1545"/>
      <c r="J109" s="1545"/>
      <c r="K109" s="473"/>
      <c r="L109" s="473"/>
      <c r="M109" s="1857"/>
      <c r="N109" s="1815"/>
      <c r="O109" s="1815"/>
      <c r="P109" s="1816"/>
      <c r="Q109" s="1785"/>
    </row>
    <row r="110" spans="1:17" ht="14.5"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4.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4.5"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4.5" thickTop="1">
      <c r="A114" s="1867"/>
      <c r="B114" s="1822" t="s">
        <v>2268</v>
      </c>
      <c r="C114" s="3356" t="s">
        <v>3062</v>
      </c>
      <c r="D114" s="468"/>
      <c r="E114" s="1545"/>
      <c r="F114" s="1545"/>
      <c r="G114" s="1545"/>
      <c r="H114" s="1545"/>
      <c r="I114" s="1545"/>
      <c r="J114" s="1545"/>
      <c r="K114" s="473"/>
      <c r="L114" s="473"/>
      <c r="M114" s="1857"/>
      <c r="N114" s="1815"/>
      <c r="O114" s="1815"/>
      <c r="P114" s="1816"/>
      <c r="Q114" s="1785"/>
    </row>
    <row r="115" spans="1:17" ht="14.5"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4.5" thickTop="1">
      <c r="A116" s="1867"/>
      <c r="B116" s="1822" t="s">
        <v>2269</v>
      </c>
      <c r="C116" s="3357" t="s">
        <v>3063</v>
      </c>
      <c r="D116" s="468"/>
      <c r="E116" s="468"/>
      <c r="F116" s="468"/>
      <c r="G116" s="468"/>
      <c r="H116" s="1545"/>
      <c r="I116" s="1545"/>
      <c r="J116" s="1545"/>
      <c r="K116" s="473"/>
      <c r="L116" s="473"/>
      <c r="M116" s="1857"/>
      <c r="N116" s="1815"/>
      <c r="O116" s="1815"/>
      <c r="P116" s="1816"/>
      <c r="Q116" s="1785"/>
    </row>
    <row r="117" spans="1:17" ht="14.5"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4.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4.5"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9"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4.5" thickBot="1">
      <c r="A121" s="1833"/>
      <c r="B121" s="1818"/>
      <c r="C121" s="1838"/>
      <c r="D121" s="1819"/>
      <c r="E121" s="1819"/>
      <c r="F121" s="1819"/>
      <c r="G121" s="1819"/>
      <c r="H121" s="1819"/>
      <c r="I121" s="1819"/>
      <c r="J121" s="1819"/>
      <c r="K121" s="1819"/>
      <c r="L121" s="1819"/>
      <c r="M121" s="1819"/>
      <c r="N121" s="1835"/>
      <c r="O121" s="1835"/>
      <c r="P121" s="1836"/>
      <c r="Q121" s="1837"/>
    </row>
    <row r="122" spans="1:17" ht="14.5" thickTop="1">
      <c r="A122" s="1867"/>
      <c r="B122" s="1822" t="s">
        <v>2271</v>
      </c>
      <c r="C122" s="3354" t="s">
        <v>2998</v>
      </c>
      <c r="D122" s="3354" t="s">
        <v>3059</v>
      </c>
      <c r="E122" s="3354" t="s">
        <v>3060</v>
      </c>
      <c r="F122" s="3355" t="s">
        <v>3082</v>
      </c>
      <c r="G122" s="1545"/>
      <c r="H122" s="1545"/>
      <c r="I122" s="1545"/>
      <c r="J122" s="1545"/>
      <c r="K122" s="473"/>
      <c r="L122" s="473"/>
      <c r="M122" s="1857"/>
      <c r="N122" s="1815"/>
      <c r="O122" s="1815"/>
      <c r="P122" s="1816"/>
      <c r="Q122" s="1785"/>
    </row>
    <row r="123" spans="1:17" ht="14.5" thickBot="1">
      <c r="A123" s="1817"/>
      <c r="B123" s="1825"/>
      <c r="C123" s="1826">
        <v>100</v>
      </c>
      <c r="D123" s="1826">
        <f t="shared" ref="D123:M123" si="30">C123-$K42</f>
        <v>98.5</v>
      </c>
      <c r="E123" s="1826">
        <f t="shared" si="30"/>
        <v>97</v>
      </c>
      <c r="F123" s="1826">
        <f t="shared" si="30"/>
        <v>95.5</v>
      </c>
      <c r="G123" s="1826">
        <f t="shared" si="30"/>
        <v>94</v>
      </c>
      <c r="H123" s="1826">
        <f t="shared" si="30"/>
        <v>92.5</v>
      </c>
      <c r="I123" s="1826">
        <f t="shared" si="30"/>
        <v>91</v>
      </c>
      <c r="J123" s="1826">
        <f t="shared" si="30"/>
        <v>89.5</v>
      </c>
      <c r="K123" s="1826">
        <f t="shared" si="30"/>
        <v>88</v>
      </c>
      <c r="L123" s="1826">
        <f t="shared" si="30"/>
        <v>86.5</v>
      </c>
      <c r="M123" s="1826">
        <f t="shared" si="30"/>
        <v>85</v>
      </c>
      <c r="N123" s="1821"/>
      <c r="O123" s="1821"/>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4.5"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4.5" thickBot="1">
      <c r="A127" s="1833"/>
      <c r="B127" s="1825"/>
      <c r="C127" s="1838"/>
      <c r="D127" s="1819"/>
      <c r="E127" s="1819"/>
      <c r="F127" s="1819"/>
      <c r="G127" s="1838"/>
      <c r="H127" s="1841"/>
      <c r="I127" s="1841"/>
      <c r="J127" s="1841"/>
      <c r="K127" s="1841"/>
      <c r="L127" s="1841"/>
      <c r="M127" s="1842"/>
      <c r="N127" s="1835"/>
      <c r="O127" s="1835"/>
      <c r="P127" s="1836"/>
      <c r="Q127" s="1837"/>
    </row>
    <row r="128" spans="1:17" ht="14.5"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4.5" thickBot="1">
      <c r="A129" s="1817"/>
      <c r="B129" s="1825"/>
      <c r="C129" s="1838"/>
      <c r="D129" s="1838"/>
      <c r="E129" s="1838"/>
      <c r="F129" s="1838"/>
      <c r="G129" s="1819"/>
      <c r="H129" s="1819"/>
      <c r="I129" s="1819"/>
      <c r="J129" s="1819"/>
      <c r="K129" s="1819"/>
      <c r="L129" s="1819"/>
      <c r="M129" s="1820"/>
      <c r="N129" s="1821"/>
      <c r="O129" s="1821"/>
      <c r="P129" s="1816"/>
      <c r="Q129" s="1785"/>
    </row>
    <row r="130" spans="1:17" ht="14.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4.5" thickBot="1">
      <c r="A131" s="1860"/>
      <c r="B131" s="1845"/>
      <c r="C131" s="1846"/>
      <c r="D131" s="1846"/>
      <c r="E131" s="1846"/>
      <c r="F131" s="1846"/>
      <c r="G131" s="1861"/>
      <c r="H131" s="1861"/>
      <c r="I131" s="1861"/>
      <c r="J131" s="1861"/>
      <c r="K131" s="1861"/>
      <c r="L131" s="1861"/>
      <c r="M131" s="1862"/>
      <c r="N131" s="1821"/>
      <c r="O131" s="1821"/>
      <c r="P131" s="1816"/>
      <c r="Q131" s="1785"/>
    </row>
    <row r="136" spans="1:17" ht="14.5" thickBot="1">
      <c r="B136" s="1540" t="s">
        <v>2273</v>
      </c>
    </row>
    <row r="137" spans="1:17" ht="15.5">
      <c r="B137" s="1875" t="s">
        <v>2274</v>
      </c>
      <c r="C137" s="1876"/>
      <c r="D137" s="1876"/>
      <c r="E137" s="1876"/>
      <c r="F137" s="1876"/>
      <c r="G137" s="1877"/>
      <c r="H137" s="1878"/>
      <c r="I137" s="1879" t="s">
        <v>2275</v>
      </c>
      <c r="J137" s="1876"/>
      <c r="K137" s="1880"/>
    </row>
    <row r="138" spans="1:17" ht="15.5">
      <c r="B138" s="1881"/>
      <c r="C138" s="1882" t="s">
        <v>2276</v>
      </c>
      <c r="D138" s="1882" t="s">
        <v>2277</v>
      </c>
      <c r="E138" s="1883" t="s">
        <v>2278</v>
      </c>
      <c r="F138" s="1884" t="s">
        <v>2279</v>
      </c>
      <c r="G138" s="1882" t="s">
        <v>2277</v>
      </c>
      <c r="H138" s="1885" t="s">
        <v>2278</v>
      </c>
      <c r="I138" s="1886"/>
      <c r="J138" s="1882" t="s">
        <v>2280</v>
      </c>
      <c r="K138" s="1885" t="s">
        <v>2281</v>
      </c>
    </row>
    <row r="139" spans="1:17" ht="15.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5">
      <c r="B140" s="1895">
        <v>5</v>
      </c>
      <c r="C140" s="1896">
        <v>100</v>
      </c>
      <c r="D140" s="1896"/>
      <c r="E140" s="1897"/>
      <c r="F140" s="1898">
        <v>102</v>
      </c>
      <c r="G140" s="1896"/>
      <c r="H140" s="1899"/>
      <c r="I140" s="1900" t="s">
        <v>2284</v>
      </c>
      <c r="J140" s="1901">
        <f>ROUNDUP((J139-1)/2,0)</f>
        <v>10</v>
      </c>
      <c r="K140" s="1902">
        <v>100</v>
      </c>
    </row>
    <row r="141" spans="1:17" ht="15.5">
      <c r="B141" s="1895">
        <v>4</v>
      </c>
      <c r="C141" s="1896">
        <v>102</v>
      </c>
      <c r="D141" s="1896"/>
      <c r="E141" s="1897"/>
      <c r="F141" s="1898">
        <v>101.5</v>
      </c>
      <c r="G141" s="1896"/>
      <c r="H141" s="1899"/>
      <c r="I141" s="1900" t="s">
        <v>2285</v>
      </c>
      <c r="J141" s="1901">
        <v>1</v>
      </c>
      <c r="K141" s="1903">
        <f>ROUND(100+(J141-J140)*K139*100,1)</f>
        <v>96.4</v>
      </c>
    </row>
    <row r="142" spans="1:17" ht="15.5">
      <c r="B142" s="1895">
        <v>3</v>
      </c>
      <c r="C142" s="1896">
        <v>103</v>
      </c>
      <c r="D142" s="1896"/>
      <c r="E142" s="1897"/>
      <c r="F142" s="1898">
        <v>101</v>
      </c>
      <c r="G142" s="1896"/>
      <c r="H142" s="1899"/>
      <c r="I142" s="1900" t="s">
        <v>2286</v>
      </c>
      <c r="J142" s="1901">
        <f>J139</f>
        <v>20</v>
      </c>
      <c r="K142" s="1904">
        <v>95</v>
      </c>
    </row>
    <row r="143" spans="1:17" ht="15.5">
      <c r="B143" s="1895">
        <v>2</v>
      </c>
      <c r="C143" s="1896">
        <v>100</v>
      </c>
      <c r="D143" s="1896"/>
      <c r="E143" s="1897"/>
      <c r="F143" s="1898">
        <v>100.5</v>
      </c>
      <c r="G143" s="1896"/>
      <c r="H143" s="1899"/>
      <c r="I143" s="1900" t="s">
        <v>2287</v>
      </c>
      <c r="J143" s="1896">
        <v>15</v>
      </c>
      <c r="K143" s="1903">
        <f>ROUND(100+(J143-J140)*K139*100,1)</f>
        <v>102</v>
      </c>
    </row>
    <row r="144" spans="1:17" ht="15.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6"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c r="B147" s="1540" t="s">
        <v>2291</v>
      </c>
    </row>
    <row r="148" spans="2:11">
      <c r="B148" s="1540" t="s">
        <v>2292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20" stopIfTrue="1" operator="containsText" text="超过">
      <formula>NOT(ISERROR(SEARCH("超过",F52)))</formula>
    </cfRule>
  </conditionalFormatting>
  <conditionalFormatting sqref="J54">
    <cfRule type="containsText" dxfId="124" priority="19" stopIfTrue="1" operator="containsText" text="超过">
      <formula>NOT(ISERROR(SEARCH("超过",J54)))</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J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G54">
    <cfRule type="expression" dxfId="119" priority="13" stopIfTrue="1">
      <formula>$H$54="超过30%"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I52">
    <cfRule type="expression" dxfId="114" priority="8" stopIfTrue="1">
      <formula>$J$52="超过30%"</formula>
    </cfRule>
  </conditionalFormatting>
  <conditionalFormatting sqref="I53">
    <cfRule type="expression" dxfId="113" priority="7" stopIfTrue="1">
      <formula>$J$53="超过20%"</formula>
    </cfRule>
  </conditionalFormatting>
  <conditionalFormatting sqref="I54">
    <cfRule type="expression" dxfId="112" priority="6"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topLeftCell="A31" zoomScale="85" zoomScaleNormal="60" zoomScaleSheetLayoutView="85" workbookViewId="0">
      <selection activeCell="E46" sqref="E46"/>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0" customWidth="1"/>
    <col min="15" max="15" width="5.26953125" style="650" customWidth="1"/>
    <col min="16" max="16" width="24.90625" style="650" customWidth="1"/>
    <col min="17" max="17" width="13.7265625" style="654" customWidth="1"/>
    <col min="18" max="18" width="26.08984375" style="650" customWidth="1"/>
    <col min="19" max="19" width="1.453125" style="650" customWidth="1"/>
    <col min="20" max="37" width="9" style="650"/>
    <col min="38" max="16384" width="9" style="225"/>
  </cols>
  <sheetData>
    <row r="1" spans="1:37" s="223" customFormat="1" ht="21">
      <c r="A1" s="221" t="s">
        <v>1946</v>
      </c>
      <c r="B1" s="222"/>
      <c r="C1" s="609"/>
      <c r="D1" s="1592" t="s">
        <v>2686</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142</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13143</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92503</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92388</v>
      </c>
      <c r="D6" s="36" t="s">
        <v>2640</v>
      </c>
      <c r="E6" s="235" t="s">
        <v>1958</v>
      </c>
      <c r="F6" s="236">
        <f>'数据-取费表'!B30</f>
        <v>2.6</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108.17</v>
      </c>
      <c r="G7" s="949"/>
      <c r="H7" s="237"/>
      <c r="I7" s="238"/>
      <c r="J7" s="239"/>
      <c r="K7" s="240"/>
      <c r="L7" s="235" t="s">
        <v>1959</v>
      </c>
      <c r="M7" s="236">
        <f>IF('数据-取费表'!B42="",IF(D1="仅计算典型户型",'数据-取费表'!E5,'数据-取费表'!B5),'数据-取费表'!B42)</f>
        <v>108.17</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115</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480142</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432680</v>
      </c>
      <c r="D14" s="1295" t="s">
        <v>1977</v>
      </c>
      <c r="E14" s="1296"/>
      <c r="F14" s="797"/>
      <c r="G14" s="950"/>
      <c r="H14" s="253" t="s">
        <v>1956</v>
      </c>
      <c r="I14" s="235" t="s">
        <v>1978</v>
      </c>
      <c r="J14" s="13">
        <f ca="1">C29</f>
        <v>623561</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12980</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6236</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21634</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6490</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473784</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9476</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6236</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20297</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-6236</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72489</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623561</v>
      </c>
      <c r="D29" s="1073"/>
      <c r="E29" s="1071"/>
      <c r="F29" s="1074"/>
      <c r="G29" s="650"/>
      <c r="H29" s="271" t="s">
        <v>24</v>
      </c>
      <c r="I29" s="272" t="s">
        <v>2051</v>
      </c>
      <c r="J29" s="273">
        <f ca="1">ROUND(J26/(1+F40)^F41,0)</f>
        <v>0</v>
      </c>
      <c r="K29" s="274" t="s">
        <v>2052</v>
      </c>
      <c r="L29" s="275"/>
      <c r="M29" s="276">
        <f>IF(D1="仅计算典型户型",'数据-取费表'!E5,'数据-取费表'!B5)</f>
        <v>108.17</v>
      </c>
    </row>
    <row r="30" spans="1:37" ht="18" customHeight="1" thickTop="1">
      <c r="A30" s="1060" t="s">
        <v>14</v>
      </c>
      <c r="B30" s="1061" t="s">
        <v>2053</v>
      </c>
      <c r="C30" s="243">
        <f ca="1">ROUND(C31+C36+C37+C38,0)</f>
        <v>13800</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6159</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38411</v>
      </c>
      <c r="K34" s="943"/>
      <c r="L34" s="944"/>
      <c r="M34" s="944"/>
    </row>
    <row r="35" spans="1:18" ht="24.65" customHeight="1">
      <c r="A35" s="1058"/>
      <c r="B35" s="244"/>
      <c r="C35" s="17"/>
      <c r="D35" s="264"/>
      <c r="E35" s="235" t="s">
        <v>2015</v>
      </c>
      <c r="F35" s="236">
        <f>IF(D1="仅计算典型户型",'数据-取费表'!E6,'数据-取费表'!B6)</f>
        <v>0</v>
      </c>
      <c r="G35" s="650" t="s">
        <v>2754</v>
      </c>
      <c r="H35" s="929"/>
      <c r="I35" s="282" t="s">
        <v>2061</v>
      </c>
      <c r="J35" s="283">
        <f>'数据-取费表'!B18</f>
        <v>0.08</v>
      </c>
      <c r="K35" s="942"/>
      <c r="L35" s="941"/>
      <c r="M35" s="941"/>
    </row>
    <row r="36" spans="1:18" ht="18" customHeight="1">
      <c r="A36" s="1057" t="s">
        <v>1963</v>
      </c>
      <c r="B36" s="235" t="s">
        <v>2062</v>
      </c>
      <c r="C36" s="13">
        <f ca="1">ROUND(C29*F36,0)</f>
        <v>6236</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480</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925</v>
      </c>
      <c r="D38" s="1073" t="s">
        <v>2028</v>
      </c>
      <c r="E38" s="1071" t="s">
        <v>2024</v>
      </c>
      <c r="F38" s="1066">
        <f>'数据-取费表'!B47</f>
        <v>0.01</v>
      </c>
      <c r="G38" s="650"/>
      <c r="H38" s="941"/>
      <c r="I38" s="280" t="s">
        <v>2066</v>
      </c>
      <c r="J38" s="136">
        <f ca="1">ROUND(J34/C39,3)</f>
        <v>0.48799999999999999</v>
      </c>
      <c r="K38" s="946"/>
      <c r="L38" s="941"/>
      <c r="M38" s="941"/>
    </row>
    <row r="39" spans="1:18" ht="18" customHeight="1" thickTop="1">
      <c r="A39" s="1060" t="s">
        <v>22</v>
      </c>
      <c r="B39" s="1075" t="s">
        <v>2067</v>
      </c>
      <c r="C39" s="243">
        <f ca="1">C5-C30</f>
        <v>78703</v>
      </c>
      <c r="D39" s="1076" t="s">
        <v>2068</v>
      </c>
      <c r="E39" s="1077"/>
      <c r="F39" s="1078"/>
      <c r="G39" s="650"/>
      <c r="H39" s="941"/>
      <c r="I39" s="280" t="s">
        <v>2069</v>
      </c>
      <c r="J39" s="136">
        <f ca="1">1-J38</f>
        <v>0.51200000000000001</v>
      </c>
      <c r="K39" s="946"/>
      <c r="L39" s="941"/>
      <c r="M39" s="941"/>
    </row>
    <row r="40" spans="1:18" s="650" customFormat="1" ht="18" customHeight="1">
      <c r="A40" s="232" t="s">
        <v>23</v>
      </c>
      <c r="B40" s="233" t="s">
        <v>2070</v>
      </c>
      <c r="C40" s="234">
        <f ca="1">ROUND(C39*(1-((1+F42)/(1+F40))^F41)/(F40-F42),0)</f>
        <v>1377662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0.34899999999999998</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0.65100000000000002</v>
      </c>
      <c r="K42" s="945"/>
      <c r="L42" s="948"/>
      <c r="M42" s="948"/>
      <c r="Q42" s="654"/>
    </row>
    <row r="43" spans="1:18" s="650" customFormat="1" ht="18" customHeight="1" thickBot="1">
      <c r="A43" s="271" t="s">
        <v>24</v>
      </c>
      <c r="B43" s="272" t="s">
        <v>2073</v>
      </c>
      <c r="C43" s="273">
        <f ca="1">ROUND(C40/F43,0)</f>
        <v>12736</v>
      </c>
      <c r="D43" s="274" t="s">
        <v>2074</v>
      </c>
      <c r="E43" s="275" t="s">
        <v>2075</v>
      </c>
      <c r="F43" s="276">
        <f>IF(D1="仅计算典型户型",'数据-取费表'!E5,'数据-取费表'!B5)</f>
        <v>108.17</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1377662</v>
      </c>
      <c r="R45" s="1047" t="s">
        <v>2082</v>
      </c>
    </row>
    <row r="46" spans="1:18" s="650" customFormat="1" ht="18" customHeight="1" thickBot="1">
      <c r="A46" s="647"/>
      <c r="D46" s="647"/>
      <c r="E46" s="647"/>
      <c r="F46" s="647"/>
      <c r="K46" s="651"/>
      <c r="O46" s="1044" t="s">
        <v>950</v>
      </c>
      <c r="P46" s="1045" t="s">
        <v>2083</v>
      </c>
      <c r="Q46" s="1046">
        <f ca="1">J61</f>
        <v>43968</v>
      </c>
      <c r="R46" s="1047" t="s">
        <v>2084</v>
      </c>
    </row>
    <row r="47" spans="1:18" s="650" customFormat="1" ht="21.5" thickBot="1">
      <c r="A47" s="1494" t="s">
        <v>2085</v>
      </c>
      <c r="C47" s="990">
        <f ca="1">IF(C2="元",C69-C40,ROUND((C69-C40)/10000,0))</f>
        <v>-147</v>
      </c>
      <c r="D47" s="1495" t="str">
        <f>C2</f>
        <v>万元</v>
      </c>
      <c r="E47" s="647"/>
      <c r="F47" s="647"/>
      <c r="I47" s="1496" t="s">
        <v>2086</v>
      </c>
      <c r="J47" s="1020"/>
      <c r="K47" s="1021"/>
      <c r="L47" s="1034">
        <f ca="1">IF(M48="住宅",0,IF(L49&gt;J52,L61,J61))</f>
        <v>43968</v>
      </c>
      <c r="O47" s="1048" t="s">
        <v>951</v>
      </c>
      <c r="P47" s="1045" t="s">
        <v>2087</v>
      </c>
      <c r="Q47" s="1046">
        <f ca="1">C29</f>
        <v>623561</v>
      </c>
      <c r="R47" s="1047" t="s">
        <v>2082</v>
      </c>
    </row>
    <row r="48" spans="1:18" s="650" customFormat="1" ht="16"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6.5"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7.4999999999999997E-2</v>
      </c>
      <c r="R49" s="1047"/>
    </row>
    <row r="50" spans="1:18" s="650" customFormat="1" ht="16"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6" thickBot="1">
      <c r="A51" s="237"/>
      <c r="B51" s="238"/>
      <c r="C51" s="239"/>
      <c r="D51" s="240"/>
      <c r="E51" s="255" t="s">
        <v>1959</v>
      </c>
      <c r="F51" s="983">
        <f>F7</f>
        <v>108.17</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142</v>
      </c>
      <c r="R51" s="1047" t="s">
        <v>956</v>
      </c>
    </row>
    <row r="52" spans="1:18" s="650" customFormat="1" ht="16" thickBot="1">
      <c r="A52" s="237"/>
      <c r="B52" s="238"/>
      <c r="C52" s="239"/>
      <c r="D52" s="240"/>
      <c r="E52" s="235" t="s">
        <v>1961</v>
      </c>
      <c r="F52" s="236">
        <f>F8</f>
        <v>365</v>
      </c>
      <c r="I52" s="1505" t="s">
        <v>2108</v>
      </c>
      <c r="J52" s="1025">
        <f>IF(J50="",J51,J50+J51-YEAR('数据-取费表'!B2))</f>
        <v>46</v>
      </c>
      <c r="K52" s="1506" t="s">
        <v>2109</v>
      </c>
      <c r="L52" s="1026">
        <f ca="1">ROUND(-PV('数据-取费表'!B15,J52,(C40-C13*J35)),0)</f>
        <v>25831963</v>
      </c>
      <c r="O52" s="1038" t="s">
        <v>2110</v>
      </c>
      <c r="P52" s="1039"/>
      <c r="Q52" s="1035"/>
      <c r="R52" s="1039"/>
    </row>
    <row r="53" spans="1:18" s="650" customFormat="1" ht="16" thickBot="1">
      <c r="A53" s="241"/>
      <c r="B53" s="242"/>
      <c r="C53" s="243"/>
      <c r="D53" s="244"/>
      <c r="E53" s="235" t="s">
        <v>1962</v>
      </c>
      <c r="F53" s="1033"/>
      <c r="I53" s="1507" t="s">
        <v>2111</v>
      </c>
      <c r="J53" s="1027">
        <v>7.4999999999999997E-2</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45" t="s">
        <v>2639</v>
      </c>
      <c r="L54" s="3646"/>
      <c r="O54" s="1044" t="s">
        <v>949</v>
      </c>
      <c r="P54" s="1045" t="s">
        <v>2081</v>
      </c>
      <c r="Q54" s="1046">
        <f ca="1">C40+J29</f>
        <v>1377662</v>
      </c>
      <c r="R54" s="1047" t="s">
        <v>2082</v>
      </c>
    </row>
    <row r="55" spans="1:18" s="650" customFormat="1" ht="17"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7" thickBot="1">
      <c r="A56" s="1064" t="s">
        <v>1970</v>
      </c>
      <c r="B56" s="1492" t="s">
        <v>1971</v>
      </c>
      <c r="C56" s="1065"/>
      <c r="D56" s="1081"/>
      <c r="E56" s="1511"/>
      <c r="F56" s="1120"/>
      <c r="I56" s="1512" t="s">
        <v>2115</v>
      </c>
      <c r="J56" s="1287">
        <f>ROUND(IF(J48="钢混",J58/J51,1-(1-2%)*(J51-J58)/J51),3)</f>
        <v>0.36699999999999999</v>
      </c>
      <c r="K56" s="1513" t="s">
        <v>2116</v>
      </c>
      <c r="L56" s="1029" t="s">
        <v>2993</v>
      </c>
      <c r="O56" s="1048" t="s">
        <v>951</v>
      </c>
      <c r="P56" s="1045" t="s">
        <v>2117</v>
      </c>
      <c r="Q56" s="1046">
        <f>IF(L56="比较法",L50,IF(L56="基准地价",L51,0))</f>
        <v>0</v>
      </c>
      <c r="R56" s="1047" t="s">
        <v>2082</v>
      </c>
    </row>
    <row r="57" spans="1:18" s="650" customFormat="1" ht="46" thickTop="1" thickBot="1">
      <c r="A57" s="1060">
        <v>2</v>
      </c>
      <c r="B57" s="1061" t="s">
        <v>1972</v>
      </c>
      <c r="C57" s="1119">
        <f ca="1">C13</f>
        <v>480142</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30.5" thickBot="1">
      <c r="A58" s="988"/>
      <c r="B58" s="235" t="s">
        <v>2050</v>
      </c>
      <c r="C58" s="104">
        <f ca="1">C29</f>
        <v>623561</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0.5" thickBot="1">
      <c r="A59" s="248" t="s">
        <v>14</v>
      </c>
      <c r="B59" s="249" t="s">
        <v>2053</v>
      </c>
      <c r="C59" s="250">
        <f ca="1">ROUND(C60+C65+C66+C67,0)</f>
        <v>6716</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0.5"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249424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138</v>
      </c>
      <c r="R60" s="1047" t="s">
        <v>956</v>
      </c>
    </row>
    <row r="61" spans="1:18" s="650" customFormat="1" ht="16"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43968</v>
      </c>
      <c r="K61" s="1517" t="s">
        <v>2130</v>
      </c>
      <c r="L61" s="1030">
        <f>IF(OR(M48="住宅",L49&lt;J52),0,ROUND(L58*(L59/L60-1),0))</f>
        <v>0</v>
      </c>
      <c r="O61" s="1038" t="s">
        <v>2131</v>
      </c>
      <c r="P61" s="1039"/>
      <c r="Q61" s="1035"/>
      <c r="R61" s="1039"/>
    </row>
    <row r="62" spans="1:18" s="650" customFormat="1" ht="16"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1377662</v>
      </c>
      <c r="R63" s="1047" t="s">
        <v>2082</v>
      </c>
    </row>
    <row r="64" spans="1:18" s="650" customFormat="1" ht="17"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2.5" thickBot="1">
      <c r="A65" s="253" t="s">
        <v>19</v>
      </c>
      <c r="B65" s="235" t="s">
        <v>2062</v>
      </c>
      <c r="C65" s="13">
        <f ca="1">ROUND(C58*F65,0)</f>
        <v>6236</v>
      </c>
      <c r="D65" s="1298" t="s">
        <v>2063</v>
      </c>
      <c r="E65" s="235" t="s">
        <v>2007</v>
      </c>
      <c r="F65" s="265">
        <f t="shared" si="0"/>
        <v>0.01</v>
      </c>
      <c r="I65" s="1518" t="s">
        <v>2143</v>
      </c>
      <c r="J65" s="1290">
        <v>50</v>
      </c>
      <c r="K65" s="1290">
        <v>35</v>
      </c>
      <c r="L65" s="1290">
        <v>60</v>
      </c>
      <c r="M65" s="1289">
        <v>0</v>
      </c>
      <c r="O65" s="1048" t="s">
        <v>951</v>
      </c>
      <c r="P65" s="1045" t="s">
        <v>2117</v>
      </c>
      <c r="Q65" s="1050">
        <f ca="1">L52</f>
        <v>25831963</v>
      </c>
      <c r="R65" s="1051" t="s">
        <v>2144</v>
      </c>
    </row>
    <row r="66" spans="1:18" s="650" customFormat="1" ht="17" thickBot="1">
      <c r="A66" s="253" t="s">
        <v>20</v>
      </c>
      <c r="B66" s="235" t="s">
        <v>2022</v>
      </c>
      <c r="C66" s="13">
        <f ca="1">ROUND(C57*F66,0)</f>
        <v>480</v>
      </c>
      <c r="D66" s="1298" t="s">
        <v>2023</v>
      </c>
      <c r="E66" s="235" t="s">
        <v>2024</v>
      </c>
      <c r="F66" s="266">
        <f t="shared" si="0"/>
        <v>1E-3</v>
      </c>
      <c r="I66" s="1518" t="s">
        <v>2145</v>
      </c>
      <c r="J66" s="1290">
        <v>40</v>
      </c>
      <c r="K66" s="1290">
        <v>30</v>
      </c>
      <c r="L66" s="1290">
        <v>50</v>
      </c>
      <c r="M66" s="1288">
        <v>0.02</v>
      </c>
      <c r="O66" s="1048" t="s">
        <v>952</v>
      </c>
      <c r="P66" s="1052" t="s">
        <v>2146</v>
      </c>
      <c r="Q66" s="1046">
        <f ca="1">ROUND(Q67-Q68*Q69,0)</f>
        <v>40292</v>
      </c>
      <c r="R66" s="1047"/>
    </row>
    <row r="67" spans="1:18" s="650" customFormat="1" ht="16" thickBot="1">
      <c r="A67" s="253" t="s">
        <v>21</v>
      </c>
      <c r="B67" s="235" t="s">
        <v>2005</v>
      </c>
      <c r="C67" s="13">
        <f ca="1">ROUND(C49*F67,0)</f>
        <v>0</v>
      </c>
      <c r="D67" s="1298" t="s">
        <v>2028</v>
      </c>
      <c r="E67" s="235" t="s">
        <v>2024</v>
      </c>
      <c r="F67" s="245">
        <f t="shared" si="0"/>
        <v>0.01</v>
      </c>
      <c r="O67" s="1048" t="s">
        <v>957</v>
      </c>
      <c r="P67" s="1052" t="s">
        <v>2147</v>
      </c>
      <c r="Q67" s="1046">
        <f ca="1">C39</f>
        <v>78703</v>
      </c>
      <c r="R67" s="1047" t="s">
        <v>2082</v>
      </c>
    </row>
    <row r="68" spans="1:18" ht="26.5" thickBot="1">
      <c r="A68" s="248" t="s">
        <v>22</v>
      </c>
      <c r="B68" s="41" t="s">
        <v>2032</v>
      </c>
      <c r="C68" s="250">
        <f ca="1">C49-C59</f>
        <v>-6716</v>
      </c>
      <c r="D68" s="1295" t="s">
        <v>2033</v>
      </c>
      <c r="E68" s="1297"/>
      <c r="F68" s="268"/>
      <c r="H68" s="650"/>
      <c r="I68" s="650"/>
      <c r="J68" s="650"/>
      <c r="K68" s="650"/>
      <c r="L68" s="650"/>
      <c r="M68" s="650"/>
      <c r="O68" s="1048" t="s">
        <v>958</v>
      </c>
      <c r="P68" s="1052" t="s">
        <v>2148</v>
      </c>
      <c r="Q68" s="1046">
        <f ca="1">C13</f>
        <v>480142</v>
      </c>
      <c r="R68" s="1047" t="s">
        <v>2082</v>
      </c>
    </row>
    <row r="69" spans="1:18" ht="16" thickBot="1">
      <c r="A69" s="232" t="s">
        <v>23</v>
      </c>
      <c r="B69" s="233" t="s">
        <v>2070</v>
      </c>
      <c r="C69" s="234">
        <f ca="1">ROUND(C68*(1-((1+F71)/(1+F69))^F70)/(F69-F71),0)</f>
        <v>-88327</v>
      </c>
      <c r="D69" s="261" t="s">
        <v>2038</v>
      </c>
      <c r="E69" s="235" t="s">
        <v>2039</v>
      </c>
      <c r="F69" s="245">
        <f>F40</f>
        <v>5.5E-2</v>
      </c>
      <c r="H69" s="650"/>
      <c r="I69" s="650"/>
      <c r="J69" s="650"/>
      <c r="K69" s="650"/>
      <c r="L69" s="650"/>
      <c r="M69" s="650"/>
      <c r="O69" s="1048" t="s">
        <v>959</v>
      </c>
      <c r="P69" s="1052" t="s">
        <v>2149</v>
      </c>
      <c r="Q69" s="1049">
        <f>J35</f>
        <v>0.08</v>
      </c>
      <c r="R69" s="1047"/>
    </row>
    <row r="70" spans="1:18" ht="16"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17" thickBot="1">
      <c r="A71" s="241"/>
      <c r="B71" s="242"/>
      <c r="C71" s="243"/>
      <c r="D71" s="264"/>
      <c r="E71" s="235" t="s">
        <v>2048</v>
      </c>
      <c r="F71" s="1033"/>
      <c r="H71" s="650"/>
      <c r="M71" s="650"/>
      <c r="O71" s="1048" t="s">
        <v>954</v>
      </c>
      <c r="P71" s="1045" t="s">
        <v>2123</v>
      </c>
      <c r="Q71" s="1046" t="e">
        <f>L59</f>
        <v>#DIV/0!</v>
      </c>
      <c r="R71" s="1047" t="s">
        <v>2124</v>
      </c>
    </row>
    <row r="72" spans="1:18" ht="16.5" thickBot="1">
      <c r="A72" s="271" t="s">
        <v>24</v>
      </c>
      <c r="B72" s="272" t="s">
        <v>2073</v>
      </c>
      <c r="C72" s="273">
        <f ca="1">ROUND(C69/F72,0)</f>
        <v>-817</v>
      </c>
      <c r="D72" s="274" t="s">
        <v>2074</v>
      </c>
      <c r="E72" s="275" t="s">
        <v>2075</v>
      </c>
      <c r="F72" s="276">
        <f>F43</f>
        <v>108.17</v>
      </c>
      <c r="O72" s="1048" t="s">
        <v>960</v>
      </c>
      <c r="P72" s="1045" t="str">
        <f>K60</f>
        <v>建筑物剩余耐用年限下的土地年期修正系数Kn</v>
      </c>
      <c r="Q72" s="1046" t="e">
        <f>L60</f>
        <v>#DIV/0!</v>
      </c>
      <c r="R72" s="1047" t="s">
        <v>2127</v>
      </c>
    </row>
    <row r="73" spans="1:18" ht="16" thickBot="1">
      <c r="A73" s="650"/>
      <c r="B73" s="654"/>
      <c r="C73" s="654"/>
      <c r="D73" s="650"/>
      <c r="E73" s="650"/>
      <c r="F73" s="650"/>
      <c r="O73" s="1044" t="s">
        <v>955</v>
      </c>
      <c r="P73" s="1045" t="str">
        <f>IF(C2="元","收益价值(元)","收益价值(万元)")</f>
        <v>收益价值(万元)</v>
      </c>
      <c r="Q73" s="1046">
        <f ca="1">ROUND(IF(C2="元",Q63+Q64,(Q63+Q64)/10000),0)</f>
        <v>138</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07" priority="6">
      <formula>$L$49&gt;$J$52</formula>
    </cfRule>
  </conditionalFormatting>
  <conditionalFormatting sqref="I56">
    <cfRule type="expression" dxfId="106" priority="7">
      <formula>$J$52&gt;$L$49</formula>
    </cfRule>
  </conditionalFormatting>
  <conditionalFormatting sqref="I61">
    <cfRule type="expression" dxfId="105" priority="5">
      <formula>$J$52&gt;$L$49</formula>
    </cfRule>
  </conditionalFormatting>
  <conditionalFormatting sqref="K61">
    <cfRule type="expression" dxfId="104" priority="4">
      <formula>$L$49&gt;$J$52</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5">
    <cfRule type="expression" dxfId="101" priority="1">
      <formula>$F$54="自定义"</formula>
    </cfRule>
  </conditionalFormatting>
  <dataValidations count="10">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D1" xr:uid="{00000000-0002-0000-1500-000002000000}">
      <formula1>"估价对象,仅计算典型户型"</formula1>
    </dataValidation>
    <dataValidation type="list" allowBlank="1" showInputMessage="1" showErrorMessage="1" sqref="J57" xr:uid="{00000000-0002-0000-1500-000003000000}">
      <formula1>判定</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48" xr:uid="{00000000-0002-0000-1500-000005000000}">
      <formula1>"钢,钢混,砖混"</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F10 M10 F54" xr:uid="{00000000-0002-0000-1500-000007000000}">
      <formula1>"押一,押二,押三,自定义"</formula1>
    </dataValidation>
    <dataValidation type="list" allowBlank="1" showInputMessage="1" showErrorMessage="1" sqref="E41" xr:uid="{00000000-0002-0000-1500-000008000000}">
      <formula1>"收益年期(n),设定收益年期(n)"</formula1>
    </dataValidation>
    <dataValidation type="list" allowBlank="1" showInputMessage="1" showErrorMessage="1" sqref="E1" xr:uid="{00000000-0002-0000-15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G53" sqref="G53"/>
    </sheetView>
  </sheetViews>
  <sheetFormatPr defaultRowHeight="13.15" customHeight="1"/>
  <cols>
    <col min="1" max="1" width="9.453125" style="3127" customWidth="1"/>
    <col min="2" max="2" width="8.90625" style="3127"/>
    <col min="3" max="5" width="12.90625" style="3127" customWidth="1"/>
    <col min="6" max="6" width="47.453125" style="3127" customWidth="1"/>
    <col min="7" max="7" width="13" style="3300" customWidth="1"/>
    <col min="8" max="8" width="8.90625" style="3220"/>
    <col min="9" max="9" width="8.90625" style="3221"/>
    <col min="10" max="10" width="5.7265625" style="3301" customWidth="1"/>
    <col min="11" max="11" width="11.7265625" style="3301" customWidth="1"/>
    <col min="12" max="13" width="10.7265625" style="3301" customWidth="1"/>
    <col min="14" max="14" width="10" style="3301" customWidth="1"/>
    <col min="15" max="16" width="10.453125" style="3301" bestFit="1" customWidth="1"/>
    <col min="17" max="17" width="10" style="3301" customWidth="1"/>
    <col min="18" max="18" width="10.08984375" style="3301" customWidth="1"/>
    <col min="19" max="19" width="10" style="3301" customWidth="1"/>
    <col min="20" max="20" width="26.08984375" style="3301" customWidth="1"/>
    <col min="21" max="21" width="8.90625" style="3301"/>
    <col min="22" max="22" width="8.90625" style="3221"/>
    <col min="23" max="23" width="8.90625" style="3220"/>
    <col min="24" max="256" width="8.90625" style="3127"/>
    <col min="257" max="257" width="9.453125" style="3127" customWidth="1"/>
    <col min="258" max="258" width="8.90625" style="3127"/>
    <col min="259" max="261" width="12.90625" style="3127" customWidth="1"/>
    <col min="262" max="262" width="47.453125" style="3127" customWidth="1"/>
    <col min="263" max="263" width="13" style="3127" customWidth="1"/>
    <col min="264" max="265" width="8.90625" style="3127"/>
    <col min="266" max="266" width="5.7265625" style="3127" customWidth="1"/>
    <col min="267" max="267" width="11.7265625" style="3127" customWidth="1"/>
    <col min="268" max="269" width="10.7265625" style="3127" customWidth="1"/>
    <col min="270" max="270" width="10" style="3127" customWidth="1"/>
    <col min="271" max="272" width="10.453125" style="3127" bestFit="1" customWidth="1"/>
    <col min="273" max="273" width="10" style="3127" customWidth="1"/>
    <col min="274" max="274" width="10.08984375" style="3127" customWidth="1"/>
    <col min="275" max="275" width="10" style="3127" customWidth="1"/>
    <col min="276" max="276" width="26.08984375" style="3127" customWidth="1"/>
    <col min="277" max="512" width="8.90625" style="3127"/>
    <col min="513" max="513" width="9.453125" style="3127" customWidth="1"/>
    <col min="514" max="514" width="8.90625" style="3127"/>
    <col min="515" max="517" width="12.90625" style="3127" customWidth="1"/>
    <col min="518" max="518" width="47.453125" style="3127" customWidth="1"/>
    <col min="519" max="519" width="13" style="3127" customWidth="1"/>
    <col min="520" max="521" width="8.90625" style="3127"/>
    <col min="522" max="522" width="5.7265625" style="3127" customWidth="1"/>
    <col min="523" max="523" width="11.7265625" style="3127" customWidth="1"/>
    <col min="524" max="525" width="10.7265625" style="3127" customWidth="1"/>
    <col min="526" max="526" width="10" style="3127" customWidth="1"/>
    <col min="527" max="528" width="10.453125" style="3127" bestFit="1" customWidth="1"/>
    <col min="529" max="529" width="10" style="3127" customWidth="1"/>
    <col min="530" max="530" width="10.08984375" style="3127" customWidth="1"/>
    <col min="531" max="531" width="10" style="3127" customWidth="1"/>
    <col min="532" max="532" width="26.08984375" style="3127" customWidth="1"/>
    <col min="533" max="768" width="8.90625" style="3127"/>
    <col min="769" max="769" width="9.453125" style="3127" customWidth="1"/>
    <col min="770" max="770" width="8.90625" style="3127"/>
    <col min="771" max="773" width="12.90625" style="3127" customWidth="1"/>
    <col min="774" max="774" width="47.453125" style="3127" customWidth="1"/>
    <col min="775" max="775" width="13" style="3127" customWidth="1"/>
    <col min="776" max="777" width="8.90625" style="3127"/>
    <col min="778" max="778" width="5.7265625" style="3127" customWidth="1"/>
    <col min="779" max="779" width="11.7265625" style="3127" customWidth="1"/>
    <col min="780" max="781" width="10.7265625" style="3127" customWidth="1"/>
    <col min="782" max="782" width="10" style="3127" customWidth="1"/>
    <col min="783" max="784" width="10.453125" style="3127" bestFit="1" customWidth="1"/>
    <col min="785" max="785" width="10" style="3127" customWidth="1"/>
    <col min="786" max="786" width="10.08984375" style="3127" customWidth="1"/>
    <col min="787" max="787" width="10" style="3127" customWidth="1"/>
    <col min="788" max="788" width="26.08984375" style="3127" customWidth="1"/>
    <col min="789" max="1024" width="8.90625" style="3127"/>
    <col min="1025" max="1025" width="9.453125" style="3127" customWidth="1"/>
    <col min="1026" max="1026" width="8.90625" style="3127"/>
    <col min="1027" max="1029" width="12.90625" style="3127" customWidth="1"/>
    <col min="1030" max="1030" width="47.453125" style="3127" customWidth="1"/>
    <col min="1031" max="1031" width="13" style="3127" customWidth="1"/>
    <col min="1032" max="1033" width="8.90625" style="3127"/>
    <col min="1034" max="1034" width="5.7265625" style="3127" customWidth="1"/>
    <col min="1035" max="1035" width="11.7265625" style="3127" customWidth="1"/>
    <col min="1036" max="1037" width="10.7265625" style="3127" customWidth="1"/>
    <col min="1038" max="1038" width="10" style="3127" customWidth="1"/>
    <col min="1039" max="1040" width="10.453125" style="3127" bestFit="1" customWidth="1"/>
    <col min="1041" max="1041" width="10" style="3127" customWidth="1"/>
    <col min="1042" max="1042" width="10.08984375" style="3127" customWidth="1"/>
    <col min="1043" max="1043" width="10" style="3127" customWidth="1"/>
    <col min="1044" max="1044" width="26.08984375" style="3127" customWidth="1"/>
    <col min="1045" max="1280" width="8.90625" style="3127"/>
    <col min="1281" max="1281" width="9.453125" style="3127" customWidth="1"/>
    <col min="1282" max="1282" width="8.90625" style="3127"/>
    <col min="1283" max="1285" width="12.90625" style="3127" customWidth="1"/>
    <col min="1286" max="1286" width="47.453125" style="3127" customWidth="1"/>
    <col min="1287" max="1287" width="13" style="3127" customWidth="1"/>
    <col min="1288" max="1289" width="8.90625" style="3127"/>
    <col min="1290" max="1290" width="5.7265625" style="3127" customWidth="1"/>
    <col min="1291" max="1291" width="11.7265625" style="3127" customWidth="1"/>
    <col min="1292" max="1293" width="10.7265625" style="3127" customWidth="1"/>
    <col min="1294" max="1294" width="10" style="3127" customWidth="1"/>
    <col min="1295" max="1296" width="10.453125" style="3127" bestFit="1" customWidth="1"/>
    <col min="1297" max="1297" width="10" style="3127" customWidth="1"/>
    <col min="1298" max="1298" width="10.08984375" style="3127" customWidth="1"/>
    <col min="1299" max="1299" width="10" style="3127" customWidth="1"/>
    <col min="1300" max="1300" width="26.08984375" style="3127" customWidth="1"/>
    <col min="1301" max="1536" width="8.90625" style="3127"/>
    <col min="1537" max="1537" width="9.453125" style="3127" customWidth="1"/>
    <col min="1538" max="1538" width="8.90625" style="3127"/>
    <col min="1539" max="1541" width="12.90625" style="3127" customWidth="1"/>
    <col min="1542" max="1542" width="47.453125" style="3127" customWidth="1"/>
    <col min="1543" max="1543" width="13" style="3127" customWidth="1"/>
    <col min="1544" max="1545" width="8.90625" style="3127"/>
    <col min="1546" max="1546" width="5.7265625" style="3127" customWidth="1"/>
    <col min="1547" max="1547" width="11.7265625" style="3127" customWidth="1"/>
    <col min="1548" max="1549" width="10.7265625" style="3127" customWidth="1"/>
    <col min="1550" max="1550" width="10" style="3127" customWidth="1"/>
    <col min="1551" max="1552" width="10.453125" style="3127" bestFit="1" customWidth="1"/>
    <col min="1553" max="1553" width="10" style="3127" customWidth="1"/>
    <col min="1554" max="1554" width="10.08984375" style="3127" customWidth="1"/>
    <col min="1555" max="1555" width="10" style="3127" customWidth="1"/>
    <col min="1556" max="1556" width="26.08984375" style="3127" customWidth="1"/>
    <col min="1557" max="1792" width="8.90625" style="3127"/>
    <col min="1793" max="1793" width="9.453125" style="3127" customWidth="1"/>
    <col min="1794" max="1794" width="8.90625" style="3127"/>
    <col min="1795" max="1797" width="12.90625" style="3127" customWidth="1"/>
    <col min="1798" max="1798" width="47.453125" style="3127" customWidth="1"/>
    <col min="1799" max="1799" width="13" style="3127" customWidth="1"/>
    <col min="1800" max="1801" width="8.90625" style="3127"/>
    <col min="1802" max="1802" width="5.7265625" style="3127" customWidth="1"/>
    <col min="1803" max="1803" width="11.7265625" style="3127" customWidth="1"/>
    <col min="1804" max="1805" width="10.7265625" style="3127" customWidth="1"/>
    <col min="1806" max="1806" width="10" style="3127" customWidth="1"/>
    <col min="1807" max="1808" width="10.453125" style="3127" bestFit="1" customWidth="1"/>
    <col min="1809" max="1809" width="10" style="3127" customWidth="1"/>
    <col min="1810" max="1810" width="10.08984375" style="3127" customWidth="1"/>
    <col min="1811" max="1811" width="10" style="3127" customWidth="1"/>
    <col min="1812" max="1812" width="26.08984375" style="3127" customWidth="1"/>
    <col min="1813" max="2048" width="8.90625" style="3127"/>
    <col min="2049" max="2049" width="9.453125" style="3127" customWidth="1"/>
    <col min="2050" max="2050" width="8.90625" style="3127"/>
    <col min="2051" max="2053" width="12.90625" style="3127" customWidth="1"/>
    <col min="2054" max="2054" width="47.453125" style="3127" customWidth="1"/>
    <col min="2055" max="2055" width="13" style="3127" customWidth="1"/>
    <col min="2056" max="2057" width="8.90625" style="3127"/>
    <col min="2058" max="2058" width="5.7265625" style="3127" customWidth="1"/>
    <col min="2059" max="2059" width="11.7265625" style="3127" customWidth="1"/>
    <col min="2060" max="2061" width="10.7265625" style="3127" customWidth="1"/>
    <col min="2062" max="2062" width="10" style="3127" customWidth="1"/>
    <col min="2063" max="2064" width="10.453125" style="3127" bestFit="1" customWidth="1"/>
    <col min="2065" max="2065" width="10" style="3127" customWidth="1"/>
    <col min="2066" max="2066" width="10.08984375" style="3127" customWidth="1"/>
    <col min="2067" max="2067" width="10" style="3127" customWidth="1"/>
    <col min="2068" max="2068" width="26.08984375" style="3127" customWidth="1"/>
    <col min="2069" max="2304" width="8.90625" style="3127"/>
    <col min="2305" max="2305" width="9.453125" style="3127" customWidth="1"/>
    <col min="2306" max="2306" width="8.90625" style="3127"/>
    <col min="2307" max="2309" width="12.90625" style="3127" customWidth="1"/>
    <col min="2310" max="2310" width="47.453125" style="3127" customWidth="1"/>
    <col min="2311" max="2311" width="13" style="3127" customWidth="1"/>
    <col min="2312" max="2313" width="8.90625" style="3127"/>
    <col min="2314" max="2314" width="5.7265625" style="3127" customWidth="1"/>
    <col min="2315" max="2315" width="11.7265625" style="3127" customWidth="1"/>
    <col min="2316" max="2317" width="10.7265625" style="3127" customWidth="1"/>
    <col min="2318" max="2318" width="10" style="3127" customWidth="1"/>
    <col min="2319" max="2320" width="10.453125" style="3127" bestFit="1" customWidth="1"/>
    <col min="2321" max="2321" width="10" style="3127" customWidth="1"/>
    <col min="2322" max="2322" width="10.08984375" style="3127" customWidth="1"/>
    <col min="2323" max="2323" width="10" style="3127" customWidth="1"/>
    <col min="2324" max="2324" width="26.08984375" style="3127" customWidth="1"/>
    <col min="2325" max="2560" width="8.90625" style="3127"/>
    <col min="2561" max="2561" width="9.453125" style="3127" customWidth="1"/>
    <col min="2562" max="2562" width="8.90625" style="3127"/>
    <col min="2563" max="2565" width="12.90625" style="3127" customWidth="1"/>
    <col min="2566" max="2566" width="47.453125" style="3127" customWidth="1"/>
    <col min="2567" max="2567" width="13" style="3127" customWidth="1"/>
    <col min="2568" max="2569" width="8.90625" style="3127"/>
    <col min="2570" max="2570" width="5.7265625" style="3127" customWidth="1"/>
    <col min="2571" max="2571" width="11.7265625" style="3127" customWidth="1"/>
    <col min="2572" max="2573" width="10.7265625" style="3127" customWidth="1"/>
    <col min="2574" max="2574" width="10" style="3127" customWidth="1"/>
    <col min="2575" max="2576" width="10.453125" style="3127" bestFit="1" customWidth="1"/>
    <col min="2577" max="2577" width="10" style="3127" customWidth="1"/>
    <col min="2578" max="2578" width="10.08984375" style="3127" customWidth="1"/>
    <col min="2579" max="2579" width="10" style="3127" customWidth="1"/>
    <col min="2580" max="2580" width="26.08984375" style="3127" customWidth="1"/>
    <col min="2581" max="2816" width="8.90625" style="3127"/>
    <col min="2817" max="2817" width="9.453125" style="3127" customWidth="1"/>
    <col min="2818" max="2818" width="8.90625" style="3127"/>
    <col min="2819" max="2821" width="12.90625" style="3127" customWidth="1"/>
    <col min="2822" max="2822" width="47.453125" style="3127" customWidth="1"/>
    <col min="2823" max="2823" width="13" style="3127" customWidth="1"/>
    <col min="2824" max="2825" width="8.90625" style="3127"/>
    <col min="2826" max="2826" width="5.7265625" style="3127" customWidth="1"/>
    <col min="2827" max="2827" width="11.7265625" style="3127" customWidth="1"/>
    <col min="2828" max="2829" width="10.7265625" style="3127" customWidth="1"/>
    <col min="2830" max="2830" width="10" style="3127" customWidth="1"/>
    <col min="2831" max="2832" width="10.453125" style="3127" bestFit="1" customWidth="1"/>
    <col min="2833" max="2833" width="10" style="3127" customWidth="1"/>
    <col min="2834" max="2834" width="10.08984375" style="3127" customWidth="1"/>
    <col min="2835" max="2835" width="10" style="3127" customWidth="1"/>
    <col min="2836" max="2836" width="26.08984375" style="3127" customWidth="1"/>
    <col min="2837" max="3072" width="8.90625" style="3127"/>
    <col min="3073" max="3073" width="9.453125" style="3127" customWidth="1"/>
    <col min="3074" max="3074" width="8.90625" style="3127"/>
    <col min="3075" max="3077" width="12.90625" style="3127" customWidth="1"/>
    <col min="3078" max="3078" width="47.453125" style="3127" customWidth="1"/>
    <col min="3079" max="3079" width="13" style="3127" customWidth="1"/>
    <col min="3080" max="3081" width="8.90625" style="3127"/>
    <col min="3082" max="3082" width="5.7265625" style="3127" customWidth="1"/>
    <col min="3083" max="3083" width="11.7265625" style="3127" customWidth="1"/>
    <col min="3084" max="3085" width="10.7265625" style="3127" customWidth="1"/>
    <col min="3086" max="3086" width="10" style="3127" customWidth="1"/>
    <col min="3087" max="3088" width="10.453125" style="3127" bestFit="1" customWidth="1"/>
    <col min="3089" max="3089" width="10" style="3127" customWidth="1"/>
    <col min="3090" max="3090" width="10.08984375" style="3127" customWidth="1"/>
    <col min="3091" max="3091" width="10" style="3127" customWidth="1"/>
    <col min="3092" max="3092" width="26.08984375" style="3127" customWidth="1"/>
    <col min="3093" max="3328" width="8.90625" style="3127"/>
    <col min="3329" max="3329" width="9.453125" style="3127" customWidth="1"/>
    <col min="3330" max="3330" width="8.90625" style="3127"/>
    <col min="3331" max="3333" width="12.90625" style="3127" customWidth="1"/>
    <col min="3334" max="3334" width="47.453125" style="3127" customWidth="1"/>
    <col min="3335" max="3335" width="13" style="3127" customWidth="1"/>
    <col min="3336" max="3337" width="8.90625" style="3127"/>
    <col min="3338" max="3338" width="5.7265625" style="3127" customWidth="1"/>
    <col min="3339" max="3339" width="11.7265625" style="3127" customWidth="1"/>
    <col min="3340" max="3341" width="10.7265625" style="3127" customWidth="1"/>
    <col min="3342" max="3342" width="10" style="3127" customWidth="1"/>
    <col min="3343" max="3344" width="10.453125" style="3127" bestFit="1" customWidth="1"/>
    <col min="3345" max="3345" width="10" style="3127" customWidth="1"/>
    <col min="3346" max="3346" width="10.08984375" style="3127" customWidth="1"/>
    <col min="3347" max="3347" width="10" style="3127" customWidth="1"/>
    <col min="3348" max="3348" width="26.08984375" style="3127" customWidth="1"/>
    <col min="3349" max="3584" width="8.90625" style="3127"/>
    <col min="3585" max="3585" width="9.453125" style="3127" customWidth="1"/>
    <col min="3586" max="3586" width="8.90625" style="3127"/>
    <col min="3587" max="3589" width="12.90625" style="3127" customWidth="1"/>
    <col min="3590" max="3590" width="47.453125" style="3127" customWidth="1"/>
    <col min="3591" max="3591" width="13" style="3127" customWidth="1"/>
    <col min="3592" max="3593" width="8.90625" style="3127"/>
    <col min="3594" max="3594" width="5.7265625" style="3127" customWidth="1"/>
    <col min="3595" max="3595" width="11.7265625" style="3127" customWidth="1"/>
    <col min="3596" max="3597" width="10.7265625" style="3127" customWidth="1"/>
    <col min="3598" max="3598" width="10" style="3127" customWidth="1"/>
    <col min="3599" max="3600" width="10.453125" style="3127" bestFit="1" customWidth="1"/>
    <col min="3601" max="3601" width="10" style="3127" customWidth="1"/>
    <col min="3602" max="3602" width="10.08984375" style="3127" customWidth="1"/>
    <col min="3603" max="3603" width="10" style="3127" customWidth="1"/>
    <col min="3604" max="3604" width="26.08984375" style="3127" customWidth="1"/>
    <col min="3605" max="3840" width="8.90625" style="3127"/>
    <col min="3841" max="3841" width="9.453125" style="3127" customWidth="1"/>
    <col min="3842" max="3842" width="8.90625" style="3127"/>
    <col min="3843" max="3845" width="12.90625" style="3127" customWidth="1"/>
    <col min="3846" max="3846" width="47.453125" style="3127" customWidth="1"/>
    <col min="3847" max="3847" width="13" style="3127" customWidth="1"/>
    <col min="3848" max="3849" width="8.90625" style="3127"/>
    <col min="3850" max="3850" width="5.7265625" style="3127" customWidth="1"/>
    <col min="3851" max="3851" width="11.7265625" style="3127" customWidth="1"/>
    <col min="3852" max="3853" width="10.7265625" style="3127" customWidth="1"/>
    <col min="3854" max="3854" width="10" style="3127" customWidth="1"/>
    <col min="3855" max="3856" width="10.453125" style="3127" bestFit="1" customWidth="1"/>
    <col min="3857" max="3857" width="10" style="3127" customWidth="1"/>
    <col min="3858" max="3858" width="10.08984375" style="3127" customWidth="1"/>
    <col min="3859" max="3859" width="10" style="3127" customWidth="1"/>
    <col min="3860" max="3860" width="26.08984375" style="3127" customWidth="1"/>
    <col min="3861" max="4096" width="8.90625" style="3127"/>
    <col min="4097" max="4097" width="9.453125" style="3127" customWidth="1"/>
    <col min="4098" max="4098" width="8.90625" style="3127"/>
    <col min="4099" max="4101" width="12.90625" style="3127" customWidth="1"/>
    <col min="4102" max="4102" width="47.453125" style="3127" customWidth="1"/>
    <col min="4103" max="4103" width="13" style="3127" customWidth="1"/>
    <col min="4104" max="4105" width="8.90625" style="3127"/>
    <col min="4106" max="4106" width="5.7265625" style="3127" customWidth="1"/>
    <col min="4107" max="4107" width="11.7265625" style="3127" customWidth="1"/>
    <col min="4108" max="4109" width="10.7265625" style="3127" customWidth="1"/>
    <col min="4110" max="4110" width="10" style="3127" customWidth="1"/>
    <col min="4111" max="4112" width="10.453125" style="3127" bestFit="1" customWidth="1"/>
    <col min="4113" max="4113" width="10" style="3127" customWidth="1"/>
    <col min="4114" max="4114" width="10.08984375" style="3127" customWidth="1"/>
    <col min="4115" max="4115" width="10" style="3127" customWidth="1"/>
    <col min="4116" max="4116" width="26.08984375" style="3127" customWidth="1"/>
    <col min="4117" max="4352" width="8.90625" style="3127"/>
    <col min="4353" max="4353" width="9.453125" style="3127" customWidth="1"/>
    <col min="4354" max="4354" width="8.90625" style="3127"/>
    <col min="4355" max="4357" width="12.90625" style="3127" customWidth="1"/>
    <col min="4358" max="4358" width="47.453125" style="3127" customWidth="1"/>
    <col min="4359" max="4359" width="13" style="3127" customWidth="1"/>
    <col min="4360" max="4361" width="8.90625" style="3127"/>
    <col min="4362" max="4362" width="5.7265625" style="3127" customWidth="1"/>
    <col min="4363" max="4363" width="11.7265625" style="3127" customWidth="1"/>
    <col min="4364" max="4365" width="10.7265625" style="3127" customWidth="1"/>
    <col min="4366" max="4366" width="10" style="3127" customWidth="1"/>
    <col min="4367" max="4368" width="10.453125" style="3127" bestFit="1" customWidth="1"/>
    <col min="4369" max="4369" width="10" style="3127" customWidth="1"/>
    <col min="4370" max="4370" width="10.08984375" style="3127" customWidth="1"/>
    <col min="4371" max="4371" width="10" style="3127" customWidth="1"/>
    <col min="4372" max="4372" width="26.08984375" style="3127" customWidth="1"/>
    <col min="4373" max="4608" width="8.90625" style="3127"/>
    <col min="4609" max="4609" width="9.453125" style="3127" customWidth="1"/>
    <col min="4610" max="4610" width="8.90625" style="3127"/>
    <col min="4611" max="4613" width="12.90625" style="3127" customWidth="1"/>
    <col min="4614" max="4614" width="47.453125" style="3127" customWidth="1"/>
    <col min="4615" max="4615" width="13" style="3127" customWidth="1"/>
    <col min="4616" max="4617" width="8.90625" style="3127"/>
    <col min="4618" max="4618" width="5.7265625" style="3127" customWidth="1"/>
    <col min="4619" max="4619" width="11.7265625" style="3127" customWidth="1"/>
    <col min="4620" max="4621" width="10.7265625" style="3127" customWidth="1"/>
    <col min="4622" max="4622" width="10" style="3127" customWidth="1"/>
    <col min="4623" max="4624" width="10.453125" style="3127" bestFit="1" customWidth="1"/>
    <col min="4625" max="4625" width="10" style="3127" customWidth="1"/>
    <col min="4626" max="4626" width="10.08984375" style="3127" customWidth="1"/>
    <col min="4627" max="4627" width="10" style="3127" customWidth="1"/>
    <col min="4628" max="4628" width="26.08984375" style="3127" customWidth="1"/>
    <col min="4629" max="4864" width="8.90625" style="3127"/>
    <col min="4865" max="4865" width="9.453125" style="3127" customWidth="1"/>
    <col min="4866" max="4866" width="8.90625" style="3127"/>
    <col min="4867" max="4869" width="12.90625" style="3127" customWidth="1"/>
    <col min="4870" max="4870" width="47.453125" style="3127" customWidth="1"/>
    <col min="4871" max="4871" width="13" style="3127" customWidth="1"/>
    <col min="4872" max="4873" width="8.90625" style="3127"/>
    <col min="4874" max="4874" width="5.7265625" style="3127" customWidth="1"/>
    <col min="4875" max="4875" width="11.7265625" style="3127" customWidth="1"/>
    <col min="4876" max="4877" width="10.7265625" style="3127" customWidth="1"/>
    <col min="4878" max="4878" width="10" style="3127" customWidth="1"/>
    <col min="4879" max="4880" width="10.453125" style="3127" bestFit="1" customWidth="1"/>
    <col min="4881" max="4881" width="10" style="3127" customWidth="1"/>
    <col min="4882" max="4882" width="10.08984375" style="3127" customWidth="1"/>
    <col min="4883" max="4883" width="10" style="3127" customWidth="1"/>
    <col min="4884" max="4884" width="26.08984375" style="3127" customWidth="1"/>
    <col min="4885" max="5120" width="8.90625" style="3127"/>
    <col min="5121" max="5121" width="9.453125" style="3127" customWidth="1"/>
    <col min="5122" max="5122" width="8.90625" style="3127"/>
    <col min="5123" max="5125" width="12.90625" style="3127" customWidth="1"/>
    <col min="5126" max="5126" width="47.453125" style="3127" customWidth="1"/>
    <col min="5127" max="5127" width="13" style="3127" customWidth="1"/>
    <col min="5128" max="5129" width="8.90625" style="3127"/>
    <col min="5130" max="5130" width="5.7265625" style="3127" customWidth="1"/>
    <col min="5131" max="5131" width="11.7265625" style="3127" customWidth="1"/>
    <col min="5132" max="5133" width="10.7265625" style="3127" customWidth="1"/>
    <col min="5134" max="5134" width="10" style="3127" customWidth="1"/>
    <col min="5135" max="5136" width="10.453125" style="3127" bestFit="1" customWidth="1"/>
    <col min="5137" max="5137" width="10" style="3127" customWidth="1"/>
    <col min="5138" max="5138" width="10.08984375" style="3127" customWidth="1"/>
    <col min="5139" max="5139" width="10" style="3127" customWidth="1"/>
    <col min="5140" max="5140" width="26.08984375" style="3127" customWidth="1"/>
    <col min="5141" max="5376" width="8.90625" style="3127"/>
    <col min="5377" max="5377" width="9.453125" style="3127" customWidth="1"/>
    <col min="5378" max="5378" width="8.90625" style="3127"/>
    <col min="5379" max="5381" width="12.90625" style="3127" customWidth="1"/>
    <col min="5382" max="5382" width="47.453125" style="3127" customWidth="1"/>
    <col min="5383" max="5383" width="13" style="3127" customWidth="1"/>
    <col min="5384" max="5385" width="8.90625" style="3127"/>
    <col min="5386" max="5386" width="5.7265625" style="3127" customWidth="1"/>
    <col min="5387" max="5387" width="11.7265625" style="3127" customWidth="1"/>
    <col min="5388" max="5389" width="10.7265625" style="3127" customWidth="1"/>
    <col min="5390" max="5390" width="10" style="3127" customWidth="1"/>
    <col min="5391" max="5392" width="10.453125" style="3127" bestFit="1" customWidth="1"/>
    <col min="5393" max="5393" width="10" style="3127" customWidth="1"/>
    <col min="5394" max="5394" width="10.08984375" style="3127" customWidth="1"/>
    <col min="5395" max="5395" width="10" style="3127" customWidth="1"/>
    <col min="5396" max="5396" width="26.08984375" style="3127" customWidth="1"/>
    <col min="5397" max="5632" width="8.90625" style="3127"/>
    <col min="5633" max="5633" width="9.453125" style="3127" customWidth="1"/>
    <col min="5634" max="5634" width="8.90625" style="3127"/>
    <col min="5635" max="5637" width="12.90625" style="3127" customWidth="1"/>
    <col min="5638" max="5638" width="47.453125" style="3127" customWidth="1"/>
    <col min="5639" max="5639" width="13" style="3127" customWidth="1"/>
    <col min="5640" max="5641" width="8.90625" style="3127"/>
    <col min="5642" max="5642" width="5.7265625" style="3127" customWidth="1"/>
    <col min="5643" max="5643" width="11.7265625" style="3127" customWidth="1"/>
    <col min="5644" max="5645" width="10.7265625" style="3127" customWidth="1"/>
    <col min="5646" max="5646" width="10" style="3127" customWidth="1"/>
    <col min="5647" max="5648" width="10.453125" style="3127" bestFit="1" customWidth="1"/>
    <col min="5649" max="5649" width="10" style="3127" customWidth="1"/>
    <col min="5650" max="5650" width="10.08984375" style="3127" customWidth="1"/>
    <col min="5651" max="5651" width="10" style="3127" customWidth="1"/>
    <col min="5652" max="5652" width="26.08984375" style="3127" customWidth="1"/>
    <col min="5653" max="5888" width="8.90625" style="3127"/>
    <col min="5889" max="5889" width="9.453125" style="3127" customWidth="1"/>
    <col min="5890" max="5890" width="8.90625" style="3127"/>
    <col min="5891" max="5893" width="12.90625" style="3127" customWidth="1"/>
    <col min="5894" max="5894" width="47.453125" style="3127" customWidth="1"/>
    <col min="5895" max="5895" width="13" style="3127" customWidth="1"/>
    <col min="5896" max="5897" width="8.90625" style="3127"/>
    <col min="5898" max="5898" width="5.7265625" style="3127" customWidth="1"/>
    <col min="5899" max="5899" width="11.7265625" style="3127" customWidth="1"/>
    <col min="5900" max="5901" width="10.7265625" style="3127" customWidth="1"/>
    <col min="5902" max="5902" width="10" style="3127" customWidth="1"/>
    <col min="5903" max="5904" width="10.453125" style="3127" bestFit="1" customWidth="1"/>
    <col min="5905" max="5905" width="10" style="3127" customWidth="1"/>
    <col min="5906" max="5906" width="10.08984375" style="3127" customWidth="1"/>
    <col min="5907" max="5907" width="10" style="3127" customWidth="1"/>
    <col min="5908" max="5908" width="26.08984375" style="3127" customWidth="1"/>
    <col min="5909" max="6144" width="8.90625" style="3127"/>
    <col min="6145" max="6145" width="9.453125" style="3127" customWidth="1"/>
    <col min="6146" max="6146" width="8.90625" style="3127"/>
    <col min="6147" max="6149" width="12.90625" style="3127" customWidth="1"/>
    <col min="6150" max="6150" width="47.453125" style="3127" customWidth="1"/>
    <col min="6151" max="6151" width="13" style="3127" customWidth="1"/>
    <col min="6152" max="6153" width="8.90625" style="3127"/>
    <col min="6154" max="6154" width="5.7265625" style="3127" customWidth="1"/>
    <col min="6155" max="6155" width="11.7265625" style="3127" customWidth="1"/>
    <col min="6156" max="6157" width="10.7265625" style="3127" customWidth="1"/>
    <col min="6158" max="6158" width="10" style="3127" customWidth="1"/>
    <col min="6159" max="6160" width="10.453125" style="3127" bestFit="1" customWidth="1"/>
    <col min="6161" max="6161" width="10" style="3127" customWidth="1"/>
    <col min="6162" max="6162" width="10.08984375" style="3127" customWidth="1"/>
    <col min="6163" max="6163" width="10" style="3127" customWidth="1"/>
    <col min="6164" max="6164" width="26.08984375" style="3127" customWidth="1"/>
    <col min="6165" max="6400" width="8.90625" style="3127"/>
    <col min="6401" max="6401" width="9.453125" style="3127" customWidth="1"/>
    <col min="6402" max="6402" width="8.90625" style="3127"/>
    <col min="6403" max="6405" width="12.90625" style="3127" customWidth="1"/>
    <col min="6406" max="6406" width="47.453125" style="3127" customWidth="1"/>
    <col min="6407" max="6407" width="13" style="3127" customWidth="1"/>
    <col min="6408" max="6409" width="8.90625" style="3127"/>
    <col min="6410" max="6410" width="5.7265625" style="3127" customWidth="1"/>
    <col min="6411" max="6411" width="11.7265625" style="3127" customWidth="1"/>
    <col min="6412" max="6413" width="10.7265625" style="3127" customWidth="1"/>
    <col min="6414" max="6414" width="10" style="3127" customWidth="1"/>
    <col min="6415" max="6416" width="10.453125" style="3127" bestFit="1" customWidth="1"/>
    <col min="6417" max="6417" width="10" style="3127" customWidth="1"/>
    <col min="6418" max="6418" width="10.08984375" style="3127" customWidth="1"/>
    <col min="6419" max="6419" width="10" style="3127" customWidth="1"/>
    <col min="6420" max="6420" width="26.08984375" style="3127" customWidth="1"/>
    <col min="6421" max="6656" width="8.90625" style="3127"/>
    <col min="6657" max="6657" width="9.453125" style="3127" customWidth="1"/>
    <col min="6658" max="6658" width="8.90625" style="3127"/>
    <col min="6659" max="6661" width="12.90625" style="3127" customWidth="1"/>
    <col min="6662" max="6662" width="47.453125" style="3127" customWidth="1"/>
    <col min="6663" max="6663" width="13" style="3127" customWidth="1"/>
    <col min="6664" max="6665" width="8.90625" style="3127"/>
    <col min="6666" max="6666" width="5.7265625" style="3127" customWidth="1"/>
    <col min="6667" max="6667" width="11.7265625" style="3127" customWidth="1"/>
    <col min="6668" max="6669" width="10.7265625" style="3127" customWidth="1"/>
    <col min="6670" max="6670" width="10" style="3127" customWidth="1"/>
    <col min="6671" max="6672" width="10.453125" style="3127" bestFit="1" customWidth="1"/>
    <col min="6673" max="6673" width="10" style="3127" customWidth="1"/>
    <col min="6674" max="6674" width="10.08984375" style="3127" customWidth="1"/>
    <col min="6675" max="6675" width="10" style="3127" customWidth="1"/>
    <col min="6676" max="6676" width="26.08984375" style="3127" customWidth="1"/>
    <col min="6677" max="6912" width="8.90625" style="3127"/>
    <col min="6913" max="6913" width="9.453125" style="3127" customWidth="1"/>
    <col min="6914" max="6914" width="8.90625" style="3127"/>
    <col min="6915" max="6917" width="12.90625" style="3127" customWidth="1"/>
    <col min="6918" max="6918" width="47.453125" style="3127" customWidth="1"/>
    <col min="6919" max="6919" width="13" style="3127" customWidth="1"/>
    <col min="6920" max="6921" width="8.90625" style="3127"/>
    <col min="6922" max="6922" width="5.7265625" style="3127" customWidth="1"/>
    <col min="6923" max="6923" width="11.7265625" style="3127" customWidth="1"/>
    <col min="6924" max="6925" width="10.7265625" style="3127" customWidth="1"/>
    <col min="6926" max="6926" width="10" style="3127" customWidth="1"/>
    <col min="6927" max="6928" width="10.453125" style="3127" bestFit="1" customWidth="1"/>
    <col min="6929" max="6929" width="10" style="3127" customWidth="1"/>
    <col min="6930" max="6930" width="10.08984375" style="3127" customWidth="1"/>
    <col min="6931" max="6931" width="10" style="3127" customWidth="1"/>
    <col min="6932" max="6932" width="26.08984375" style="3127" customWidth="1"/>
    <col min="6933" max="7168" width="8.90625" style="3127"/>
    <col min="7169" max="7169" width="9.453125" style="3127" customWidth="1"/>
    <col min="7170" max="7170" width="8.90625" style="3127"/>
    <col min="7171" max="7173" width="12.90625" style="3127" customWidth="1"/>
    <col min="7174" max="7174" width="47.453125" style="3127" customWidth="1"/>
    <col min="7175" max="7175" width="13" style="3127" customWidth="1"/>
    <col min="7176" max="7177" width="8.90625" style="3127"/>
    <col min="7178" max="7178" width="5.7265625" style="3127" customWidth="1"/>
    <col min="7179" max="7179" width="11.7265625" style="3127" customWidth="1"/>
    <col min="7180" max="7181" width="10.7265625" style="3127" customWidth="1"/>
    <col min="7182" max="7182" width="10" style="3127" customWidth="1"/>
    <col min="7183" max="7184" width="10.453125" style="3127" bestFit="1" customWidth="1"/>
    <col min="7185" max="7185" width="10" style="3127" customWidth="1"/>
    <col min="7186" max="7186" width="10.08984375" style="3127" customWidth="1"/>
    <col min="7187" max="7187" width="10" style="3127" customWidth="1"/>
    <col min="7188" max="7188" width="26.08984375" style="3127" customWidth="1"/>
    <col min="7189" max="7424" width="8.90625" style="3127"/>
    <col min="7425" max="7425" width="9.453125" style="3127" customWidth="1"/>
    <col min="7426" max="7426" width="8.90625" style="3127"/>
    <col min="7427" max="7429" width="12.90625" style="3127" customWidth="1"/>
    <col min="7430" max="7430" width="47.453125" style="3127" customWidth="1"/>
    <col min="7431" max="7431" width="13" style="3127" customWidth="1"/>
    <col min="7432" max="7433" width="8.90625" style="3127"/>
    <col min="7434" max="7434" width="5.7265625" style="3127" customWidth="1"/>
    <col min="7435" max="7435" width="11.7265625" style="3127" customWidth="1"/>
    <col min="7436" max="7437" width="10.7265625" style="3127" customWidth="1"/>
    <col min="7438" max="7438" width="10" style="3127" customWidth="1"/>
    <col min="7439" max="7440" width="10.453125" style="3127" bestFit="1" customWidth="1"/>
    <col min="7441" max="7441" width="10" style="3127" customWidth="1"/>
    <col min="7442" max="7442" width="10.08984375" style="3127" customWidth="1"/>
    <col min="7443" max="7443" width="10" style="3127" customWidth="1"/>
    <col min="7444" max="7444" width="26.08984375" style="3127" customWidth="1"/>
    <col min="7445" max="7680" width="8.90625" style="3127"/>
    <col min="7681" max="7681" width="9.453125" style="3127" customWidth="1"/>
    <col min="7682" max="7682" width="8.90625" style="3127"/>
    <col min="7683" max="7685" width="12.90625" style="3127" customWidth="1"/>
    <col min="7686" max="7686" width="47.453125" style="3127" customWidth="1"/>
    <col min="7687" max="7687" width="13" style="3127" customWidth="1"/>
    <col min="7688" max="7689" width="8.90625" style="3127"/>
    <col min="7690" max="7690" width="5.7265625" style="3127" customWidth="1"/>
    <col min="7691" max="7691" width="11.7265625" style="3127" customWidth="1"/>
    <col min="7692" max="7693" width="10.7265625" style="3127" customWidth="1"/>
    <col min="7694" max="7694" width="10" style="3127" customWidth="1"/>
    <col min="7695" max="7696" width="10.453125" style="3127" bestFit="1" customWidth="1"/>
    <col min="7697" max="7697" width="10" style="3127" customWidth="1"/>
    <col min="7698" max="7698" width="10.08984375" style="3127" customWidth="1"/>
    <col min="7699" max="7699" width="10" style="3127" customWidth="1"/>
    <col min="7700" max="7700" width="26.08984375" style="3127" customWidth="1"/>
    <col min="7701" max="7936" width="8.90625" style="3127"/>
    <col min="7937" max="7937" width="9.453125" style="3127" customWidth="1"/>
    <col min="7938" max="7938" width="8.90625" style="3127"/>
    <col min="7939" max="7941" width="12.90625" style="3127" customWidth="1"/>
    <col min="7942" max="7942" width="47.453125" style="3127" customWidth="1"/>
    <col min="7943" max="7943" width="13" style="3127" customWidth="1"/>
    <col min="7944" max="7945" width="8.90625" style="3127"/>
    <col min="7946" max="7946" width="5.7265625" style="3127" customWidth="1"/>
    <col min="7947" max="7947" width="11.7265625" style="3127" customWidth="1"/>
    <col min="7948" max="7949" width="10.7265625" style="3127" customWidth="1"/>
    <col min="7950" max="7950" width="10" style="3127" customWidth="1"/>
    <col min="7951" max="7952" width="10.453125" style="3127" bestFit="1" customWidth="1"/>
    <col min="7953" max="7953" width="10" style="3127" customWidth="1"/>
    <col min="7954" max="7954" width="10.08984375" style="3127" customWidth="1"/>
    <col min="7955" max="7955" width="10" style="3127" customWidth="1"/>
    <col min="7956" max="7956" width="26.08984375" style="3127" customWidth="1"/>
    <col min="7957" max="8192" width="8.90625" style="3127"/>
    <col min="8193" max="8193" width="9.453125" style="3127" customWidth="1"/>
    <col min="8194" max="8194" width="8.90625" style="3127"/>
    <col min="8195" max="8197" width="12.90625" style="3127" customWidth="1"/>
    <col min="8198" max="8198" width="47.453125" style="3127" customWidth="1"/>
    <col min="8199" max="8199" width="13" style="3127" customWidth="1"/>
    <col min="8200" max="8201" width="8.90625" style="3127"/>
    <col min="8202" max="8202" width="5.7265625" style="3127" customWidth="1"/>
    <col min="8203" max="8203" width="11.7265625" style="3127" customWidth="1"/>
    <col min="8204" max="8205" width="10.7265625" style="3127" customWidth="1"/>
    <col min="8206" max="8206" width="10" style="3127" customWidth="1"/>
    <col min="8207" max="8208" width="10.453125" style="3127" bestFit="1" customWidth="1"/>
    <col min="8209" max="8209" width="10" style="3127" customWidth="1"/>
    <col min="8210" max="8210" width="10.08984375" style="3127" customWidth="1"/>
    <col min="8211" max="8211" width="10" style="3127" customWidth="1"/>
    <col min="8212" max="8212" width="26.08984375" style="3127" customWidth="1"/>
    <col min="8213" max="8448" width="8.90625" style="3127"/>
    <col min="8449" max="8449" width="9.453125" style="3127" customWidth="1"/>
    <col min="8450" max="8450" width="8.90625" style="3127"/>
    <col min="8451" max="8453" width="12.90625" style="3127" customWidth="1"/>
    <col min="8454" max="8454" width="47.453125" style="3127" customWidth="1"/>
    <col min="8455" max="8455" width="13" style="3127" customWidth="1"/>
    <col min="8456" max="8457" width="8.90625" style="3127"/>
    <col min="8458" max="8458" width="5.7265625" style="3127" customWidth="1"/>
    <col min="8459" max="8459" width="11.7265625" style="3127" customWidth="1"/>
    <col min="8460" max="8461" width="10.7265625" style="3127" customWidth="1"/>
    <col min="8462" max="8462" width="10" style="3127" customWidth="1"/>
    <col min="8463" max="8464" width="10.453125" style="3127" bestFit="1" customWidth="1"/>
    <col min="8465" max="8465" width="10" style="3127" customWidth="1"/>
    <col min="8466" max="8466" width="10.08984375" style="3127" customWidth="1"/>
    <col min="8467" max="8467" width="10" style="3127" customWidth="1"/>
    <col min="8468" max="8468" width="26.08984375" style="3127" customWidth="1"/>
    <col min="8469" max="8704" width="8.90625" style="3127"/>
    <col min="8705" max="8705" width="9.453125" style="3127" customWidth="1"/>
    <col min="8706" max="8706" width="8.90625" style="3127"/>
    <col min="8707" max="8709" width="12.90625" style="3127" customWidth="1"/>
    <col min="8710" max="8710" width="47.453125" style="3127" customWidth="1"/>
    <col min="8711" max="8711" width="13" style="3127" customWidth="1"/>
    <col min="8712" max="8713" width="8.90625" style="3127"/>
    <col min="8714" max="8714" width="5.7265625" style="3127" customWidth="1"/>
    <col min="8715" max="8715" width="11.7265625" style="3127" customWidth="1"/>
    <col min="8716" max="8717" width="10.7265625" style="3127" customWidth="1"/>
    <col min="8718" max="8718" width="10" style="3127" customWidth="1"/>
    <col min="8719" max="8720" width="10.453125" style="3127" bestFit="1" customWidth="1"/>
    <col min="8721" max="8721" width="10" style="3127" customWidth="1"/>
    <col min="8722" max="8722" width="10.08984375" style="3127" customWidth="1"/>
    <col min="8723" max="8723" width="10" style="3127" customWidth="1"/>
    <col min="8724" max="8724" width="26.08984375" style="3127" customWidth="1"/>
    <col min="8725" max="8960" width="8.90625" style="3127"/>
    <col min="8961" max="8961" width="9.453125" style="3127" customWidth="1"/>
    <col min="8962" max="8962" width="8.90625" style="3127"/>
    <col min="8963" max="8965" width="12.90625" style="3127" customWidth="1"/>
    <col min="8966" max="8966" width="47.453125" style="3127" customWidth="1"/>
    <col min="8967" max="8967" width="13" style="3127" customWidth="1"/>
    <col min="8968" max="8969" width="8.90625" style="3127"/>
    <col min="8970" max="8970" width="5.7265625" style="3127" customWidth="1"/>
    <col min="8971" max="8971" width="11.7265625" style="3127" customWidth="1"/>
    <col min="8972" max="8973" width="10.7265625" style="3127" customWidth="1"/>
    <col min="8974" max="8974" width="10" style="3127" customWidth="1"/>
    <col min="8975" max="8976" width="10.453125" style="3127" bestFit="1" customWidth="1"/>
    <col min="8977" max="8977" width="10" style="3127" customWidth="1"/>
    <col min="8978" max="8978" width="10.08984375" style="3127" customWidth="1"/>
    <col min="8979" max="8979" width="10" style="3127" customWidth="1"/>
    <col min="8980" max="8980" width="26.08984375" style="3127" customWidth="1"/>
    <col min="8981" max="9216" width="8.90625" style="3127"/>
    <col min="9217" max="9217" width="9.453125" style="3127" customWidth="1"/>
    <col min="9218" max="9218" width="8.90625" style="3127"/>
    <col min="9219" max="9221" width="12.90625" style="3127" customWidth="1"/>
    <col min="9222" max="9222" width="47.453125" style="3127" customWidth="1"/>
    <col min="9223" max="9223" width="13" style="3127" customWidth="1"/>
    <col min="9224" max="9225" width="8.90625" style="3127"/>
    <col min="9226" max="9226" width="5.7265625" style="3127" customWidth="1"/>
    <col min="9227" max="9227" width="11.7265625" style="3127" customWidth="1"/>
    <col min="9228" max="9229" width="10.7265625" style="3127" customWidth="1"/>
    <col min="9230" max="9230" width="10" style="3127" customWidth="1"/>
    <col min="9231" max="9232" width="10.453125" style="3127" bestFit="1" customWidth="1"/>
    <col min="9233" max="9233" width="10" style="3127" customWidth="1"/>
    <col min="9234" max="9234" width="10.08984375" style="3127" customWidth="1"/>
    <col min="9235" max="9235" width="10" style="3127" customWidth="1"/>
    <col min="9236" max="9236" width="26.08984375" style="3127" customWidth="1"/>
    <col min="9237" max="9472" width="8.90625" style="3127"/>
    <col min="9473" max="9473" width="9.453125" style="3127" customWidth="1"/>
    <col min="9474" max="9474" width="8.90625" style="3127"/>
    <col min="9475" max="9477" width="12.90625" style="3127" customWidth="1"/>
    <col min="9478" max="9478" width="47.453125" style="3127" customWidth="1"/>
    <col min="9479" max="9479" width="13" style="3127" customWidth="1"/>
    <col min="9480" max="9481" width="8.90625" style="3127"/>
    <col min="9482" max="9482" width="5.7265625" style="3127" customWidth="1"/>
    <col min="9483" max="9483" width="11.7265625" style="3127" customWidth="1"/>
    <col min="9484" max="9485" width="10.7265625" style="3127" customWidth="1"/>
    <col min="9486" max="9486" width="10" style="3127" customWidth="1"/>
    <col min="9487" max="9488" width="10.453125" style="3127" bestFit="1" customWidth="1"/>
    <col min="9489" max="9489" width="10" style="3127" customWidth="1"/>
    <col min="9490" max="9490" width="10.08984375" style="3127" customWidth="1"/>
    <col min="9491" max="9491" width="10" style="3127" customWidth="1"/>
    <col min="9492" max="9492" width="26.08984375" style="3127" customWidth="1"/>
    <col min="9493" max="9728" width="8.90625" style="3127"/>
    <col min="9729" max="9729" width="9.453125" style="3127" customWidth="1"/>
    <col min="9730" max="9730" width="8.90625" style="3127"/>
    <col min="9731" max="9733" width="12.90625" style="3127" customWidth="1"/>
    <col min="9734" max="9734" width="47.453125" style="3127" customWidth="1"/>
    <col min="9735" max="9735" width="13" style="3127" customWidth="1"/>
    <col min="9736" max="9737" width="8.90625" style="3127"/>
    <col min="9738" max="9738" width="5.7265625" style="3127" customWidth="1"/>
    <col min="9739" max="9739" width="11.7265625" style="3127" customWidth="1"/>
    <col min="9740" max="9741" width="10.7265625" style="3127" customWidth="1"/>
    <col min="9742" max="9742" width="10" style="3127" customWidth="1"/>
    <col min="9743" max="9744" width="10.453125" style="3127" bestFit="1" customWidth="1"/>
    <col min="9745" max="9745" width="10" style="3127" customWidth="1"/>
    <col min="9746" max="9746" width="10.08984375" style="3127" customWidth="1"/>
    <col min="9747" max="9747" width="10" style="3127" customWidth="1"/>
    <col min="9748" max="9748" width="26.08984375" style="3127" customWidth="1"/>
    <col min="9749" max="9984" width="8.90625" style="3127"/>
    <col min="9985" max="9985" width="9.453125" style="3127" customWidth="1"/>
    <col min="9986" max="9986" width="8.90625" style="3127"/>
    <col min="9987" max="9989" width="12.90625" style="3127" customWidth="1"/>
    <col min="9990" max="9990" width="47.453125" style="3127" customWidth="1"/>
    <col min="9991" max="9991" width="13" style="3127" customWidth="1"/>
    <col min="9992" max="9993" width="8.90625" style="3127"/>
    <col min="9994" max="9994" width="5.7265625" style="3127" customWidth="1"/>
    <col min="9995" max="9995" width="11.7265625" style="3127" customWidth="1"/>
    <col min="9996" max="9997" width="10.7265625" style="3127" customWidth="1"/>
    <col min="9998" max="9998" width="10" style="3127" customWidth="1"/>
    <col min="9999" max="10000" width="10.453125" style="3127" bestFit="1" customWidth="1"/>
    <col min="10001" max="10001" width="10" style="3127" customWidth="1"/>
    <col min="10002" max="10002" width="10.08984375" style="3127" customWidth="1"/>
    <col min="10003" max="10003" width="10" style="3127" customWidth="1"/>
    <col min="10004" max="10004" width="26.08984375" style="3127" customWidth="1"/>
    <col min="10005" max="10240" width="8.90625" style="3127"/>
    <col min="10241" max="10241" width="9.453125" style="3127" customWidth="1"/>
    <col min="10242" max="10242" width="8.90625" style="3127"/>
    <col min="10243" max="10245" width="12.90625" style="3127" customWidth="1"/>
    <col min="10246" max="10246" width="47.453125" style="3127" customWidth="1"/>
    <col min="10247" max="10247" width="13" style="3127" customWidth="1"/>
    <col min="10248" max="10249" width="8.90625" style="3127"/>
    <col min="10250" max="10250" width="5.7265625" style="3127" customWidth="1"/>
    <col min="10251" max="10251" width="11.7265625" style="3127" customWidth="1"/>
    <col min="10252" max="10253" width="10.7265625" style="3127" customWidth="1"/>
    <col min="10254" max="10254" width="10" style="3127" customWidth="1"/>
    <col min="10255" max="10256" width="10.453125" style="3127" bestFit="1" customWidth="1"/>
    <col min="10257" max="10257" width="10" style="3127" customWidth="1"/>
    <col min="10258" max="10258" width="10.08984375" style="3127" customWidth="1"/>
    <col min="10259" max="10259" width="10" style="3127" customWidth="1"/>
    <col min="10260" max="10260" width="26.08984375" style="3127" customWidth="1"/>
    <col min="10261" max="10496" width="8.90625" style="3127"/>
    <col min="10497" max="10497" width="9.453125" style="3127" customWidth="1"/>
    <col min="10498" max="10498" width="8.90625" style="3127"/>
    <col min="10499" max="10501" width="12.90625" style="3127" customWidth="1"/>
    <col min="10502" max="10502" width="47.453125" style="3127" customWidth="1"/>
    <col min="10503" max="10503" width="13" style="3127" customWidth="1"/>
    <col min="10504" max="10505" width="8.90625" style="3127"/>
    <col min="10506" max="10506" width="5.7265625" style="3127" customWidth="1"/>
    <col min="10507" max="10507" width="11.7265625" style="3127" customWidth="1"/>
    <col min="10508" max="10509" width="10.7265625" style="3127" customWidth="1"/>
    <col min="10510" max="10510" width="10" style="3127" customWidth="1"/>
    <col min="10511" max="10512" width="10.453125" style="3127" bestFit="1" customWidth="1"/>
    <col min="10513" max="10513" width="10" style="3127" customWidth="1"/>
    <col min="10514" max="10514" width="10.08984375" style="3127" customWidth="1"/>
    <col min="10515" max="10515" width="10" style="3127" customWidth="1"/>
    <col min="10516" max="10516" width="26.08984375" style="3127" customWidth="1"/>
    <col min="10517" max="10752" width="8.90625" style="3127"/>
    <col min="10753" max="10753" width="9.453125" style="3127" customWidth="1"/>
    <col min="10754" max="10754" width="8.90625" style="3127"/>
    <col min="10755" max="10757" width="12.90625" style="3127" customWidth="1"/>
    <col min="10758" max="10758" width="47.453125" style="3127" customWidth="1"/>
    <col min="10759" max="10759" width="13" style="3127" customWidth="1"/>
    <col min="10760" max="10761" width="8.90625" style="3127"/>
    <col min="10762" max="10762" width="5.7265625" style="3127" customWidth="1"/>
    <col min="10763" max="10763" width="11.7265625" style="3127" customWidth="1"/>
    <col min="10764" max="10765" width="10.7265625" style="3127" customWidth="1"/>
    <col min="10766" max="10766" width="10" style="3127" customWidth="1"/>
    <col min="10767" max="10768" width="10.453125" style="3127" bestFit="1" customWidth="1"/>
    <col min="10769" max="10769" width="10" style="3127" customWidth="1"/>
    <col min="10770" max="10770" width="10.08984375" style="3127" customWidth="1"/>
    <col min="10771" max="10771" width="10" style="3127" customWidth="1"/>
    <col min="10772" max="10772" width="26.08984375" style="3127" customWidth="1"/>
    <col min="10773" max="11008" width="8.90625" style="3127"/>
    <col min="11009" max="11009" width="9.453125" style="3127" customWidth="1"/>
    <col min="11010" max="11010" width="8.90625" style="3127"/>
    <col min="11011" max="11013" width="12.90625" style="3127" customWidth="1"/>
    <col min="11014" max="11014" width="47.453125" style="3127" customWidth="1"/>
    <col min="11015" max="11015" width="13" style="3127" customWidth="1"/>
    <col min="11016" max="11017" width="8.90625" style="3127"/>
    <col min="11018" max="11018" width="5.7265625" style="3127" customWidth="1"/>
    <col min="11019" max="11019" width="11.7265625" style="3127" customWidth="1"/>
    <col min="11020" max="11021" width="10.7265625" style="3127" customWidth="1"/>
    <col min="11022" max="11022" width="10" style="3127" customWidth="1"/>
    <col min="11023" max="11024" width="10.453125" style="3127" bestFit="1" customWidth="1"/>
    <col min="11025" max="11025" width="10" style="3127" customWidth="1"/>
    <col min="11026" max="11026" width="10.08984375" style="3127" customWidth="1"/>
    <col min="11027" max="11027" width="10" style="3127" customWidth="1"/>
    <col min="11028" max="11028" width="26.08984375" style="3127" customWidth="1"/>
    <col min="11029" max="11264" width="8.90625" style="3127"/>
    <col min="11265" max="11265" width="9.453125" style="3127" customWidth="1"/>
    <col min="11266" max="11266" width="8.90625" style="3127"/>
    <col min="11267" max="11269" width="12.90625" style="3127" customWidth="1"/>
    <col min="11270" max="11270" width="47.453125" style="3127" customWidth="1"/>
    <col min="11271" max="11271" width="13" style="3127" customWidth="1"/>
    <col min="11272" max="11273" width="8.90625" style="3127"/>
    <col min="11274" max="11274" width="5.7265625" style="3127" customWidth="1"/>
    <col min="11275" max="11275" width="11.7265625" style="3127" customWidth="1"/>
    <col min="11276" max="11277" width="10.7265625" style="3127" customWidth="1"/>
    <col min="11278" max="11278" width="10" style="3127" customWidth="1"/>
    <col min="11279" max="11280" width="10.453125" style="3127" bestFit="1" customWidth="1"/>
    <col min="11281" max="11281" width="10" style="3127" customWidth="1"/>
    <col min="11282" max="11282" width="10.08984375" style="3127" customWidth="1"/>
    <col min="11283" max="11283" width="10" style="3127" customWidth="1"/>
    <col min="11284" max="11284" width="26.08984375" style="3127" customWidth="1"/>
    <col min="11285" max="11520" width="8.90625" style="3127"/>
    <col min="11521" max="11521" width="9.453125" style="3127" customWidth="1"/>
    <col min="11522" max="11522" width="8.90625" style="3127"/>
    <col min="11523" max="11525" width="12.90625" style="3127" customWidth="1"/>
    <col min="11526" max="11526" width="47.453125" style="3127" customWidth="1"/>
    <col min="11527" max="11527" width="13" style="3127" customWidth="1"/>
    <col min="11528" max="11529" width="8.90625" style="3127"/>
    <col min="11530" max="11530" width="5.7265625" style="3127" customWidth="1"/>
    <col min="11531" max="11531" width="11.7265625" style="3127" customWidth="1"/>
    <col min="11532" max="11533" width="10.7265625" style="3127" customWidth="1"/>
    <col min="11534" max="11534" width="10" style="3127" customWidth="1"/>
    <col min="11535" max="11536" width="10.453125" style="3127" bestFit="1" customWidth="1"/>
    <col min="11537" max="11537" width="10" style="3127" customWidth="1"/>
    <col min="11538" max="11538" width="10.08984375" style="3127" customWidth="1"/>
    <col min="11539" max="11539" width="10" style="3127" customWidth="1"/>
    <col min="11540" max="11540" width="26.08984375" style="3127" customWidth="1"/>
    <col min="11541" max="11776" width="8.90625" style="3127"/>
    <col min="11777" max="11777" width="9.453125" style="3127" customWidth="1"/>
    <col min="11778" max="11778" width="8.90625" style="3127"/>
    <col min="11779" max="11781" width="12.90625" style="3127" customWidth="1"/>
    <col min="11782" max="11782" width="47.453125" style="3127" customWidth="1"/>
    <col min="11783" max="11783" width="13" style="3127" customWidth="1"/>
    <col min="11784" max="11785" width="8.90625" style="3127"/>
    <col min="11786" max="11786" width="5.7265625" style="3127" customWidth="1"/>
    <col min="11787" max="11787" width="11.7265625" style="3127" customWidth="1"/>
    <col min="11788" max="11789" width="10.7265625" style="3127" customWidth="1"/>
    <col min="11790" max="11790" width="10" style="3127" customWidth="1"/>
    <col min="11791" max="11792" width="10.453125" style="3127" bestFit="1" customWidth="1"/>
    <col min="11793" max="11793" width="10" style="3127" customWidth="1"/>
    <col min="11794" max="11794" width="10.08984375" style="3127" customWidth="1"/>
    <col min="11795" max="11795" width="10" style="3127" customWidth="1"/>
    <col min="11796" max="11796" width="26.08984375" style="3127" customWidth="1"/>
    <col min="11797" max="12032" width="8.90625" style="3127"/>
    <col min="12033" max="12033" width="9.453125" style="3127" customWidth="1"/>
    <col min="12034" max="12034" width="8.90625" style="3127"/>
    <col min="12035" max="12037" width="12.90625" style="3127" customWidth="1"/>
    <col min="12038" max="12038" width="47.453125" style="3127" customWidth="1"/>
    <col min="12039" max="12039" width="13" style="3127" customWidth="1"/>
    <col min="12040" max="12041" width="8.90625" style="3127"/>
    <col min="12042" max="12042" width="5.7265625" style="3127" customWidth="1"/>
    <col min="12043" max="12043" width="11.7265625" style="3127" customWidth="1"/>
    <col min="12044" max="12045" width="10.7265625" style="3127" customWidth="1"/>
    <col min="12046" max="12046" width="10" style="3127" customWidth="1"/>
    <col min="12047" max="12048" width="10.453125" style="3127" bestFit="1" customWidth="1"/>
    <col min="12049" max="12049" width="10" style="3127" customWidth="1"/>
    <col min="12050" max="12050" width="10.08984375" style="3127" customWidth="1"/>
    <col min="12051" max="12051" width="10" style="3127" customWidth="1"/>
    <col min="12052" max="12052" width="26.08984375" style="3127" customWidth="1"/>
    <col min="12053" max="12288" width="8.90625" style="3127"/>
    <col min="12289" max="12289" width="9.453125" style="3127" customWidth="1"/>
    <col min="12290" max="12290" width="8.90625" style="3127"/>
    <col min="12291" max="12293" width="12.90625" style="3127" customWidth="1"/>
    <col min="12294" max="12294" width="47.453125" style="3127" customWidth="1"/>
    <col min="12295" max="12295" width="13" style="3127" customWidth="1"/>
    <col min="12296" max="12297" width="8.90625" style="3127"/>
    <col min="12298" max="12298" width="5.7265625" style="3127" customWidth="1"/>
    <col min="12299" max="12299" width="11.7265625" style="3127" customWidth="1"/>
    <col min="12300" max="12301" width="10.7265625" style="3127" customWidth="1"/>
    <col min="12302" max="12302" width="10" style="3127" customWidth="1"/>
    <col min="12303" max="12304" width="10.453125" style="3127" bestFit="1" customWidth="1"/>
    <col min="12305" max="12305" width="10" style="3127" customWidth="1"/>
    <col min="12306" max="12306" width="10.08984375" style="3127" customWidth="1"/>
    <col min="12307" max="12307" width="10" style="3127" customWidth="1"/>
    <col min="12308" max="12308" width="26.08984375" style="3127" customWidth="1"/>
    <col min="12309" max="12544" width="8.90625" style="3127"/>
    <col min="12545" max="12545" width="9.453125" style="3127" customWidth="1"/>
    <col min="12546" max="12546" width="8.90625" style="3127"/>
    <col min="12547" max="12549" width="12.90625" style="3127" customWidth="1"/>
    <col min="12550" max="12550" width="47.453125" style="3127" customWidth="1"/>
    <col min="12551" max="12551" width="13" style="3127" customWidth="1"/>
    <col min="12552" max="12553" width="8.90625" style="3127"/>
    <col min="12554" max="12554" width="5.7265625" style="3127" customWidth="1"/>
    <col min="12555" max="12555" width="11.7265625" style="3127" customWidth="1"/>
    <col min="12556" max="12557" width="10.7265625" style="3127" customWidth="1"/>
    <col min="12558" max="12558" width="10" style="3127" customWidth="1"/>
    <col min="12559" max="12560" width="10.453125" style="3127" bestFit="1" customWidth="1"/>
    <col min="12561" max="12561" width="10" style="3127" customWidth="1"/>
    <col min="12562" max="12562" width="10.08984375" style="3127" customWidth="1"/>
    <col min="12563" max="12563" width="10" style="3127" customWidth="1"/>
    <col min="12564" max="12564" width="26.08984375" style="3127" customWidth="1"/>
    <col min="12565" max="12800" width="8.90625" style="3127"/>
    <col min="12801" max="12801" width="9.453125" style="3127" customWidth="1"/>
    <col min="12802" max="12802" width="8.90625" style="3127"/>
    <col min="12803" max="12805" width="12.90625" style="3127" customWidth="1"/>
    <col min="12806" max="12806" width="47.453125" style="3127" customWidth="1"/>
    <col min="12807" max="12807" width="13" style="3127" customWidth="1"/>
    <col min="12808" max="12809" width="8.90625" style="3127"/>
    <col min="12810" max="12810" width="5.7265625" style="3127" customWidth="1"/>
    <col min="12811" max="12811" width="11.7265625" style="3127" customWidth="1"/>
    <col min="12812" max="12813" width="10.7265625" style="3127" customWidth="1"/>
    <col min="12814" max="12814" width="10" style="3127" customWidth="1"/>
    <col min="12815" max="12816" width="10.453125" style="3127" bestFit="1" customWidth="1"/>
    <col min="12817" max="12817" width="10" style="3127" customWidth="1"/>
    <col min="12818" max="12818" width="10.08984375" style="3127" customWidth="1"/>
    <col min="12819" max="12819" width="10" style="3127" customWidth="1"/>
    <col min="12820" max="12820" width="26.08984375" style="3127" customWidth="1"/>
    <col min="12821" max="13056" width="8.90625" style="3127"/>
    <col min="13057" max="13057" width="9.453125" style="3127" customWidth="1"/>
    <col min="13058" max="13058" width="8.90625" style="3127"/>
    <col min="13059" max="13061" width="12.90625" style="3127" customWidth="1"/>
    <col min="13062" max="13062" width="47.453125" style="3127" customWidth="1"/>
    <col min="13063" max="13063" width="13" style="3127" customWidth="1"/>
    <col min="13064" max="13065" width="8.90625" style="3127"/>
    <col min="13066" max="13066" width="5.7265625" style="3127" customWidth="1"/>
    <col min="13067" max="13067" width="11.7265625" style="3127" customWidth="1"/>
    <col min="13068" max="13069" width="10.7265625" style="3127" customWidth="1"/>
    <col min="13070" max="13070" width="10" style="3127" customWidth="1"/>
    <col min="13071" max="13072" width="10.453125" style="3127" bestFit="1" customWidth="1"/>
    <col min="13073" max="13073" width="10" style="3127" customWidth="1"/>
    <col min="13074" max="13074" width="10.08984375" style="3127" customWidth="1"/>
    <col min="13075" max="13075" width="10" style="3127" customWidth="1"/>
    <col min="13076" max="13076" width="26.08984375" style="3127" customWidth="1"/>
    <col min="13077" max="13312" width="8.90625" style="3127"/>
    <col min="13313" max="13313" width="9.453125" style="3127" customWidth="1"/>
    <col min="13314" max="13314" width="8.90625" style="3127"/>
    <col min="13315" max="13317" width="12.90625" style="3127" customWidth="1"/>
    <col min="13318" max="13318" width="47.453125" style="3127" customWidth="1"/>
    <col min="13319" max="13319" width="13" style="3127" customWidth="1"/>
    <col min="13320" max="13321" width="8.90625" style="3127"/>
    <col min="13322" max="13322" width="5.7265625" style="3127" customWidth="1"/>
    <col min="13323" max="13323" width="11.7265625" style="3127" customWidth="1"/>
    <col min="13324" max="13325" width="10.7265625" style="3127" customWidth="1"/>
    <col min="13326" max="13326" width="10" style="3127" customWidth="1"/>
    <col min="13327" max="13328" width="10.453125" style="3127" bestFit="1" customWidth="1"/>
    <col min="13329" max="13329" width="10" style="3127" customWidth="1"/>
    <col min="13330" max="13330" width="10.08984375" style="3127" customWidth="1"/>
    <col min="13331" max="13331" width="10" style="3127" customWidth="1"/>
    <col min="13332" max="13332" width="26.08984375" style="3127" customWidth="1"/>
    <col min="13333" max="13568" width="8.90625" style="3127"/>
    <col min="13569" max="13569" width="9.453125" style="3127" customWidth="1"/>
    <col min="13570" max="13570" width="8.90625" style="3127"/>
    <col min="13571" max="13573" width="12.90625" style="3127" customWidth="1"/>
    <col min="13574" max="13574" width="47.453125" style="3127" customWidth="1"/>
    <col min="13575" max="13575" width="13" style="3127" customWidth="1"/>
    <col min="13576" max="13577" width="8.90625" style="3127"/>
    <col min="13578" max="13578" width="5.7265625" style="3127" customWidth="1"/>
    <col min="13579" max="13579" width="11.7265625" style="3127" customWidth="1"/>
    <col min="13580" max="13581" width="10.7265625" style="3127" customWidth="1"/>
    <col min="13582" max="13582" width="10" style="3127" customWidth="1"/>
    <col min="13583" max="13584" width="10.453125" style="3127" bestFit="1" customWidth="1"/>
    <col min="13585" max="13585" width="10" style="3127" customWidth="1"/>
    <col min="13586" max="13586" width="10.08984375" style="3127" customWidth="1"/>
    <col min="13587" max="13587" width="10" style="3127" customWidth="1"/>
    <col min="13588" max="13588" width="26.08984375" style="3127" customWidth="1"/>
    <col min="13589" max="13824" width="8.90625" style="3127"/>
    <col min="13825" max="13825" width="9.453125" style="3127" customWidth="1"/>
    <col min="13826" max="13826" width="8.90625" style="3127"/>
    <col min="13827" max="13829" width="12.90625" style="3127" customWidth="1"/>
    <col min="13830" max="13830" width="47.453125" style="3127" customWidth="1"/>
    <col min="13831" max="13831" width="13" style="3127" customWidth="1"/>
    <col min="13832" max="13833" width="8.90625" style="3127"/>
    <col min="13834" max="13834" width="5.7265625" style="3127" customWidth="1"/>
    <col min="13835" max="13835" width="11.7265625" style="3127" customWidth="1"/>
    <col min="13836" max="13837" width="10.7265625" style="3127" customWidth="1"/>
    <col min="13838" max="13838" width="10" style="3127" customWidth="1"/>
    <col min="13839" max="13840" width="10.453125" style="3127" bestFit="1" customWidth="1"/>
    <col min="13841" max="13841" width="10" style="3127" customWidth="1"/>
    <col min="13842" max="13842" width="10.08984375" style="3127" customWidth="1"/>
    <col min="13843" max="13843" width="10" style="3127" customWidth="1"/>
    <col min="13844" max="13844" width="26.08984375" style="3127" customWidth="1"/>
    <col min="13845" max="14080" width="8.90625" style="3127"/>
    <col min="14081" max="14081" width="9.453125" style="3127" customWidth="1"/>
    <col min="14082" max="14082" width="8.90625" style="3127"/>
    <col min="14083" max="14085" width="12.90625" style="3127" customWidth="1"/>
    <col min="14086" max="14086" width="47.453125" style="3127" customWidth="1"/>
    <col min="14087" max="14087" width="13" style="3127" customWidth="1"/>
    <col min="14088" max="14089" width="8.90625" style="3127"/>
    <col min="14090" max="14090" width="5.7265625" style="3127" customWidth="1"/>
    <col min="14091" max="14091" width="11.7265625" style="3127" customWidth="1"/>
    <col min="14092" max="14093" width="10.7265625" style="3127" customWidth="1"/>
    <col min="14094" max="14094" width="10" style="3127" customWidth="1"/>
    <col min="14095" max="14096" width="10.453125" style="3127" bestFit="1" customWidth="1"/>
    <col min="14097" max="14097" width="10" style="3127" customWidth="1"/>
    <col min="14098" max="14098" width="10.08984375" style="3127" customWidth="1"/>
    <col min="14099" max="14099" width="10" style="3127" customWidth="1"/>
    <col min="14100" max="14100" width="26.08984375" style="3127" customWidth="1"/>
    <col min="14101" max="14336" width="8.90625" style="3127"/>
    <col min="14337" max="14337" width="9.453125" style="3127" customWidth="1"/>
    <col min="14338" max="14338" width="8.90625" style="3127"/>
    <col min="14339" max="14341" width="12.90625" style="3127" customWidth="1"/>
    <col min="14342" max="14342" width="47.453125" style="3127" customWidth="1"/>
    <col min="14343" max="14343" width="13" style="3127" customWidth="1"/>
    <col min="14344" max="14345" width="8.90625" style="3127"/>
    <col min="14346" max="14346" width="5.7265625" style="3127" customWidth="1"/>
    <col min="14347" max="14347" width="11.7265625" style="3127" customWidth="1"/>
    <col min="14348" max="14349" width="10.7265625" style="3127" customWidth="1"/>
    <col min="14350" max="14350" width="10" style="3127" customWidth="1"/>
    <col min="14351" max="14352" width="10.453125" style="3127" bestFit="1" customWidth="1"/>
    <col min="14353" max="14353" width="10" style="3127" customWidth="1"/>
    <col min="14354" max="14354" width="10.08984375" style="3127" customWidth="1"/>
    <col min="14355" max="14355" width="10" style="3127" customWidth="1"/>
    <col min="14356" max="14356" width="26.08984375" style="3127" customWidth="1"/>
    <col min="14357" max="14592" width="8.90625" style="3127"/>
    <col min="14593" max="14593" width="9.453125" style="3127" customWidth="1"/>
    <col min="14594" max="14594" width="8.90625" style="3127"/>
    <col min="14595" max="14597" width="12.90625" style="3127" customWidth="1"/>
    <col min="14598" max="14598" width="47.453125" style="3127" customWidth="1"/>
    <col min="14599" max="14599" width="13" style="3127" customWidth="1"/>
    <col min="14600" max="14601" width="8.90625" style="3127"/>
    <col min="14602" max="14602" width="5.7265625" style="3127" customWidth="1"/>
    <col min="14603" max="14603" width="11.7265625" style="3127" customWidth="1"/>
    <col min="14604" max="14605" width="10.7265625" style="3127" customWidth="1"/>
    <col min="14606" max="14606" width="10" style="3127" customWidth="1"/>
    <col min="14607" max="14608" width="10.453125" style="3127" bestFit="1" customWidth="1"/>
    <col min="14609" max="14609" width="10" style="3127" customWidth="1"/>
    <col min="14610" max="14610" width="10.08984375" style="3127" customWidth="1"/>
    <col min="14611" max="14611" width="10" style="3127" customWidth="1"/>
    <col min="14612" max="14612" width="26.08984375" style="3127" customWidth="1"/>
    <col min="14613" max="14848" width="8.90625" style="3127"/>
    <col min="14849" max="14849" width="9.453125" style="3127" customWidth="1"/>
    <col min="14850" max="14850" width="8.90625" style="3127"/>
    <col min="14851" max="14853" width="12.90625" style="3127" customWidth="1"/>
    <col min="14854" max="14854" width="47.453125" style="3127" customWidth="1"/>
    <col min="14855" max="14855" width="13" style="3127" customWidth="1"/>
    <col min="14856" max="14857" width="8.90625" style="3127"/>
    <col min="14858" max="14858" width="5.7265625" style="3127" customWidth="1"/>
    <col min="14859" max="14859" width="11.7265625" style="3127" customWidth="1"/>
    <col min="14860" max="14861" width="10.7265625" style="3127" customWidth="1"/>
    <col min="14862" max="14862" width="10" style="3127" customWidth="1"/>
    <col min="14863" max="14864" width="10.453125" style="3127" bestFit="1" customWidth="1"/>
    <col min="14865" max="14865" width="10" style="3127" customWidth="1"/>
    <col min="14866" max="14866" width="10.08984375" style="3127" customWidth="1"/>
    <col min="14867" max="14867" width="10" style="3127" customWidth="1"/>
    <col min="14868" max="14868" width="26.08984375" style="3127" customWidth="1"/>
    <col min="14869" max="15104" width="8.90625" style="3127"/>
    <col min="15105" max="15105" width="9.453125" style="3127" customWidth="1"/>
    <col min="15106" max="15106" width="8.90625" style="3127"/>
    <col min="15107" max="15109" width="12.90625" style="3127" customWidth="1"/>
    <col min="15110" max="15110" width="47.453125" style="3127" customWidth="1"/>
    <col min="15111" max="15111" width="13" style="3127" customWidth="1"/>
    <col min="15112" max="15113" width="8.90625" style="3127"/>
    <col min="15114" max="15114" width="5.7265625" style="3127" customWidth="1"/>
    <col min="15115" max="15115" width="11.7265625" style="3127" customWidth="1"/>
    <col min="15116" max="15117" width="10.7265625" style="3127" customWidth="1"/>
    <col min="15118" max="15118" width="10" style="3127" customWidth="1"/>
    <col min="15119" max="15120" width="10.453125" style="3127" bestFit="1" customWidth="1"/>
    <col min="15121" max="15121" width="10" style="3127" customWidth="1"/>
    <col min="15122" max="15122" width="10.08984375" style="3127" customWidth="1"/>
    <col min="15123" max="15123" width="10" style="3127" customWidth="1"/>
    <col min="15124" max="15124" width="26.08984375" style="3127" customWidth="1"/>
    <col min="15125" max="15360" width="8.90625" style="3127"/>
    <col min="15361" max="15361" width="9.453125" style="3127" customWidth="1"/>
    <col min="15362" max="15362" width="8.90625" style="3127"/>
    <col min="15363" max="15365" width="12.90625" style="3127" customWidth="1"/>
    <col min="15366" max="15366" width="47.453125" style="3127" customWidth="1"/>
    <col min="15367" max="15367" width="13" style="3127" customWidth="1"/>
    <col min="15368" max="15369" width="8.90625" style="3127"/>
    <col min="15370" max="15370" width="5.7265625" style="3127" customWidth="1"/>
    <col min="15371" max="15371" width="11.7265625" style="3127" customWidth="1"/>
    <col min="15372" max="15373" width="10.7265625" style="3127" customWidth="1"/>
    <col min="15374" max="15374" width="10" style="3127" customWidth="1"/>
    <col min="15375" max="15376" width="10.453125" style="3127" bestFit="1" customWidth="1"/>
    <col min="15377" max="15377" width="10" style="3127" customWidth="1"/>
    <col min="15378" max="15378" width="10.08984375" style="3127" customWidth="1"/>
    <col min="15379" max="15379" width="10" style="3127" customWidth="1"/>
    <col min="15380" max="15380" width="26.08984375" style="3127" customWidth="1"/>
    <col min="15381" max="15616" width="8.90625" style="3127"/>
    <col min="15617" max="15617" width="9.453125" style="3127" customWidth="1"/>
    <col min="15618" max="15618" width="8.90625" style="3127"/>
    <col min="15619" max="15621" width="12.90625" style="3127" customWidth="1"/>
    <col min="15622" max="15622" width="47.453125" style="3127" customWidth="1"/>
    <col min="15623" max="15623" width="13" style="3127" customWidth="1"/>
    <col min="15624" max="15625" width="8.90625" style="3127"/>
    <col min="15626" max="15626" width="5.7265625" style="3127" customWidth="1"/>
    <col min="15627" max="15627" width="11.7265625" style="3127" customWidth="1"/>
    <col min="15628" max="15629" width="10.7265625" style="3127" customWidth="1"/>
    <col min="15630" max="15630" width="10" style="3127" customWidth="1"/>
    <col min="15631" max="15632" width="10.453125" style="3127" bestFit="1" customWidth="1"/>
    <col min="15633" max="15633" width="10" style="3127" customWidth="1"/>
    <col min="15634" max="15634" width="10.08984375" style="3127" customWidth="1"/>
    <col min="15635" max="15635" width="10" style="3127" customWidth="1"/>
    <col min="15636" max="15636" width="26.08984375" style="3127" customWidth="1"/>
    <col min="15637" max="15872" width="8.90625" style="3127"/>
    <col min="15873" max="15873" width="9.453125" style="3127" customWidth="1"/>
    <col min="15874" max="15874" width="8.90625" style="3127"/>
    <col min="15875" max="15877" width="12.90625" style="3127" customWidth="1"/>
    <col min="15878" max="15878" width="47.453125" style="3127" customWidth="1"/>
    <col min="15879" max="15879" width="13" style="3127" customWidth="1"/>
    <col min="15880" max="15881" width="8.90625" style="3127"/>
    <col min="15882" max="15882" width="5.7265625" style="3127" customWidth="1"/>
    <col min="15883" max="15883" width="11.7265625" style="3127" customWidth="1"/>
    <col min="15884" max="15885" width="10.7265625" style="3127" customWidth="1"/>
    <col min="15886" max="15886" width="10" style="3127" customWidth="1"/>
    <col min="15887" max="15888" width="10.453125" style="3127" bestFit="1" customWidth="1"/>
    <col min="15889" max="15889" width="10" style="3127" customWidth="1"/>
    <col min="15890" max="15890" width="10.08984375" style="3127" customWidth="1"/>
    <col min="15891" max="15891" width="10" style="3127" customWidth="1"/>
    <col min="15892" max="15892" width="26.08984375" style="3127" customWidth="1"/>
    <col min="15893" max="16128" width="8.90625" style="3127"/>
    <col min="16129" max="16129" width="9.453125" style="3127" customWidth="1"/>
    <col min="16130" max="16130" width="8.90625" style="3127"/>
    <col min="16131" max="16133" width="12.90625" style="3127" customWidth="1"/>
    <col min="16134" max="16134" width="47.453125" style="3127" customWidth="1"/>
    <col min="16135" max="16135" width="13" style="3127" customWidth="1"/>
    <col min="16136" max="16137" width="8.90625" style="3127"/>
    <col min="16138" max="16138" width="5.7265625" style="3127" customWidth="1"/>
    <col min="16139" max="16139" width="11.7265625" style="3127" customWidth="1"/>
    <col min="16140" max="16141" width="10.7265625" style="3127" customWidth="1"/>
    <col min="16142" max="16142" width="10" style="3127" customWidth="1"/>
    <col min="16143" max="16144" width="10.453125" style="3127" bestFit="1" customWidth="1"/>
    <col min="16145" max="16145" width="10" style="3127" customWidth="1"/>
    <col min="16146" max="16146" width="10.08984375" style="3127" customWidth="1"/>
    <col min="16147" max="16147" width="10" style="3127" customWidth="1"/>
    <col min="16148" max="16148" width="26.08984375" style="3127" customWidth="1"/>
    <col min="16149" max="16384" width="8.9062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15" customHeight="1">
      <c r="A2" s="3128" t="s">
        <v>2832</v>
      </c>
      <c r="B2" s="3129" t="e">
        <f>C40</f>
        <v>#DIV/0!</v>
      </c>
      <c r="C2" s="3130" t="s">
        <v>2833</v>
      </c>
      <c r="D2" s="3130"/>
      <c r="E2" s="3131"/>
      <c r="F2" s="3132"/>
      <c r="G2" s="3226"/>
      <c r="H2" s="3227"/>
      <c r="I2" s="3228"/>
      <c r="J2" s="3653" t="s">
        <v>2834</v>
      </c>
      <c r="K2" s="3654"/>
      <c r="L2" s="3229" t="s">
        <v>2835</v>
      </c>
      <c r="M2" s="3229" t="s">
        <v>2836</v>
      </c>
      <c r="N2" s="3229" t="s">
        <v>2837</v>
      </c>
      <c r="O2" s="3229" t="s">
        <v>2838</v>
      </c>
      <c r="P2" s="3229" t="s">
        <v>2839</v>
      </c>
      <c r="Q2" s="3230" t="s">
        <v>2840</v>
      </c>
      <c r="R2" s="3231" t="s">
        <v>2841</v>
      </c>
      <c r="S2" s="3225"/>
      <c r="T2" s="3225"/>
      <c r="U2" s="3225"/>
      <c r="V2" s="3228"/>
      <c r="W2" s="3227"/>
    </row>
    <row r="3" spans="1:23" s="3133" customFormat="1" ht="13.15" customHeight="1">
      <c r="A3" s="3135" t="s">
        <v>2842</v>
      </c>
      <c r="B3" s="3136" t="e">
        <f>ROUND(B2*10000/B4,0)</f>
        <v>#DIV/0!</v>
      </c>
      <c r="C3" s="3130" t="s">
        <v>2843</v>
      </c>
      <c r="D3" s="3130"/>
      <c r="E3" s="3131"/>
      <c r="F3" s="3132"/>
      <c r="G3" s="3226"/>
      <c r="H3" s="3227"/>
      <c r="I3" s="3228"/>
      <c r="J3" s="3655" t="s">
        <v>2844</v>
      </c>
      <c r="K3" s="3656"/>
      <c r="L3" s="3232"/>
      <c r="M3" s="3232"/>
      <c r="N3" s="3232"/>
      <c r="O3" s="3232"/>
      <c r="P3" s="3232"/>
      <c r="Q3" s="3233"/>
      <c r="R3" s="3234">
        <f>SUM(L3:Q3)</f>
        <v>0</v>
      </c>
      <c r="S3" s="3225"/>
      <c r="T3" s="3225"/>
      <c r="U3" s="3225"/>
      <c r="V3" s="3228"/>
      <c r="W3" s="3227"/>
    </row>
    <row r="4" spans="1:23" s="3133" customFormat="1" ht="13.15" customHeight="1">
      <c r="A4" s="3137" t="s">
        <v>2845</v>
      </c>
      <c r="B4" s="3194"/>
      <c r="C4" s="3130"/>
      <c r="D4" s="3130"/>
      <c r="E4" s="3131"/>
      <c r="F4" s="3132"/>
      <c r="G4" s="3226"/>
      <c r="H4" s="3227"/>
      <c r="I4" s="3228"/>
      <c r="J4" s="3655" t="s">
        <v>2846</v>
      </c>
      <c r="K4" s="3656"/>
      <c r="L4" s="3235"/>
      <c r="M4" s="3235"/>
      <c r="N4" s="3235"/>
      <c r="O4" s="3235"/>
      <c r="P4" s="3235"/>
      <c r="Q4" s="3236"/>
      <c r="R4" s="3237">
        <f>SUM(L4:Q4)</f>
        <v>0</v>
      </c>
      <c r="S4" s="3225"/>
      <c r="T4" s="3225"/>
      <c r="U4" s="3225"/>
      <c r="V4" s="3228"/>
      <c r="W4" s="3227"/>
    </row>
    <row r="5" spans="1:23" s="3133" customFormat="1" ht="13.15"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15" customHeight="1" thickBot="1">
      <c r="A6" s="3661" t="s">
        <v>2850</v>
      </c>
      <c r="B6" s="3662"/>
      <c r="C6" s="3663"/>
      <c r="D6" s="3196"/>
      <c r="E6" s="3140"/>
      <c r="F6" s="3141"/>
      <c r="G6" s="3241"/>
      <c r="H6" s="3227"/>
      <c r="I6" s="3228"/>
      <c r="J6" s="3647">
        <v>1</v>
      </c>
      <c r="K6" s="3648"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15" customHeight="1">
      <c r="A7" s="3143" t="s">
        <v>2860</v>
      </c>
      <c r="B7" s="3144"/>
      <c r="C7" s="3145"/>
      <c r="D7" s="3146">
        <f>SUM(D9,D10,D11,D17,0)</f>
        <v>0</v>
      </c>
      <c r="E7" s="3147" t="e">
        <f>E9+E10+E11+E17</f>
        <v>#DIV/0!</v>
      </c>
      <c r="F7" s="3148"/>
      <c r="G7" s="3244"/>
      <c r="H7" s="3227"/>
      <c r="I7" s="3228"/>
      <c r="J7" s="3647"/>
      <c r="K7" s="3649"/>
      <c r="L7" s="3245" t="s">
        <v>2960</v>
      </c>
      <c r="M7" s="3246"/>
      <c r="N7" s="3246"/>
      <c r="O7" s="3247"/>
      <c r="P7" s="3247"/>
      <c r="Q7" s="3248">
        <v>365</v>
      </c>
      <c r="R7" s="3249">
        <f>ROUND(M7*N7*O7*P7*Q7/10000,0)</f>
        <v>0</v>
      </c>
      <c r="S7" s="3225"/>
      <c r="T7" s="3225" t="s">
        <v>2861</v>
      </c>
      <c r="U7" s="3225"/>
      <c r="V7" s="3228"/>
      <c r="W7" s="3227"/>
    </row>
    <row r="8" spans="1:23" s="3133" customFormat="1" ht="13.15" customHeight="1">
      <c r="A8" s="3149" t="s">
        <v>2862</v>
      </c>
      <c r="B8" s="3664" t="s">
        <v>2863</v>
      </c>
      <c r="C8" s="3665"/>
      <c r="D8" s="3150" t="s">
        <v>2864</v>
      </c>
      <c r="E8" s="3151" t="s">
        <v>2865</v>
      </c>
      <c r="F8" s="3134" t="s">
        <v>2866</v>
      </c>
      <c r="G8" s="3304" t="s">
        <v>2974</v>
      </c>
      <c r="H8" s="3227"/>
      <c r="I8" s="3228"/>
      <c r="J8" s="3647"/>
      <c r="K8" s="3649"/>
      <c r="L8" s="3245" t="s">
        <v>2961</v>
      </c>
      <c r="M8" s="3246"/>
      <c r="N8" s="3246"/>
      <c r="O8" s="3247"/>
      <c r="P8" s="3247"/>
      <c r="Q8" s="3248">
        <v>365</v>
      </c>
      <c r="R8" s="3249">
        <f t="shared" ref="R8:R13" si="0">ROUND(M8*N8*O8*P8*Q8/10000,0)</f>
        <v>0</v>
      </c>
      <c r="S8" s="3225"/>
      <c r="T8" s="3225" t="s">
        <v>2867</v>
      </c>
      <c r="U8" s="3225"/>
      <c r="V8" s="3228"/>
      <c r="W8" s="3227"/>
    </row>
    <row r="9" spans="1:23" s="3133" customFormat="1" ht="13.15" customHeight="1">
      <c r="A9" s="3149">
        <v>1</v>
      </c>
      <c r="B9" s="3664" t="s">
        <v>2868</v>
      </c>
      <c r="C9" s="3665"/>
      <c r="D9" s="3150">
        <f>ROUND(D6*E9,0)</f>
        <v>0</v>
      </c>
      <c r="E9" s="3197"/>
      <c r="F9" s="3152" t="s">
        <v>2869</v>
      </c>
      <c r="G9" s="3250" t="s">
        <v>2972</v>
      </c>
      <c r="H9" s="3227"/>
      <c r="I9" s="3228"/>
      <c r="J9" s="3647"/>
      <c r="K9" s="3649"/>
      <c r="L9" s="3245" t="s">
        <v>2962</v>
      </c>
      <c r="M9" s="3246"/>
      <c r="N9" s="3246"/>
      <c r="O9" s="3247"/>
      <c r="P9" s="3247"/>
      <c r="Q9" s="3248">
        <v>365</v>
      </c>
      <c r="R9" s="3249">
        <f t="shared" si="0"/>
        <v>0</v>
      </c>
      <c r="S9" s="3225"/>
      <c r="T9" s="3225"/>
      <c r="U9" s="3225"/>
      <c r="V9" s="3228"/>
      <c r="W9" s="3227"/>
    </row>
    <row r="10" spans="1:23" s="3133" customFormat="1" ht="13.15" customHeight="1">
      <c r="A10" s="3149">
        <v>2</v>
      </c>
      <c r="B10" s="3664" t="s">
        <v>2870</v>
      </c>
      <c r="C10" s="3665"/>
      <c r="D10" s="3150">
        <f>ROUND(D6*E10,0)</f>
        <v>0</v>
      </c>
      <c r="E10" s="3197"/>
      <c r="F10" s="3152" t="s">
        <v>2871</v>
      </c>
      <c r="G10" s="3250" t="s">
        <v>2973</v>
      </c>
      <c r="H10" s="3227"/>
      <c r="I10" s="3228"/>
      <c r="J10" s="3647"/>
      <c r="K10" s="3649"/>
      <c r="L10" s="3245" t="s">
        <v>2963</v>
      </c>
      <c r="M10" s="3246"/>
      <c r="N10" s="3246"/>
      <c r="O10" s="3247"/>
      <c r="P10" s="3247"/>
      <c r="Q10" s="3248">
        <v>365</v>
      </c>
      <c r="R10" s="3249">
        <f t="shared" si="0"/>
        <v>0</v>
      </c>
      <c r="S10" s="3225"/>
      <c r="T10" s="3225"/>
      <c r="U10" s="3225"/>
      <c r="V10" s="3228"/>
      <c r="W10" s="3227"/>
    </row>
    <row r="11" spans="1:23" s="3133" customFormat="1" ht="13.15" customHeight="1">
      <c r="A11" s="3149">
        <v>3</v>
      </c>
      <c r="B11" s="3664" t="s">
        <v>2872</v>
      </c>
      <c r="C11" s="3665"/>
      <c r="D11" s="3150">
        <f>D12+D14+D15+D16</f>
        <v>0</v>
      </c>
      <c r="E11" s="3153" t="e">
        <f>D11/D6</f>
        <v>#DIV/0!</v>
      </c>
      <c r="F11" s="3134"/>
      <c r="G11" s="3250"/>
      <c r="H11" s="3227"/>
      <c r="I11" s="3228"/>
      <c r="J11" s="3647"/>
      <c r="K11" s="3649"/>
      <c r="L11" s="3245" t="s">
        <v>2964</v>
      </c>
      <c r="M11" s="3246"/>
      <c r="N11" s="3246"/>
      <c r="O11" s="3247"/>
      <c r="P11" s="3247"/>
      <c r="Q11" s="3248">
        <v>365</v>
      </c>
      <c r="R11" s="3249">
        <f t="shared" si="0"/>
        <v>0</v>
      </c>
      <c r="S11" s="3225"/>
      <c r="T11" s="3225"/>
      <c r="U11" s="3225"/>
      <c r="V11" s="3228"/>
      <c r="W11" s="3227"/>
    </row>
    <row r="12" spans="1:23" s="3133" customFormat="1" ht="13.15" customHeight="1">
      <c r="A12" s="3154" t="s">
        <v>2873</v>
      </c>
      <c r="B12" s="3657" t="s">
        <v>2874</v>
      </c>
      <c r="C12" s="3658"/>
      <c r="D12" s="3155">
        <f>ROUND(D13*1.2%*(1-30%),0)</f>
        <v>0</v>
      </c>
      <c r="E12" s="3156">
        <v>1.2E-2</v>
      </c>
      <c r="F12" s="3134" t="s">
        <v>2875</v>
      </c>
      <c r="G12" s="3250"/>
      <c r="H12" s="3227"/>
      <c r="I12" s="3228"/>
      <c r="J12" s="3647"/>
      <c r="K12" s="3649"/>
      <c r="L12" s="3245" t="s">
        <v>2965</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2876</v>
      </c>
      <c r="D13" s="3198"/>
      <c r="E13" s="3159"/>
      <c r="F13" s="3134"/>
      <c r="G13" s="3250"/>
      <c r="H13" s="3227"/>
      <c r="I13" s="3228"/>
      <c r="J13" s="3647"/>
      <c r="K13" s="3649"/>
      <c r="L13" s="3245" t="s">
        <v>2966</v>
      </c>
      <c r="M13" s="3246"/>
      <c r="N13" s="3246"/>
      <c r="O13" s="3247"/>
      <c r="P13" s="3247"/>
      <c r="Q13" s="3248">
        <v>365</v>
      </c>
      <c r="R13" s="3249">
        <f t="shared" si="0"/>
        <v>0</v>
      </c>
      <c r="S13" s="3225"/>
      <c r="T13" s="3225"/>
      <c r="U13" s="3225"/>
      <c r="V13" s="3228"/>
      <c r="W13" s="3227"/>
    </row>
    <row r="14" spans="1:23" s="3133" customFormat="1" ht="13.15" customHeight="1">
      <c r="A14" s="3154" t="s">
        <v>2877</v>
      </c>
      <c r="B14" s="3657" t="s">
        <v>2878</v>
      </c>
      <c r="C14" s="3658"/>
      <c r="D14" s="3155">
        <f>ROUND(E14*B5/10000,0)</f>
        <v>0</v>
      </c>
      <c r="E14" s="3199"/>
      <c r="F14" s="3134" t="s">
        <v>2879</v>
      </c>
      <c r="G14" s="3250"/>
      <c r="H14" s="3227"/>
      <c r="I14" s="3228"/>
      <c r="J14" s="3647"/>
      <c r="K14" s="3650"/>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2881</v>
      </c>
      <c r="B15" s="3657" t="s">
        <v>2882</v>
      </c>
      <c r="C15" s="3658"/>
      <c r="D15" s="3155">
        <f>ROUND(D6*E15,0)</f>
        <v>0</v>
      </c>
      <c r="E15" s="3156">
        <v>5.5E-2</v>
      </c>
      <c r="F15" s="3134" t="s">
        <v>2883</v>
      </c>
      <c r="G15" s="3250"/>
      <c r="H15" s="3227"/>
      <c r="I15" s="3228"/>
      <c r="J15" s="3647">
        <v>2</v>
      </c>
      <c r="K15" s="3648"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15" customHeight="1">
      <c r="A16" s="3154" t="s">
        <v>2892</v>
      </c>
      <c r="B16" s="3657" t="s">
        <v>2893</v>
      </c>
      <c r="C16" s="3658"/>
      <c r="D16" s="3200">
        <f>D6*E16</f>
        <v>0</v>
      </c>
      <c r="E16" s="3201"/>
      <c r="F16" s="3152" t="s">
        <v>2894</v>
      </c>
      <c r="G16" s="3250"/>
      <c r="H16" s="3227"/>
      <c r="I16" s="3228"/>
      <c r="J16" s="3647"/>
      <c r="K16" s="3649"/>
      <c r="L16" s="3245" t="s">
        <v>2967</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59" t="s">
        <v>2895</v>
      </c>
      <c r="C17" s="3660"/>
      <c r="D17" s="3161">
        <f>ROUND(D6*E17,0)</f>
        <v>0</v>
      </c>
      <c r="E17" s="3202"/>
      <c r="F17" s="3162" t="s">
        <v>2896</v>
      </c>
      <c r="G17" s="3303">
        <v>0.1</v>
      </c>
      <c r="H17" s="3227"/>
      <c r="I17" s="3228"/>
      <c r="J17" s="3647"/>
      <c r="K17" s="3649"/>
      <c r="L17" s="3245" t="s">
        <v>2968</v>
      </c>
      <c r="M17" s="3246"/>
      <c r="N17" s="3246"/>
      <c r="O17" s="3247"/>
      <c r="P17" s="3248">
        <v>365</v>
      </c>
      <c r="Q17" s="3246"/>
      <c r="R17" s="3259">
        <f>ROUND(M17*N17*O17*P17/10000,0)</f>
        <v>0</v>
      </c>
      <c r="S17" s="3225"/>
      <c r="T17" s="3225"/>
      <c r="U17" s="3225"/>
      <c r="V17" s="3228"/>
      <c r="W17" s="3227"/>
    </row>
    <row r="18" spans="1:23" s="3133" customFormat="1" ht="13.15" customHeight="1" thickBot="1">
      <c r="A18" s="3143" t="s">
        <v>2897</v>
      </c>
      <c r="B18" s="3144"/>
      <c r="C18" s="3144"/>
      <c r="D18" s="3163">
        <f>ROUND(D6*E18,0)</f>
        <v>0</v>
      </c>
      <c r="E18" s="3203"/>
      <c r="F18" s="3164" t="s">
        <v>2898</v>
      </c>
      <c r="G18" s="3303">
        <v>0.05</v>
      </c>
      <c r="H18" s="3227"/>
      <c r="I18" s="3228"/>
      <c r="J18" s="3647"/>
      <c r="K18" s="3649"/>
      <c r="L18" s="3245" t="s">
        <v>2969</v>
      </c>
      <c r="M18" s="3246"/>
      <c r="N18" s="3246"/>
      <c r="O18" s="3247"/>
      <c r="P18" s="3248">
        <v>365</v>
      </c>
      <c r="Q18" s="3246"/>
      <c r="R18" s="3259">
        <f>ROUND(M18*N18*O18*P18/10000,0)</f>
        <v>0</v>
      </c>
      <c r="S18" s="3225"/>
      <c r="T18" s="3225"/>
      <c r="U18" s="3225"/>
      <c r="V18" s="3228"/>
      <c r="W18" s="3227"/>
    </row>
    <row r="19" spans="1:23" s="3133" customFormat="1" ht="13.15" customHeight="1" thickBot="1">
      <c r="A19" s="3165" t="s">
        <v>2899</v>
      </c>
      <c r="B19" s="3140"/>
      <c r="C19" s="3140"/>
      <c r="D19" s="3140"/>
      <c r="E19" s="3140"/>
      <c r="F19" s="3141"/>
      <c r="G19" s="3250"/>
      <c r="H19" s="3227"/>
      <c r="I19" s="3228"/>
      <c r="J19" s="3647"/>
      <c r="K19" s="3650"/>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47">
        <v>3</v>
      </c>
      <c r="K20" s="3648"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15" customHeight="1">
      <c r="A21" s="3143"/>
      <c r="B21" s="3144"/>
      <c r="C21" s="3167" t="s">
        <v>2905</v>
      </c>
      <c r="D21" s="3168" t="s">
        <v>2906</v>
      </c>
      <c r="E21" s="3169" t="s">
        <v>2907</v>
      </c>
      <c r="F21" s="3166"/>
      <c r="G21" s="3250"/>
      <c r="H21" s="3227"/>
      <c r="I21" s="3228"/>
      <c r="J21" s="3647"/>
      <c r="K21" s="3649"/>
      <c r="L21" s="3255" t="s">
        <v>2908</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2909</v>
      </c>
      <c r="D22" s="3205" t="s">
        <v>2910</v>
      </c>
      <c r="E22" s="3206" t="s">
        <v>2911</v>
      </c>
      <c r="F22" s="3166"/>
      <c r="G22" s="3265"/>
      <c r="H22" s="3227"/>
      <c r="I22" s="3228"/>
      <c r="J22" s="3647"/>
      <c r="K22" s="3649"/>
      <c r="L22" s="3255" t="s">
        <v>2912</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2913</v>
      </c>
      <c r="C23" s="3171">
        <f>D6</f>
        <v>0</v>
      </c>
      <c r="D23" s="3172">
        <f>C23*(1+D24)</f>
        <v>0</v>
      </c>
      <c r="E23" s="3173">
        <f>D23*(1+E24)</f>
        <v>0</v>
      </c>
      <c r="F23" s="3174"/>
      <c r="G23" s="3266"/>
      <c r="H23" s="3227"/>
      <c r="I23" s="3228"/>
      <c r="J23" s="3647"/>
      <c r="K23" s="3649"/>
      <c r="L23" s="3255" t="s">
        <v>2914</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2915</v>
      </c>
      <c r="C24" s="3177"/>
      <c r="D24" s="3207"/>
      <c r="E24" s="3208"/>
      <c r="F24" s="3178"/>
      <c r="G24" s="3266"/>
      <c r="H24" s="3227"/>
      <c r="I24" s="3228"/>
      <c r="J24" s="3647"/>
      <c r="K24" s="3650"/>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2917</v>
      </c>
      <c r="C26" s="3171">
        <f>D7</f>
        <v>0</v>
      </c>
      <c r="D26" s="3172">
        <f>D23*D27</f>
        <v>0</v>
      </c>
      <c r="E26" s="3173">
        <f>E23*E27</f>
        <v>0</v>
      </c>
      <c r="F26" s="3174"/>
      <c r="G26" s="3266"/>
      <c r="H26" s="3227"/>
      <c r="I26" s="3228"/>
      <c r="J26" s="3651">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15" customHeight="1">
      <c r="A27" s="3175"/>
      <c r="B27" s="3176" t="s">
        <v>2923</v>
      </c>
      <c r="C27" s="3180" t="e">
        <f>E7</f>
        <v>#DIV/0!</v>
      </c>
      <c r="D27" s="3207"/>
      <c r="E27" s="3208"/>
      <c r="F27" s="3178"/>
      <c r="G27" s="3266"/>
      <c r="H27" s="3273"/>
      <c r="I27" s="3272"/>
      <c r="J27" s="3652"/>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15"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15" customHeight="1">
      <c r="A32" s="3170">
        <v>4</v>
      </c>
      <c r="B32" s="3142" t="s">
        <v>2931</v>
      </c>
      <c r="C32" s="3171">
        <f>C23-C26-C29</f>
        <v>0</v>
      </c>
      <c r="D32" s="3172">
        <f>D23-D26-D29</f>
        <v>0</v>
      </c>
      <c r="E32" s="3173">
        <f>E23-E26-E29</f>
        <v>0</v>
      </c>
      <c r="F32" s="3174"/>
      <c r="G32" s="3265"/>
      <c r="H32" s="3227"/>
      <c r="I32" s="3228"/>
      <c r="J32" s="3653" t="s">
        <v>2932</v>
      </c>
      <c r="K32" s="3654"/>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15" customHeight="1">
      <c r="A33" s="3170"/>
      <c r="B33" s="3142"/>
      <c r="C33" s="3171"/>
      <c r="D33" s="3182"/>
      <c r="E33" s="3183"/>
      <c r="F33" s="3174"/>
      <c r="G33" s="3265"/>
      <c r="H33" s="3273"/>
      <c r="I33" s="3272"/>
      <c r="J33" s="3655" t="s">
        <v>2936</v>
      </c>
      <c r="K33" s="3656"/>
      <c r="L33" s="3232"/>
      <c r="M33" s="3232"/>
      <c r="N33" s="3232"/>
      <c r="O33" s="3232"/>
      <c r="P33" s="3232"/>
      <c r="Q33" s="3233"/>
      <c r="R33" s="3293">
        <f>SUM(L33:Q33)</f>
        <v>0</v>
      </c>
      <c r="S33" s="3263"/>
      <c r="T33" s="3225"/>
      <c r="U33" s="3225"/>
      <c r="V33" s="3228"/>
      <c r="W33" s="3227"/>
    </row>
    <row r="34" spans="1:23" s="3133" customFormat="1" ht="13.15" customHeight="1">
      <c r="A34" s="3170">
        <v>5</v>
      </c>
      <c r="B34" s="3142" t="s">
        <v>2937</v>
      </c>
      <c r="C34" s="3210"/>
      <c r="D34" s="3211"/>
      <c r="E34" s="3212"/>
      <c r="F34" s="3174"/>
      <c r="G34" s="3265"/>
      <c r="H34" s="3273"/>
      <c r="I34" s="3272"/>
      <c r="J34" s="3655" t="s">
        <v>2938</v>
      </c>
      <c r="K34" s="3656"/>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15" customHeight="1" thickBot="1">
      <c r="A36" s="3170">
        <v>7</v>
      </c>
      <c r="B36" s="3184" t="s">
        <v>2942</v>
      </c>
      <c r="C36" s="3216"/>
      <c r="D36" s="3217"/>
      <c r="E36" s="3218"/>
      <c r="F36" s="3185">
        <f>C36+D36+E36</f>
        <v>0</v>
      </c>
      <c r="G36" s="3265"/>
      <c r="H36" s="3227"/>
      <c r="I36" s="3228"/>
      <c r="J36" s="3647">
        <v>1</v>
      </c>
      <c r="K36" s="3648" t="s">
        <v>2943</v>
      </c>
      <c r="L36" s="3242"/>
      <c r="M36" s="3243"/>
      <c r="N36" s="3243"/>
      <c r="O36" s="3243"/>
      <c r="P36" s="3243"/>
      <c r="Q36" s="3243"/>
      <c r="R36" s="3234" t="s">
        <v>2891</v>
      </c>
      <c r="S36" s="3263"/>
      <c r="T36" s="3225" t="s">
        <v>2944</v>
      </c>
      <c r="U36" s="3225"/>
      <c r="V36" s="3228"/>
      <c r="W36" s="3227"/>
    </row>
    <row r="37" spans="1:23" s="3133" customFormat="1" ht="13.15" customHeight="1">
      <c r="A37" s="3170"/>
      <c r="B37" s="3142"/>
      <c r="C37" s="3142"/>
      <c r="D37" s="3142"/>
      <c r="E37" s="3142"/>
      <c r="F37" s="3174"/>
      <c r="G37" s="3265"/>
      <c r="H37" s="3227"/>
      <c r="I37" s="3228"/>
      <c r="J37" s="3647"/>
      <c r="K37" s="3649"/>
      <c r="L37" s="3255"/>
      <c r="M37" s="3256"/>
      <c r="N37" s="3194"/>
      <c r="O37" s="3257"/>
      <c r="P37" s="3257"/>
      <c r="Q37" s="3199"/>
      <c r="R37" s="3297"/>
      <c r="S37" s="3263"/>
      <c r="T37" s="3225" t="s">
        <v>2945</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47"/>
      <c r="K38" s="3649"/>
      <c r="L38" s="3255"/>
      <c r="M38" s="3256"/>
      <c r="N38" s="3194"/>
      <c r="O38" s="3257"/>
      <c r="P38" s="3257"/>
      <c r="Q38" s="3199"/>
      <c r="R38" s="3297"/>
      <c r="S38" s="3263"/>
      <c r="T38" s="3225" t="s">
        <v>2867</v>
      </c>
      <c r="U38" s="3225"/>
      <c r="V38" s="3228"/>
      <c r="W38" s="3227"/>
    </row>
    <row r="39" spans="1:23" s="3133" customFormat="1" ht="13.15" customHeight="1">
      <c r="A39" s="3170">
        <v>9</v>
      </c>
      <c r="B39" s="3142" t="s">
        <v>2946</v>
      </c>
      <c r="C39" s="3155" t="e">
        <f>C38</f>
        <v>#DIV/0!</v>
      </c>
      <c r="D39" s="3142">
        <f>D38/(1+D34)^C36</f>
        <v>0</v>
      </c>
      <c r="E39" s="3142">
        <f>E38/(1+E34)^(C36+D36)</f>
        <v>0</v>
      </c>
      <c r="F39" s="3174"/>
      <c r="G39" s="3298"/>
      <c r="H39" s="3227"/>
      <c r="I39" s="3228"/>
      <c r="J39" s="3647"/>
      <c r="K39" s="3649"/>
      <c r="L39" s="3255"/>
      <c r="M39" s="3256"/>
      <c r="N39" s="3194"/>
      <c r="O39" s="3257"/>
      <c r="P39" s="3257"/>
      <c r="Q39" s="3199"/>
      <c r="R39" s="3297"/>
      <c r="S39" s="3263"/>
      <c r="T39" s="3225"/>
      <c r="U39" s="3225"/>
      <c r="V39" s="3228"/>
      <c r="W39" s="3227"/>
    </row>
    <row r="40" spans="1:23" s="3133" customFormat="1" ht="13.15" customHeight="1">
      <c r="A40" s="3186">
        <v>10</v>
      </c>
      <c r="B40" s="3142" t="s">
        <v>2947</v>
      </c>
      <c r="C40" s="3187" t="e">
        <f>C39+D39+E39</f>
        <v>#DIV/0!</v>
      </c>
      <c r="D40" s="3188"/>
      <c r="E40" s="3188"/>
      <c r="F40" s="3189"/>
      <c r="G40" s="3265"/>
      <c r="H40" s="3227"/>
      <c r="I40" s="3228"/>
      <c r="J40" s="3647"/>
      <c r="K40" s="3650"/>
      <c r="L40" s="3251" t="s">
        <v>2948</v>
      </c>
      <c r="M40" s="3252"/>
      <c r="N40" s="3252"/>
      <c r="O40" s="3253"/>
      <c r="P40" s="3253"/>
      <c r="Q40" s="3254"/>
      <c r="R40" s="3231">
        <f>SUM(R37:R39)</f>
        <v>0</v>
      </c>
      <c r="S40" s="3263"/>
      <c r="T40" s="3225"/>
      <c r="U40" s="3225"/>
      <c r="V40" s="3228"/>
      <c r="W40" s="3227"/>
    </row>
    <row r="41" spans="1:23" s="3133" customFormat="1" ht="13.15"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51">
        <v>3</v>
      </c>
      <c r="K42" s="3274" t="s">
        <v>2951</v>
      </c>
      <c r="L42" s="3275"/>
      <c r="M42" s="3276"/>
      <c r="N42" s="3277" t="s">
        <v>2952</v>
      </c>
      <c r="O42" s="3277" t="s">
        <v>2953</v>
      </c>
      <c r="P42" s="3278" t="s">
        <v>2954</v>
      </c>
      <c r="Q42" s="3278" t="s">
        <v>2955</v>
      </c>
      <c r="R42" s="3234" t="s">
        <v>2858</v>
      </c>
      <c r="S42" s="3279"/>
      <c r="T42" s="3279"/>
      <c r="U42" s="3225"/>
      <c r="V42" s="3228"/>
      <c r="W42" s="3227"/>
    </row>
    <row r="43" spans="1:23" ht="13.15" customHeight="1">
      <c r="A43" s="3133"/>
      <c r="B43" s="3133"/>
      <c r="C43" s="3133"/>
      <c r="D43" s="3133"/>
      <c r="E43" s="3133"/>
      <c r="F43" s="3133"/>
      <c r="I43" s="3220"/>
      <c r="J43" s="3652"/>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N21" sqref="N21"/>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5">
      <c r="A2" s="81" t="s">
        <v>2151</v>
      </c>
      <c r="B2" s="250">
        <f ca="1">B23</f>
        <v>195</v>
      </c>
      <c r="C2" s="900" t="str">
        <f>C23</f>
        <v>万元</v>
      </c>
      <c r="D2" s="37"/>
      <c r="E2" s="37"/>
      <c r="F2" s="37"/>
      <c r="G2" s="37"/>
      <c r="H2" s="37"/>
      <c r="I2" s="37"/>
      <c r="J2" s="37"/>
      <c r="K2" s="37"/>
      <c r="L2" s="37"/>
      <c r="M2" s="37"/>
      <c r="N2" s="37"/>
      <c r="O2" s="37"/>
      <c r="P2" s="37"/>
      <c r="Q2" s="37"/>
      <c r="R2" s="643"/>
      <c r="S2" s="31"/>
      <c r="T2" s="31"/>
      <c r="U2" s="997"/>
      <c r="V2" s="997"/>
      <c r="X2" s="997"/>
      <c r="Y2" s="997"/>
    </row>
    <row r="3" spans="1:44" ht="15.5">
      <c r="A3" s="83" t="s">
        <v>2152</v>
      </c>
      <c r="B3" s="250">
        <f ca="1">B24</f>
        <v>18027</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9" t="s">
        <v>2155</v>
      </c>
      <c r="D4" s="3670"/>
      <c r="E4" s="3670"/>
      <c r="F4" s="3670"/>
      <c r="G4" s="3670"/>
      <c r="H4" s="3670"/>
      <c r="I4" s="3670"/>
      <c r="J4" s="3670"/>
      <c r="K4" s="3670"/>
      <c r="L4" s="3670"/>
      <c r="M4" s="3670"/>
      <c r="N4" s="3670"/>
      <c r="O4" s="3670"/>
      <c r="P4" s="3670"/>
      <c r="Q4" s="3670"/>
      <c r="R4" s="3670"/>
      <c r="S4" s="3671"/>
      <c r="T4" s="575" t="s">
        <v>2156</v>
      </c>
      <c r="U4" s="997"/>
      <c r="V4" s="997"/>
      <c r="X4" s="997"/>
      <c r="Y4" s="997"/>
    </row>
    <row r="5" spans="1:44" s="587" customFormat="1" ht="37.5">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5" thickBot="1">
      <c r="A7" s="1003"/>
      <c r="B7" s="880"/>
      <c r="C7" s="1838">
        <f>'比较法-住宅'!C104</f>
        <v>100</v>
      </c>
      <c r="D7" s="1838">
        <f>'比较法-住宅'!D104</f>
        <v>98</v>
      </c>
      <c r="E7" s="1838">
        <f>'比较法-住宅'!E104</f>
        <v>96</v>
      </c>
      <c r="F7" s="1838">
        <f>'比较法-住宅'!F104</f>
        <v>94</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5" customHeight="1" thickTop="1">
      <c r="A8" s="1004"/>
      <c r="B8" s="3341" t="s">
        <v>3080</v>
      </c>
      <c r="C8" s="3357" t="s">
        <v>2998</v>
      </c>
      <c r="D8" s="3357" t="s">
        <v>3059</v>
      </c>
      <c r="E8" s="3357" t="s">
        <v>3060</v>
      </c>
      <c r="F8" s="3358" t="s">
        <v>3082</v>
      </c>
      <c r="G8" s="886"/>
      <c r="H8" s="886"/>
      <c r="I8" s="886"/>
      <c r="J8" s="886"/>
      <c r="K8" s="886"/>
      <c r="L8" s="887"/>
      <c r="M8" s="888"/>
      <c r="N8" s="888"/>
      <c r="O8" s="886"/>
      <c r="P8" s="886"/>
      <c r="Q8" s="886"/>
      <c r="R8" s="886"/>
      <c r="S8" s="913"/>
      <c r="T8" s="889">
        <v>1.5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98.5</v>
      </c>
      <c r="E9" s="877">
        <f t="shared" si="7"/>
        <v>97</v>
      </c>
      <c r="F9" s="877">
        <f t="shared" si="7"/>
        <v>95.5</v>
      </c>
      <c r="G9" s="877">
        <f t="shared" si="7"/>
        <v>94</v>
      </c>
      <c r="H9" s="877">
        <f t="shared" si="7"/>
        <v>92.5</v>
      </c>
      <c r="I9" s="877">
        <f t="shared" si="7"/>
        <v>91</v>
      </c>
      <c r="J9" s="877">
        <f t="shared" si="7"/>
        <v>89.5</v>
      </c>
      <c r="K9" s="877">
        <f t="shared" si="7"/>
        <v>88</v>
      </c>
      <c r="L9" s="877">
        <f t="shared" si="7"/>
        <v>86.5</v>
      </c>
      <c r="M9" s="878">
        <f t="shared" si="7"/>
        <v>85</v>
      </c>
      <c r="N9" s="878">
        <f t="shared" si="7"/>
        <v>83.5</v>
      </c>
      <c r="O9" s="877">
        <f t="shared" si="7"/>
        <v>82</v>
      </c>
      <c r="P9" s="877">
        <f t="shared" si="7"/>
        <v>80.5</v>
      </c>
      <c r="Q9" s="877">
        <f t="shared" si="7"/>
        <v>79</v>
      </c>
      <c r="R9" s="877">
        <f t="shared" si="7"/>
        <v>77.5</v>
      </c>
      <c r="S9" s="914">
        <f t="shared" si="7"/>
        <v>76</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4.5" thickTop="1">
      <c r="A10" s="1004"/>
      <c r="B10" s="3346" t="s">
        <v>3083</v>
      </c>
      <c r="C10" s="3336" t="s">
        <v>3047</v>
      </c>
      <c r="D10" s="3357" t="s">
        <v>3054</v>
      </c>
      <c r="E10" s="3357" t="s">
        <v>3055</v>
      </c>
      <c r="F10" s="3359" t="s">
        <v>3048</v>
      </c>
      <c r="G10" s="3357" t="s">
        <v>3056</v>
      </c>
      <c r="H10" s="3357" t="s">
        <v>3049</v>
      </c>
      <c r="I10" s="3357" t="s">
        <v>3050</v>
      </c>
      <c r="J10" s="3357" t="s">
        <v>3053</v>
      </c>
      <c r="K10" s="3357" t="s">
        <v>3051</v>
      </c>
      <c r="L10" s="3357" t="s">
        <v>3052</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t="13"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t="13"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t="13"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t="13"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134048.25737265416</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270.42500000000001</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ht="13">
      <c r="A20" s="1519" t="s">
        <v>2162</v>
      </c>
      <c r="B20" s="1520" t="s">
        <v>2163</v>
      </c>
      <c r="C20" s="3313" t="s">
        <v>3010</v>
      </c>
      <c r="D20" s="3314" t="s">
        <v>3008</v>
      </c>
      <c r="E20" s="3314" t="s">
        <v>3011</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103</v>
      </c>
      <c r="E21" s="1017">
        <v>106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ht="13">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 thickBot="1">
      <c r="A23" s="81" t="s">
        <v>2165</v>
      </c>
      <c r="B23" s="224">
        <f ca="1">IF(F23="——",IF(C23="万元",T25,S25),IF(C23="万元",T25-H23,S25-H23))</f>
        <v>195</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5">
      <c r="A24" s="1522" t="s">
        <v>2166</v>
      </c>
      <c r="B24" s="224">
        <f ca="1">ROUND(B23*10000/B25,0)</f>
        <v>18027</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ht="13">
      <c r="A25" s="250" t="s">
        <v>2172</v>
      </c>
      <c r="B25" s="13">
        <f>SUM(B27:B10000)</f>
        <v>108.17</v>
      </c>
      <c r="C25" s="3666" t="s">
        <v>45</v>
      </c>
      <c r="D25" s="3667"/>
      <c r="E25" s="3667"/>
      <c r="F25" s="3667"/>
      <c r="G25" s="3667"/>
      <c r="H25" s="3667"/>
      <c r="I25" s="3667"/>
      <c r="J25" s="3667"/>
      <c r="K25" s="3667"/>
      <c r="L25" s="3667"/>
      <c r="M25" s="3667"/>
      <c r="N25" s="3667"/>
      <c r="O25" s="3667"/>
      <c r="P25" s="3667"/>
      <c r="Q25" s="3668"/>
      <c r="R25" s="596">
        <f ca="1">IF(C23="万元",ROUND(T25*10000/B25,0),ROUND(S25/B25,0))</f>
        <v>18027</v>
      </c>
      <c r="S25" s="13">
        <f ca="1">SUM(S27:S10000)</f>
        <v>1947709</v>
      </c>
      <c r="T25" s="13">
        <f ca="1">SUM(T27:T10000)</f>
        <v>195</v>
      </c>
      <c r="U25" s="17">
        <f>SUM(U27:U10000)</f>
        <v>0</v>
      </c>
      <c r="V25" s="17">
        <f>SUM(V27:V10000)</f>
        <v>0</v>
      </c>
      <c r="W25" s="2952"/>
      <c r="X25" s="17">
        <f>SUM(X27:X10000)</f>
        <v>0</v>
      </c>
      <c r="Y25" s="17">
        <f>SUM(Y27:Y10000)</f>
        <v>0</v>
      </c>
      <c r="Z25" s="1525"/>
    </row>
    <row r="26" spans="1:45" s="11" customFormat="1" ht="26">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ht="13">
      <c r="A27" s="3334">
        <v>1414</v>
      </c>
      <c r="B27" s="3335">
        <f>'数据-取费表'!E5</f>
        <v>0</v>
      </c>
      <c r="C27" s="899">
        <v>1</v>
      </c>
      <c r="D27" s="599" t="s">
        <v>2998</v>
      </c>
      <c r="E27" s="899">
        <v>1</v>
      </c>
      <c r="F27" s="599" t="s">
        <v>3052</v>
      </c>
      <c r="G27" s="899">
        <v>1</v>
      </c>
      <c r="H27" s="599"/>
      <c r="I27" s="899">
        <v>1</v>
      </c>
      <c r="J27" s="599"/>
      <c r="K27" s="899">
        <v>1</v>
      </c>
      <c r="L27" s="599"/>
      <c r="M27" s="899">
        <v>1</v>
      </c>
      <c r="N27" s="599"/>
      <c r="O27" s="899">
        <v>1</v>
      </c>
      <c r="P27" s="599" t="s">
        <v>3019</v>
      </c>
      <c r="Q27" s="899">
        <v>1</v>
      </c>
      <c r="R27" s="905">
        <f ca="1">结果表!G20</f>
        <v>18135</v>
      </c>
      <c r="S27" s="598">
        <f ca="1">ROUND(R27*B27,0)</f>
        <v>0</v>
      </c>
      <c r="T27" s="598">
        <f ca="1">ROUND(R27*B27/10000,0)</f>
        <v>0</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ht="13">
      <c r="A28" s="2727">
        <v>1604</v>
      </c>
      <c r="B28" s="2727">
        <v>108.17</v>
      </c>
      <c r="C28" s="13">
        <f t="shared" ref="C28:C91" si="14">IF(B28="",1,(LOOKUP(B28,$6:$6,$7:$7)-LOOKUP($B$27,$6:$6,$7:$7)+100)/100)</f>
        <v>0.98</v>
      </c>
      <c r="D28" s="599" t="s">
        <v>3081</v>
      </c>
      <c r="E28" s="3361">
        <f t="shared" ref="E28:E91" si="15">(SUMIF($8:$8,D28,$9:$9)-SUMIF($8:$8,$D$27,$9:$9)+100)/100</f>
        <v>0.95499999999999996</v>
      </c>
      <c r="F28" s="599" t="s">
        <v>3048</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3002</v>
      </c>
      <c r="Q28" s="13">
        <f t="shared" ref="Q28:Q91" si="21">(SUMIF($20:$20,P28,$21:$21)-SUMIF($20:$20,$P$27,$21:$21)+100)/100</f>
        <v>1.03</v>
      </c>
      <c r="R28" s="596">
        <f ca="1">IF(B28="",0,ROUND($R$27*C28*E28*G28*I28*K28*M28*O28*Q28,0))</f>
        <v>18006</v>
      </c>
      <c r="S28" s="250">
        <f ca="1">ROUND(R28*B28,0)</f>
        <v>1947709</v>
      </c>
      <c r="T28" s="899">
        <f ca="1">ROUND(R28*B28/10000,0)</f>
        <v>195</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ht="13">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-0.03</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ht="13">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-0.03</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ht="13">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-0.03</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ht="13">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-0.03</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ht="13">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-0.03</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ht="13">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-0.03</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ht="13">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-0.03</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ht="13">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-0.03</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ht="13">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-0.03</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ht="13">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-0.03</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ht="13">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-0.03</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ht="13">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-0.03</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ht="13">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-0.03</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ht="13">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-0.03</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ht="13">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-0.03</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ht="13">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-0.03</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ht="13">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-0.03</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ht="13">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-0.03</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ht="13">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-0.03</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ht="13">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-0.03</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ht="13">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-0.03</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ht="13">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-0.03</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ht="13">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-0.03</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ht="13">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-0.03</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ht="13">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-0.03</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ht="13">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-0.03</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ht="13">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-0.03</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ht="13">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-0.03</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ht="13">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-0.03</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ht="13">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-0.03</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ht="13">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-0.03</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ht="13">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-0.03</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ht="13">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-0.03</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ht="13">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-0.03</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ht="13">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-0.03</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ht="13">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-0.03</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ht="13">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-0.03</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ht="13">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-0.03</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ht="13">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-0.03</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ht="13">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-0.03</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ht="13">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-0.03</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ht="13">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-0.03</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ht="13">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-0.03</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ht="13">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-0.03</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ht="13">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-0.03</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ht="13">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-0.03</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ht="13">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-0.03</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ht="13">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-0.03</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ht="13">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-0.03</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ht="13">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-0.03</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ht="13">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-0.03</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ht="13">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-0.03</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ht="13">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-0.03</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ht="13">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-0.03</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ht="13">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-0.03</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ht="13">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-0.03</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ht="13">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-0.03</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ht="13">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-0.03</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ht="13">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-0.03</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ht="13">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-0.03</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ht="13">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-0.03</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ht="13">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-0.03</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ht="13">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-0.03</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ht="13">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-0.03</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ht="13">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-0.03</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ht="13">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-0.03</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ht="13">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-0.03</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ht="13">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-0.03</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ht="13">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-0.03</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ht="13">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-0.03</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ht="13">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-0.03</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ht="13">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-0.03</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ht="13">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-0.03</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ht="13">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-0.03</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ht="13">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-0.03</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ht="13">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-0.03</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ht="13">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-0.03</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ht="13">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-0.03</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ht="13">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-0.03</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ht="13">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-0.03</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ht="13">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-0.03</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ht="13">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-0.03</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ht="13">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-0.03</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ht="13">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-0.03</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ht="13">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-0.03</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ht="13">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-0.03</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ht="13">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-0.03</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ht="13">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-0.03</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ht="13">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-0.03</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ht="13">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-0.03</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ht="13">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-0.03</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ht="13">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-0.03</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ht="13">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-0.03</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ht="13">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-0.03</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ht="13">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-0.03</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ht="13">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-0.03</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ht="13">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-0.03</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ht="13">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-0.03</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ht="13">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-0.03</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ht="13">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-0.03</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ht="13">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-0.03</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ht="13">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-0.03</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ht="13">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-0.03</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ht="13">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-0.03</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ht="13">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-0.03</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ht="13">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-0.03</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ht="13">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-0.03</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ht="13">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-0.03</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ht="13">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-0.03</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ht="13">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-0.03</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ht="13">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-0.03</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ht="13">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-0.03</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ht="13">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-0.03</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ht="13">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-0.03</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ht="13">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-0.03</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ht="13">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-0.03</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ht="13">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-0.03</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ht="13">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-0.03</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ht="13">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-0.03</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ht="13">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-0.03</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ht="13">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-0.03</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ht="13">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-0.03</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ht="13">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-0.03</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ht="13">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-0.03</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ht="13">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-0.03</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ht="13">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-0.03</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ht="13">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-0.03</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ht="13">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-0.03</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ht="13">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-0.03</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ht="13">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-0.03</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ht="13">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-0.03</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ht="13">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-0.03</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ht="13">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-0.03</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ht="13">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-0.03</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ht="13">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-0.03</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ht="13">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-0.03</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ht="13">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-0.03</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ht="13">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-0.03</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ht="13">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-0.03</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ht="13">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-0.03</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ht="13">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-0.03</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ht="13">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-0.03</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ht="13">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-0.03</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ht="13">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-0.03</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ht="13">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-0.03</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ht="13">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-0.03</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ht="13">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-0.03</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ht="13">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-0.03</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ht="13">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-0.03</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ht="13">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-0.03</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ht="13">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-0.03</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ht="13">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-0.03</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ht="13">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-0.03</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ht="13">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-0.03</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ht="13">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-0.03</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ht="13">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-0.03</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ht="13">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-0.03</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ht="13">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-0.03</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ht="13">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-0.03</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ht="13">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-0.03</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ht="13">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-0.03</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ht="13">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-0.03</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ht="13">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-0.03</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ht="13">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-0.03</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ht="13">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-0.03</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ht="13">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-0.03</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ht="13">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-0.03</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ht="13">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-0.03</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ht="13">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-0.03</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ht="13">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-0.03</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ht="13">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-0.03</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ht="13">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-0.03</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ht="13">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-0.03</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ht="13">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-0.03</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ht="13">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-0.03</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ht="13">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-0.03</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ht="13">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-0.03</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ht="13">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-0.03</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ht="13">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-0.03</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ht="13">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-0.03</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ht="13">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-0.03</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ht="13">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-0.03</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ht="13">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-0.03</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ht="13">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-0.03</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ht="13">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-0.03</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ht="13">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-0.03</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ht="13">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-0.03</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ht="13">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-0.03</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ht="13">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-0.03</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ht="13">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-0.03</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ht="13">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-0.03</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ht="13">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-0.03</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ht="13">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-0.03</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ht="13">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-0.03</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ht="13">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-0.03</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ht="13">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-0.03</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ht="13">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-0.03</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ht="13">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-0.03</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ht="13">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-0.03</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ht="13">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-0.03</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ht="13">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-0.03</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ht="13">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-0.03</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ht="13">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-0.03</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ht="13">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-0.03</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ht="13">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-0.03</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ht="13">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-0.03</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ht="13">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-0.03</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ht="13">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-0.03</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ht="13">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-0.03</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ht="13">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-0.03</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ht="13">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-0.03</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ht="13">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-0.03</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ht="13">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-0.03</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ht="13">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-0.03</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ht="13">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-0.03</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ht="13">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-0.03</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ht="13">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-0.03</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ht="13">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-0.03</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ht="13">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-0.03</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ht="13">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-0.03</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ht="13">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-0.03</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ht="13">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-0.03</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ht="13">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-0.03</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ht="13">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-0.03</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ht="13">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-0.03</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ht="13">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-0.03</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ht="13">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-0.03</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ht="13">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-0.03</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ht="13">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-0.03</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ht="13">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-0.03</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ht="13">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-0.03</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ht="13">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-0.03</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ht="13">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-0.03</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ht="13">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-0.03</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ht="13">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-0.03</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ht="13">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-0.03</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ht="13">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-0.03</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ht="13">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-0.03</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ht="13">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-0.03</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ht="13">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-0.03</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ht="13">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-0.03</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ht="13">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-0.03</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ht="13">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-0.03</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ht="13">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-0.03</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ht="13">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-0.03</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ht="13">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-0.03</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ht="13">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-0.03</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ht="13">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-0.03</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ht="13">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-0.03</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ht="13">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-0.03</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ht="13">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-0.03</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ht="13">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-0.03</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ht="13">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-0.03</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ht="13">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-0.03</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ht="13">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-0.03</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ht="13">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-0.03</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ht="13">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-0.03</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ht="13">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-0.03</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ht="13">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-0.03</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ht="13">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-0.03</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ht="13">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-0.03</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ht="13">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-0.03</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ht="13">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-0.03</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ht="13">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-0.03</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ht="13">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-0.03</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ht="13">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-0.03</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ht="13">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-0.03</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ht="13">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-0.03</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ht="13">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-0.03</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ht="13">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-0.03</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ht="13">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-0.03</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ht="13">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-0.03</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ht="13">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-0.03</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ht="13">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-0.03</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ht="13">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-0.03</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ht="13">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-0.03</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ht="13">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-0.03</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ht="13">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-0.03</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ht="13">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-0.03</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ht="13">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-0.03</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ht="13">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-0.03</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ht="13">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-0.03</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ht="13">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-0.03</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ht="13">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-0.03</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ht="13">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-0.03</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ht="13">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-0.03</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ht="13">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-0.03</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ht="13">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-0.03</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ht="13">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-0.03</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ht="13">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-0.03</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ht="13">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-0.03</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ht="13">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-0.03</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ht="13">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-0.03</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ht="13">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-0.03</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ht="13">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-0.03</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ht="13">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-0.03</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ht="13">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-0.03</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ht="13">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-0.03</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ht="13">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-0.03</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ht="13">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-0.03</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ht="13">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-0.03</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ht="13">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-0.03</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ht="13">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-0.03</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ht="13">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-0.03</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ht="13">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-0.03</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ht="13">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-0.03</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ht="13">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-0.03</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ht="13">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-0.03</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ht="13">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-0.03</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ht="13">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-0.03</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ht="13">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-0.03</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ht="13">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-0.03</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ht="13">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-0.03</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ht="13">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-0.03</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ht="13">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-0.03</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ht="13">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-0.03</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ht="13">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-0.03</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ht="13">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-0.03</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ht="13">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-0.03</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ht="13">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-0.03</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ht="13">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-0.03</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ht="13">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-0.03</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ht="13">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-0.03</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ht="13">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-0.03</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ht="13">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-0.03</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ht="13">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-0.03</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ht="13">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-0.03</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ht="13">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-0.03</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ht="13">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-0.03</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ht="13">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-0.03</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ht="13">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-0.03</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ht="13">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-0.03</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ht="13">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-0.03</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ht="13">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-0.03</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ht="13">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-0.03</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ht="13">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-0.03</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ht="13">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-0.03</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ht="13">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-0.03</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ht="13">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-0.03</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ht="13">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-0.03</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ht="13">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-0.03</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ht="13">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-0.03</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ht="13">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-0.03</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ht="13">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-0.03</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ht="13">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-0.03</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ht="13">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-0.03</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ht="13">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-0.03</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ht="13">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-0.03</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ht="13">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-0.03</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ht="13">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-0.03</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ht="13">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-0.03</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ht="13">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-0.03</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ht="13">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-0.03</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ht="13">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-0.03</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ht="13">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-0.03</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ht="13">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-0.03</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ht="13">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-0.03</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ht="13">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-0.03</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ht="13">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-0.03</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ht="13">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-0.03</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ht="13">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-0.03</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ht="13">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-0.03</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ht="13">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-0.03</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ht="13">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-0.03</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ht="13">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-0.03</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ht="13">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-0.03</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ht="13">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-0.03</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ht="13">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-0.03</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ht="13">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-0.03</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ht="13">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-0.03</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ht="13">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-0.03</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ht="13">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-0.03</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ht="13">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-0.03</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ht="13">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-0.03</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ht="13">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-0.03</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ht="13">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-0.03</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ht="13">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-0.03</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ht="13">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-0.03</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ht="13">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-0.03</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ht="13">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-0.03</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ht="13">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-0.03</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ht="13">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-0.03</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ht="13">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-0.03</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ht="13">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-0.03</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ht="13">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-0.03</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ht="13">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-0.03</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ht="13">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-0.03</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ht="13">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-0.03</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ht="13">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-0.03</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ht="13">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-0.03</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ht="13">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-0.03</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ht="13">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-0.03</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ht="13">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-0.03</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ht="13">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-0.03</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ht="13">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-0.03</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ht="13">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-0.03</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ht="13">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-0.03</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ht="13">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-0.03</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ht="13">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-0.03</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ht="13">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-0.03</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ht="13">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-0.03</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ht="13">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-0.03</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ht="13">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-0.03</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ht="13">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-0.03</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ht="13">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-0.03</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ht="13">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-0.03</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ht="13">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-0.03</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ht="13">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-0.03</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ht="13">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-0.03</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ht="13">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-0.03</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ht="13">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-0.03</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ht="13">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-0.03</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ht="13">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-0.03</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ht="13">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-0.03</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ht="13">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-0.03</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ht="13">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-0.03</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ht="13">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-0.03</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ht="13">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-0.03</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ht="13">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-0.03</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ht="13">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-0.03</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ht="13">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-0.03</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ht="13">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-0.03</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ht="13">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-0.03</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ht="13">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-0.03</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ht="13">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-0.03</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ht="13">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-0.03</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ht="13">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-0.03</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ht="13">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-0.03</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ht="13">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-0.03</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ht="13">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-0.03</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ht="13">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-0.03</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ht="13">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-0.03</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ht="13">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-0.03</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ht="13">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-0.03</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ht="13">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-0.03</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ht="13">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-0.03</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ht="13">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-0.03</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ht="13">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-0.03</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ht="13">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-0.03</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ht="13">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-0.03</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ht="13">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-0.03</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ht="13">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-0.03</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ht="13">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-0.03</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ht="13">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-0.03</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ht="13">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-0.03</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ht="13">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-0.03</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ht="13">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-0.03</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ht="13">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-0.03</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ht="13">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-0.03</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ht="13">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-0.03</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ht="13">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-0.03</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ht="13">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-0.03</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ht="13">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-0.03</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ht="13">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-0.03</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ht="13">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-0.03</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ht="13">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-0.03</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ht="13">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-0.03</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ht="13">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-0.03</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ht="13">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-0.03</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ht="13">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-0.03</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ht="13">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-0.03</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ht="13">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-0.03</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ht="13">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-0.03</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ht="13">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-0.03</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ht="13">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-0.03</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ht="13">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-0.03</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ht="13">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-0.03</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ht="13">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-0.03</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ht="13">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-0.03</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ht="13">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-0.03</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ht="13">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-0.03</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ht="13">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-0.03</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ht="13">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-0.03</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ht="13">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-0.03</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ht="13">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-0.03</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ht="13">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-0.03</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ht="13">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-0.03</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ht="13">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-0.03</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ht="13">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-0.03</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ht="13">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-0.03</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ht="13">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-0.03</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ht="13">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-0.03</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ht="13">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-0.03</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ht="13">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-0.03</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ht="13">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-0.03</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ht="13">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-0.03</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ht="13">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-0.03</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ht="13">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-0.03</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ht="13">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-0.03</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ht="13">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-0.03</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ht="13">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-0.03</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ht="13">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-0.03</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ht="13">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-0.03</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ht="13">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-0.03</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ht="13">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-0.03</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ht="13">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-0.03</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ht="13">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-0.03</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ht="13">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-0.03</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ht="13">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-0.03</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7:C66"/>
  <sheetViews>
    <sheetView topLeftCell="A32" zoomScale="130" zoomScaleNormal="130" workbookViewId="0">
      <selection activeCell="E69" sqref="E69"/>
    </sheetView>
  </sheetViews>
  <sheetFormatPr defaultRowHeight="14"/>
  <sheetData>
    <row r="17" ht="13.9" customHeight="1"/>
    <row r="58" spans="1:3">
      <c r="A58" s="3315" t="s">
        <v>3014</v>
      </c>
      <c r="B58" s="3315"/>
      <c r="C58" s="3315"/>
    </row>
    <row r="59" spans="1:3">
      <c r="A59" s="3315" t="s">
        <v>3015</v>
      </c>
      <c r="B59" s="3315" t="s">
        <v>3016</v>
      </c>
      <c r="C59" s="3315" t="s">
        <v>3017</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108.17</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79" t="s">
        <v>2199</v>
      </c>
      <c r="Q7" s="3703"/>
      <c r="R7" s="625" t="s">
        <v>25</v>
      </c>
      <c r="S7" s="626">
        <f t="shared" ref="S7:S15" si="0">F7</f>
        <v>0</v>
      </c>
      <c r="T7" s="625" t="s">
        <v>25</v>
      </c>
      <c r="U7" s="626">
        <f t="shared" ref="U7:U15" si="1">H7</f>
        <v>0</v>
      </c>
      <c r="V7" s="625" t="s">
        <v>25</v>
      </c>
      <c r="W7" s="626">
        <f t="shared" ref="W7:W15" si="2">J7</f>
        <v>0</v>
      </c>
      <c r="X7" s="627"/>
      <c r="Y7" s="3679" t="s">
        <v>2199</v>
      </c>
      <c r="Z7" s="3680"/>
      <c r="AA7" s="628" t="e">
        <f>D7/F7</f>
        <v>#DIV/0!</v>
      </c>
      <c r="AB7" s="628" t="e">
        <f>D7/H7</f>
        <v>#DIV/0!</v>
      </c>
      <c r="AC7" s="628" t="e">
        <f>D7/J7</f>
        <v>#DIV/0!</v>
      </c>
    </row>
    <row r="8" spans="1:29" s="25" customFormat="1" ht="14.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76" t="s">
        <v>2205</v>
      </c>
      <c r="Q9" s="1294" t="str">
        <f t="shared" ref="Q9:Q15" si="6">B9</f>
        <v>用途</v>
      </c>
      <c r="R9" s="625" t="s">
        <v>25</v>
      </c>
      <c r="S9" s="626">
        <f t="shared" si="0"/>
        <v>100</v>
      </c>
      <c r="T9" s="625" t="s">
        <v>25</v>
      </c>
      <c r="U9" s="626">
        <f t="shared" si="1"/>
        <v>100</v>
      </c>
      <c r="V9" s="625" t="s">
        <v>25</v>
      </c>
      <c r="W9" s="626">
        <f t="shared" si="2"/>
        <v>100</v>
      </c>
      <c r="X9" s="627"/>
      <c r="Y9" s="3706" t="s">
        <v>2206</v>
      </c>
      <c r="Z9" s="19" t="str">
        <f t="shared" ref="Z9:Z15" si="7">Q9</f>
        <v>用途</v>
      </c>
      <c r="AA9" s="628">
        <f t="shared" si="3"/>
        <v>1</v>
      </c>
      <c r="AB9" s="628">
        <f t="shared" si="4"/>
        <v>1</v>
      </c>
      <c r="AC9" s="628">
        <f t="shared" si="5"/>
        <v>1</v>
      </c>
    </row>
    <row r="10" spans="1:29" s="317" customFormat="1" ht="2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76"/>
      <c r="Q11" s="1294" t="str">
        <f t="shared" si="6"/>
        <v>容积率</v>
      </c>
      <c r="R11" s="625" t="s">
        <v>25</v>
      </c>
      <c r="S11" s="626" t="e">
        <f t="shared" si="0"/>
        <v>#N/A</v>
      </c>
      <c r="T11" s="625" t="s">
        <v>25</v>
      </c>
      <c r="U11" s="626" t="e">
        <f t="shared" si="1"/>
        <v>#N/A</v>
      </c>
      <c r="V11" s="625" t="s">
        <v>25</v>
      </c>
      <c r="W11" s="626" t="e">
        <f t="shared" si="2"/>
        <v>#N/A</v>
      </c>
      <c r="X11" s="627"/>
      <c r="Y11" s="3706"/>
      <c r="Z11" s="19" t="str">
        <f t="shared" si="7"/>
        <v>容积率</v>
      </c>
      <c r="AA11" s="628" t="e">
        <f t="shared" si="3"/>
        <v>#N/A</v>
      </c>
      <c r="AB11" s="628" t="e">
        <f t="shared" si="4"/>
        <v>#N/A</v>
      </c>
      <c r="AC11" s="628" t="e">
        <f t="shared" si="5"/>
        <v>#N/A</v>
      </c>
    </row>
    <row r="12" spans="1:29" s="25" customFormat="1" ht="15.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5.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76"/>
      <c r="Q14" s="1294">
        <f t="shared" si="6"/>
        <v>111</v>
      </c>
      <c r="R14" s="625" t="s">
        <v>25</v>
      </c>
      <c r="S14" s="626">
        <f t="shared" si="0"/>
        <v>100</v>
      </c>
      <c r="T14" s="625" t="s">
        <v>25</v>
      </c>
      <c r="U14" s="626">
        <f t="shared" si="1"/>
        <v>100</v>
      </c>
      <c r="V14" s="625" t="s">
        <v>25</v>
      </c>
      <c r="W14" s="626">
        <f t="shared" si="2"/>
        <v>100</v>
      </c>
      <c r="X14" s="627"/>
      <c r="Y14" s="3706"/>
      <c r="Z14" s="19">
        <f t="shared" si="7"/>
        <v>111</v>
      </c>
      <c r="AA14" s="628">
        <f t="shared" si="3"/>
        <v>1</v>
      </c>
      <c r="AB14" s="628">
        <f t="shared" si="4"/>
        <v>1</v>
      </c>
      <c r="AC14" s="628">
        <f t="shared" si="5"/>
        <v>1</v>
      </c>
    </row>
    <row r="15" spans="1:29" ht="70">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704" t="s">
        <v>2210</v>
      </c>
      <c r="Q15" s="1301" t="str">
        <f t="shared" si="6"/>
        <v>产业集聚程度</v>
      </c>
      <c r="R15" s="629" t="s">
        <v>25</v>
      </c>
      <c r="S15" s="630">
        <f t="shared" si="0"/>
        <v>100</v>
      </c>
      <c r="T15" s="629" t="s">
        <v>25</v>
      </c>
      <c r="U15" s="630">
        <f t="shared" si="1"/>
        <v>100</v>
      </c>
      <c r="V15" s="629" t="s">
        <v>25</v>
      </c>
      <c r="W15" s="630">
        <f t="shared" si="2"/>
        <v>100</v>
      </c>
      <c r="X15" s="1302"/>
      <c r="Y15" s="3704" t="s">
        <v>2210</v>
      </c>
      <c r="Z15" s="1303" t="str">
        <f t="shared" si="7"/>
        <v>产业集聚程度</v>
      </c>
      <c r="AA15" s="1304">
        <f t="shared" si="3"/>
        <v>1</v>
      </c>
      <c r="AB15" s="1304">
        <f t="shared" si="4"/>
        <v>1</v>
      </c>
      <c r="AC15" s="1304">
        <f t="shared" si="5"/>
        <v>1</v>
      </c>
    </row>
    <row r="16" spans="1:29" ht="15.5">
      <c r="A16" s="318"/>
      <c r="B16" s="334"/>
      <c r="C16" s="335"/>
      <c r="D16" s="336"/>
      <c r="E16" s="335"/>
      <c r="F16" s="338"/>
      <c r="G16" s="335"/>
      <c r="H16" s="339"/>
      <c r="I16" s="335"/>
      <c r="J16" s="336"/>
      <c r="K16" s="501"/>
      <c r="L16" s="2995"/>
      <c r="M16" s="2986"/>
      <c r="N16" s="2986"/>
      <c r="O16" s="2994"/>
      <c r="P16" s="3705"/>
      <c r="Q16" s="1301"/>
      <c r="R16" s="629"/>
      <c r="S16" s="630"/>
      <c r="T16" s="629"/>
      <c r="U16" s="630"/>
      <c r="V16" s="629"/>
      <c r="W16" s="630"/>
      <c r="X16" s="1302"/>
      <c r="Y16" s="3705"/>
      <c r="Z16" s="1303"/>
      <c r="AA16" s="1304">
        <v>1</v>
      </c>
      <c r="AB16" s="1304">
        <v>1</v>
      </c>
      <c r="AC16" s="1304">
        <v>1</v>
      </c>
    </row>
    <row r="17" spans="1:29" ht="98">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705"/>
      <c r="Q17" s="1301" t="str">
        <f>B17</f>
        <v>交通便捷度</v>
      </c>
      <c r="R17" s="629" t="s">
        <v>25</v>
      </c>
      <c r="S17" s="630">
        <f>F17</f>
        <v>100</v>
      </c>
      <c r="T17" s="629" t="s">
        <v>25</v>
      </c>
      <c r="U17" s="630">
        <f>H17</f>
        <v>100</v>
      </c>
      <c r="V17" s="629" t="s">
        <v>25</v>
      </c>
      <c r="W17" s="630">
        <f>J17</f>
        <v>100</v>
      </c>
      <c r="X17" s="1302"/>
      <c r="Y17" s="3705"/>
      <c r="Z17" s="1303" t="str">
        <f>Q17</f>
        <v>交通便捷度</v>
      </c>
      <c r="AA17" s="1304">
        <f t="shared" si="3"/>
        <v>1</v>
      </c>
      <c r="AB17" s="1304">
        <f t="shared" si="4"/>
        <v>1</v>
      </c>
      <c r="AC17" s="1304">
        <f t="shared" si="5"/>
        <v>1</v>
      </c>
    </row>
    <row r="18" spans="1:29" ht="15.5">
      <c r="A18" s="318"/>
      <c r="B18" s="345"/>
      <c r="C18" s="346"/>
      <c r="D18" s="339"/>
      <c r="E18" s="1099"/>
      <c r="F18" s="342"/>
      <c r="G18" s="1535"/>
      <c r="H18" s="336"/>
      <c r="I18" s="1099"/>
      <c r="J18" s="336"/>
      <c r="K18" s="501"/>
      <c r="L18" s="2995"/>
      <c r="M18" s="2986"/>
      <c r="N18" s="2986"/>
      <c r="O18" s="2994"/>
      <c r="P18" s="3705"/>
      <c r="Q18" s="1301"/>
      <c r="R18" s="629"/>
      <c r="S18" s="630"/>
      <c r="T18" s="629"/>
      <c r="U18" s="630"/>
      <c r="V18" s="629"/>
      <c r="W18" s="630"/>
      <c r="X18" s="1302"/>
      <c r="Y18" s="3705"/>
      <c r="Z18" s="1303"/>
      <c r="AA18" s="1304">
        <v>1</v>
      </c>
      <c r="AB18" s="1304">
        <v>1</v>
      </c>
      <c r="AC18" s="1304">
        <v>1</v>
      </c>
    </row>
    <row r="19" spans="1:29" ht="42">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705"/>
      <c r="Q19" s="1301" t="str">
        <f>B19</f>
        <v>公共配套设施</v>
      </c>
      <c r="R19" s="629" t="s">
        <v>25</v>
      </c>
      <c r="S19" s="630">
        <f>F19</f>
        <v>100</v>
      </c>
      <c r="T19" s="629" t="s">
        <v>25</v>
      </c>
      <c r="U19" s="630">
        <f>H19</f>
        <v>100</v>
      </c>
      <c r="V19" s="629" t="s">
        <v>25</v>
      </c>
      <c r="W19" s="630">
        <f>J19</f>
        <v>100</v>
      </c>
      <c r="X19" s="1302"/>
      <c r="Y19" s="3705"/>
      <c r="Z19" s="1303" t="str">
        <f>Q19</f>
        <v>公共配套设施</v>
      </c>
      <c r="AA19" s="1304">
        <f t="shared" si="3"/>
        <v>1</v>
      </c>
      <c r="AB19" s="1304">
        <f t="shared" si="4"/>
        <v>1</v>
      </c>
      <c r="AC19" s="1304">
        <f t="shared" si="5"/>
        <v>1</v>
      </c>
    </row>
    <row r="20" spans="1:29" ht="15.5">
      <c r="A20" s="318"/>
      <c r="B20" s="514"/>
      <c r="C20" s="335"/>
      <c r="D20" s="336"/>
      <c r="E20" s="337"/>
      <c r="F20" s="338"/>
      <c r="G20" s="1533"/>
      <c r="H20" s="336"/>
      <c r="I20" s="337"/>
      <c r="J20" s="336"/>
      <c r="K20" s="501"/>
      <c r="L20" s="2995"/>
      <c r="M20" s="2986"/>
      <c r="N20" s="2986"/>
      <c r="O20" s="2994"/>
      <c r="P20" s="3705"/>
      <c r="Q20" s="1301"/>
      <c r="R20" s="629"/>
      <c r="S20" s="630"/>
      <c r="T20" s="629"/>
      <c r="U20" s="630"/>
      <c r="V20" s="629"/>
      <c r="W20" s="630"/>
      <c r="X20" s="1302"/>
      <c r="Y20" s="3705"/>
      <c r="Z20" s="1303"/>
      <c r="AA20" s="1304">
        <v>1</v>
      </c>
      <c r="AB20" s="1304">
        <v>1</v>
      </c>
      <c r="AC20" s="1304">
        <v>1</v>
      </c>
    </row>
    <row r="21" spans="1:29" ht="42">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705"/>
      <c r="Q21" s="1301" t="str">
        <f>B21</f>
        <v>基础设施水平</v>
      </c>
      <c r="R21" s="629" t="s">
        <v>25</v>
      </c>
      <c r="S21" s="630">
        <f>F21</f>
        <v>100</v>
      </c>
      <c r="T21" s="629" t="s">
        <v>25</v>
      </c>
      <c r="U21" s="630">
        <f>H21</f>
        <v>100</v>
      </c>
      <c r="V21" s="629" t="s">
        <v>25</v>
      </c>
      <c r="W21" s="630">
        <f>J21</f>
        <v>100</v>
      </c>
      <c r="X21" s="1302"/>
      <c r="Y21" s="3705"/>
      <c r="Z21" s="1303" t="str">
        <f>Q21</f>
        <v>基础设施水平</v>
      </c>
      <c r="AA21" s="1304">
        <f t="shared" ref="AA21" si="8">D21/F21</f>
        <v>1</v>
      </c>
      <c r="AB21" s="1304">
        <f t="shared" ref="AB21" si="9">D21/H21</f>
        <v>1</v>
      </c>
      <c r="AC21" s="1304">
        <f t="shared" ref="AC21" si="10">D21/J21</f>
        <v>1</v>
      </c>
    </row>
    <row r="22" spans="1:29" ht="15.5">
      <c r="A22" s="318"/>
      <c r="B22" s="1536"/>
      <c r="C22" s="346"/>
      <c r="D22" s="336"/>
      <c r="E22" s="335"/>
      <c r="F22" s="338"/>
      <c r="G22" s="335"/>
      <c r="H22" s="336"/>
      <c r="I22" s="335"/>
      <c r="J22" s="336"/>
      <c r="K22" s="1100"/>
      <c r="L22" s="2995"/>
      <c r="M22" s="2986"/>
      <c r="N22" s="2986"/>
      <c r="O22" s="2994"/>
      <c r="P22" s="3705"/>
      <c r="Q22" s="1301"/>
      <c r="R22" s="629"/>
      <c r="S22" s="630"/>
      <c r="T22" s="629"/>
      <c r="U22" s="630"/>
      <c r="V22" s="629"/>
      <c r="W22" s="630"/>
      <c r="X22" s="1302"/>
      <c r="Y22" s="3705"/>
      <c r="Z22" s="1303"/>
      <c r="AA22" s="1304">
        <v>1</v>
      </c>
      <c r="AB22" s="1304">
        <v>1</v>
      </c>
      <c r="AC22" s="1304">
        <v>1</v>
      </c>
    </row>
    <row r="23" spans="1:29" ht="84">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705"/>
      <c r="Q23" s="1301" t="str">
        <f>B23</f>
        <v>环境质量</v>
      </c>
      <c r="R23" s="629" t="s">
        <v>25</v>
      </c>
      <c r="S23" s="630">
        <f>F23</f>
        <v>100</v>
      </c>
      <c r="T23" s="629" t="s">
        <v>25</v>
      </c>
      <c r="U23" s="630">
        <f>H23</f>
        <v>100</v>
      </c>
      <c r="V23" s="629" t="s">
        <v>25</v>
      </c>
      <c r="W23" s="630">
        <f>J23</f>
        <v>100</v>
      </c>
      <c r="X23" s="1302"/>
      <c r="Y23" s="3705"/>
      <c r="Z23" s="1303" t="str">
        <f>Q23</f>
        <v>环境质量</v>
      </c>
      <c r="AA23" s="1304">
        <f t="shared" si="3"/>
        <v>1</v>
      </c>
      <c r="AB23" s="1304">
        <f t="shared" si="4"/>
        <v>1</v>
      </c>
      <c r="AC23" s="1304">
        <f t="shared" si="5"/>
        <v>1</v>
      </c>
    </row>
    <row r="24" spans="1:29" ht="15.5">
      <c r="A24" s="318"/>
      <c r="B24" s="1536"/>
      <c r="C24" s="335"/>
      <c r="D24" s="336"/>
      <c r="E24" s="337"/>
      <c r="F24" s="338"/>
      <c r="G24" s="1533"/>
      <c r="H24" s="336"/>
      <c r="I24" s="337"/>
      <c r="J24" s="336"/>
      <c r="K24" s="501"/>
      <c r="L24" s="2995"/>
      <c r="M24" s="2986"/>
      <c r="N24" s="2986"/>
      <c r="O24" s="2994"/>
      <c r="P24" s="3705"/>
      <c r="Q24" s="1301"/>
      <c r="R24" s="629"/>
      <c r="S24" s="630"/>
      <c r="T24" s="629"/>
      <c r="U24" s="630"/>
      <c r="V24" s="629"/>
      <c r="W24" s="630"/>
      <c r="X24" s="1302"/>
      <c r="Y24" s="3705"/>
      <c r="Z24" s="1303"/>
      <c r="AA24" s="1304">
        <v>1</v>
      </c>
      <c r="AB24" s="1304">
        <v>1</v>
      </c>
      <c r="AC24" s="1304">
        <v>1</v>
      </c>
    </row>
    <row r="25" spans="1:29" ht="15.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705"/>
      <c r="Q25" s="1301">
        <f>B25</f>
        <v>111</v>
      </c>
      <c r="R25" s="629" t="s">
        <v>25</v>
      </c>
      <c r="S25" s="630">
        <f>F25</f>
        <v>100</v>
      </c>
      <c r="T25" s="629" t="s">
        <v>25</v>
      </c>
      <c r="U25" s="630">
        <f>H25</f>
        <v>100</v>
      </c>
      <c r="V25" s="629" t="s">
        <v>25</v>
      </c>
      <c r="W25" s="630">
        <f>J25</f>
        <v>100</v>
      </c>
      <c r="X25" s="1302"/>
      <c r="Y25" s="3705"/>
      <c r="Z25" s="1303">
        <f>Q25</f>
        <v>111</v>
      </c>
      <c r="AA25" s="1304">
        <f t="shared" si="3"/>
        <v>1</v>
      </c>
      <c r="AB25" s="1304">
        <f t="shared" si="4"/>
        <v>1</v>
      </c>
      <c r="AC25" s="1304">
        <f t="shared" si="5"/>
        <v>1</v>
      </c>
    </row>
    <row r="26" spans="1:29" ht="15.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705"/>
      <c r="Q26" s="1301">
        <f t="shared" ref="Q26:Q40" si="11">B26</f>
        <v>111</v>
      </c>
      <c r="R26" s="629" t="s">
        <v>25</v>
      </c>
      <c r="S26" s="630">
        <f>F26</f>
        <v>100</v>
      </c>
      <c r="T26" s="629" t="s">
        <v>25</v>
      </c>
      <c r="U26" s="630">
        <f>H26</f>
        <v>100</v>
      </c>
      <c r="V26" s="629" t="s">
        <v>25</v>
      </c>
      <c r="W26" s="630">
        <f>J26</f>
        <v>100</v>
      </c>
      <c r="X26" s="1302"/>
      <c r="Y26" s="3705"/>
      <c r="Z26" s="1303">
        <f>Q26</f>
        <v>111</v>
      </c>
      <c r="AA26" s="1304">
        <f t="shared" si="3"/>
        <v>1</v>
      </c>
      <c r="AB26" s="1304">
        <f t="shared" si="4"/>
        <v>1</v>
      </c>
      <c r="AC26" s="1304">
        <f t="shared" si="5"/>
        <v>1</v>
      </c>
    </row>
    <row r="27" spans="1:29" s="25" customFormat="1" ht="15.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705"/>
      <c r="Q27" s="1294">
        <f t="shared" si="11"/>
        <v>111</v>
      </c>
      <c r="R27" s="625" t="s">
        <v>25</v>
      </c>
      <c r="S27" s="626">
        <f>F27</f>
        <v>100</v>
      </c>
      <c r="T27" s="625" t="s">
        <v>25</v>
      </c>
      <c r="U27" s="626">
        <f>H27</f>
        <v>100</v>
      </c>
      <c r="V27" s="625" t="s">
        <v>25</v>
      </c>
      <c r="W27" s="626">
        <f>J27</f>
        <v>100</v>
      </c>
      <c r="X27" s="627"/>
      <c r="Y27" s="3705"/>
      <c r="Z27" s="19">
        <f>Q27</f>
        <v>111</v>
      </c>
      <c r="AA27" s="1304">
        <f>D27/F27</f>
        <v>1</v>
      </c>
      <c r="AB27" s="1304">
        <f>D27/H27</f>
        <v>1</v>
      </c>
      <c r="AC27" s="1304">
        <f>D27/J27</f>
        <v>1</v>
      </c>
    </row>
    <row r="28" spans="1:29" ht="1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705"/>
      <c r="Q28" s="1301">
        <f t="shared" si="11"/>
        <v>111</v>
      </c>
      <c r="R28" s="629" t="s">
        <v>25</v>
      </c>
      <c r="S28" s="630">
        <f t="shared" ref="S28:S40" si="12">F28</f>
        <v>100</v>
      </c>
      <c r="T28" s="629" t="s">
        <v>25</v>
      </c>
      <c r="U28" s="630">
        <f t="shared" ref="U28:U40" si="13">H28</f>
        <v>100</v>
      </c>
      <c r="V28" s="629" t="s">
        <v>25</v>
      </c>
      <c r="W28" s="630">
        <f t="shared" ref="W28:W40" si="14">J28</f>
        <v>100</v>
      </c>
      <c r="X28" s="1302"/>
      <c r="Y28" s="3705"/>
      <c r="Z28" s="1303">
        <f t="shared" ref="Z28:Z40" si="15">Q28</f>
        <v>111</v>
      </c>
      <c r="AA28" s="1304">
        <f t="shared" si="3"/>
        <v>1</v>
      </c>
      <c r="AB28" s="1304">
        <f t="shared" si="4"/>
        <v>1</v>
      </c>
      <c r="AC28" s="1304">
        <f t="shared" si="5"/>
        <v>1</v>
      </c>
    </row>
    <row r="29" spans="1:29" ht="29">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707" t="s">
        <v>2215</v>
      </c>
      <c r="Q29" s="1301" t="str">
        <f t="shared" si="11"/>
        <v>建筑类型</v>
      </c>
      <c r="R29" s="629" t="s">
        <v>25</v>
      </c>
      <c r="S29" s="630">
        <f t="shared" si="12"/>
        <v>100</v>
      </c>
      <c r="T29" s="629" t="s">
        <v>25</v>
      </c>
      <c r="U29" s="630">
        <f t="shared" si="13"/>
        <v>100</v>
      </c>
      <c r="V29" s="629" t="s">
        <v>25</v>
      </c>
      <c r="W29" s="630">
        <f t="shared" si="14"/>
        <v>100</v>
      </c>
      <c r="X29" s="1302"/>
      <c r="Y29" s="3708" t="s">
        <v>2215</v>
      </c>
      <c r="Z29" s="1303" t="str">
        <f t="shared" si="15"/>
        <v>建筑类型</v>
      </c>
      <c r="AA29" s="1304">
        <f t="shared" si="3"/>
        <v>1</v>
      </c>
      <c r="AB29" s="1304">
        <f t="shared" si="4"/>
        <v>1</v>
      </c>
      <c r="AC29" s="1304">
        <f t="shared" si="5"/>
        <v>1</v>
      </c>
    </row>
    <row r="30" spans="1:29" s="359" customFormat="1" ht="15.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708"/>
      <c r="Q30" s="631" t="str">
        <f t="shared" si="11"/>
        <v>项目建筑规模</v>
      </c>
      <c r="R30" s="632" t="s">
        <v>25</v>
      </c>
      <c r="S30" s="633" t="e">
        <f t="shared" si="12"/>
        <v>#N/A</v>
      </c>
      <c r="T30" s="632" t="s">
        <v>25</v>
      </c>
      <c r="U30" s="633" t="e">
        <f t="shared" si="13"/>
        <v>#N/A</v>
      </c>
      <c r="V30" s="632" t="s">
        <v>25</v>
      </c>
      <c r="W30" s="633" t="e">
        <f t="shared" si="14"/>
        <v>#N/A</v>
      </c>
      <c r="X30" s="634"/>
      <c r="Y30" s="3708"/>
      <c r="Z30" s="635" t="str">
        <f t="shared" si="15"/>
        <v>项目建筑规模</v>
      </c>
      <c r="AA30" s="1304" t="e">
        <f t="shared" si="3"/>
        <v>#N/A</v>
      </c>
      <c r="AB30" s="1304" t="e">
        <f t="shared" si="4"/>
        <v>#N/A</v>
      </c>
      <c r="AC30" s="1304" t="e">
        <f t="shared" si="5"/>
        <v>#N/A</v>
      </c>
    </row>
    <row r="31" spans="1:29" ht="15.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708"/>
      <c r="Q31" s="1301" t="str">
        <f t="shared" si="11"/>
        <v>建筑结构</v>
      </c>
      <c r="R31" s="629" t="s">
        <v>25</v>
      </c>
      <c r="S31" s="630">
        <f t="shared" si="12"/>
        <v>100</v>
      </c>
      <c r="T31" s="629" t="s">
        <v>25</v>
      </c>
      <c r="U31" s="630">
        <f t="shared" si="13"/>
        <v>100</v>
      </c>
      <c r="V31" s="629" t="s">
        <v>25</v>
      </c>
      <c r="W31" s="630">
        <f t="shared" si="14"/>
        <v>100</v>
      </c>
      <c r="X31" s="1302"/>
      <c r="Y31" s="3708"/>
      <c r="Z31" s="1303" t="str">
        <f t="shared" si="15"/>
        <v>建筑结构</v>
      </c>
      <c r="AA31" s="1304">
        <f t="shared" si="3"/>
        <v>1</v>
      </c>
      <c r="AB31" s="1304">
        <f t="shared" si="4"/>
        <v>1</v>
      </c>
      <c r="AC31" s="1304">
        <f t="shared" si="5"/>
        <v>1</v>
      </c>
    </row>
    <row r="32" spans="1:29" ht="15.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708"/>
      <c r="Q32" s="1301" t="str">
        <f t="shared" si="11"/>
        <v>公共部分装修</v>
      </c>
      <c r="R32" s="629" t="s">
        <v>25</v>
      </c>
      <c r="S32" s="630">
        <f t="shared" si="12"/>
        <v>100</v>
      </c>
      <c r="T32" s="629" t="s">
        <v>25</v>
      </c>
      <c r="U32" s="630">
        <f t="shared" si="13"/>
        <v>100</v>
      </c>
      <c r="V32" s="629" t="s">
        <v>25</v>
      </c>
      <c r="W32" s="630">
        <f t="shared" si="14"/>
        <v>100</v>
      </c>
      <c r="X32" s="1302"/>
      <c r="Y32" s="3708"/>
      <c r="Z32" s="1303" t="str">
        <f t="shared" si="15"/>
        <v>公共部分装修</v>
      </c>
      <c r="AA32" s="1304">
        <f t="shared" si="3"/>
        <v>1</v>
      </c>
      <c r="AB32" s="1304">
        <f t="shared" si="4"/>
        <v>1</v>
      </c>
      <c r="AC32" s="1304">
        <f t="shared" si="5"/>
        <v>1</v>
      </c>
    </row>
    <row r="33" spans="1:29" ht="15.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708"/>
      <c r="Q33" s="1301" t="str">
        <f t="shared" si="11"/>
        <v>成新度</v>
      </c>
      <c r="R33" s="629" t="s">
        <v>25</v>
      </c>
      <c r="S33" s="630" t="e">
        <f t="shared" si="12"/>
        <v>#N/A</v>
      </c>
      <c r="T33" s="629" t="s">
        <v>25</v>
      </c>
      <c r="U33" s="630" t="e">
        <f t="shared" si="13"/>
        <v>#N/A</v>
      </c>
      <c r="V33" s="629" t="s">
        <v>25</v>
      </c>
      <c r="W33" s="630" t="e">
        <f t="shared" si="14"/>
        <v>#N/A</v>
      </c>
      <c r="X33" s="1302"/>
      <c r="Y33" s="3708"/>
      <c r="Z33" s="1303" t="str">
        <f t="shared" si="15"/>
        <v>成新度</v>
      </c>
      <c r="AA33" s="1304" t="e">
        <f t="shared" si="3"/>
        <v>#N/A</v>
      </c>
      <c r="AB33" s="1304" t="e">
        <f t="shared" si="4"/>
        <v>#N/A</v>
      </c>
      <c r="AC33" s="1304" t="e">
        <f t="shared" si="5"/>
        <v>#N/A</v>
      </c>
    </row>
    <row r="34" spans="1:29" s="25" customFormat="1" ht="15.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708"/>
      <c r="Q34" s="1294" t="str">
        <f t="shared" si="11"/>
        <v>物业管理</v>
      </c>
      <c r="R34" s="625" t="s">
        <v>25</v>
      </c>
      <c r="S34" s="626">
        <f t="shared" si="12"/>
        <v>100</v>
      </c>
      <c r="T34" s="625" t="s">
        <v>25</v>
      </c>
      <c r="U34" s="626">
        <f t="shared" si="13"/>
        <v>100</v>
      </c>
      <c r="V34" s="625" t="s">
        <v>25</v>
      </c>
      <c r="W34" s="626">
        <f t="shared" si="14"/>
        <v>100</v>
      </c>
      <c r="X34" s="627"/>
      <c r="Y34" s="3708"/>
      <c r="Z34" s="19" t="str">
        <f t="shared" si="15"/>
        <v>物业管理</v>
      </c>
      <c r="AA34" s="628">
        <f t="shared" si="3"/>
        <v>1</v>
      </c>
      <c r="AB34" s="628">
        <f t="shared" si="4"/>
        <v>1</v>
      </c>
      <c r="AC34" s="628">
        <f t="shared" si="5"/>
        <v>1</v>
      </c>
    </row>
    <row r="35" spans="1:29" ht="15.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708" t="s">
        <v>2215</v>
      </c>
      <c r="Q35" s="1301" t="str">
        <f t="shared" si="11"/>
        <v>市政基础设施</v>
      </c>
      <c r="R35" s="629" t="s">
        <v>25</v>
      </c>
      <c r="S35" s="630">
        <f t="shared" si="12"/>
        <v>100</v>
      </c>
      <c r="T35" s="629" t="s">
        <v>25</v>
      </c>
      <c r="U35" s="630">
        <f t="shared" si="13"/>
        <v>100</v>
      </c>
      <c r="V35" s="629" t="s">
        <v>25</v>
      </c>
      <c r="W35" s="630">
        <f t="shared" si="14"/>
        <v>100</v>
      </c>
      <c r="X35" s="1302"/>
      <c r="Y35" s="3708" t="s">
        <v>2215</v>
      </c>
      <c r="Z35" s="1303" t="str">
        <f t="shared" si="15"/>
        <v>市政基础设施</v>
      </c>
      <c r="AA35" s="1304">
        <f t="shared" si="3"/>
        <v>1</v>
      </c>
      <c r="AB35" s="1304">
        <f t="shared" si="4"/>
        <v>1</v>
      </c>
      <c r="AC35" s="1304">
        <f t="shared" si="5"/>
        <v>1</v>
      </c>
    </row>
    <row r="36" spans="1:29" ht="15.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708"/>
      <c r="Q36" s="1301" t="str">
        <f t="shared" si="11"/>
        <v>内部装修</v>
      </c>
      <c r="R36" s="629" t="s">
        <v>25</v>
      </c>
      <c r="S36" s="630">
        <f t="shared" si="12"/>
        <v>100</v>
      </c>
      <c r="T36" s="629" t="s">
        <v>25</v>
      </c>
      <c r="U36" s="630">
        <f t="shared" si="13"/>
        <v>100</v>
      </c>
      <c r="V36" s="629" t="s">
        <v>25</v>
      </c>
      <c r="W36" s="630">
        <f t="shared" si="14"/>
        <v>100</v>
      </c>
      <c r="X36" s="1302"/>
      <c r="Y36" s="3708"/>
      <c r="Z36" s="1303" t="str">
        <f t="shared" si="15"/>
        <v>内部装修</v>
      </c>
      <c r="AA36" s="1304">
        <f t="shared" si="3"/>
        <v>1</v>
      </c>
      <c r="AB36" s="1304">
        <f t="shared" si="4"/>
        <v>1</v>
      </c>
      <c r="AC36" s="1304">
        <f t="shared" si="5"/>
        <v>1</v>
      </c>
    </row>
    <row r="37" spans="1:29" ht="15.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708"/>
      <c r="Q37" s="1301" t="str">
        <f t="shared" si="11"/>
        <v>内部装修状况</v>
      </c>
      <c r="R37" s="629" t="s">
        <v>25</v>
      </c>
      <c r="S37" s="630">
        <f t="shared" si="12"/>
        <v>100</v>
      </c>
      <c r="T37" s="629" t="s">
        <v>25</v>
      </c>
      <c r="U37" s="630">
        <f t="shared" si="13"/>
        <v>100</v>
      </c>
      <c r="V37" s="629" t="s">
        <v>25</v>
      </c>
      <c r="W37" s="630">
        <f t="shared" si="14"/>
        <v>100</v>
      </c>
      <c r="X37" s="1302"/>
      <c r="Y37" s="3708"/>
      <c r="Z37" s="1303" t="str">
        <f t="shared" si="15"/>
        <v>内部装修状况</v>
      </c>
      <c r="AA37" s="1304">
        <f t="shared" si="3"/>
        <v>1</v>
      </c>
      <c r="AB37" s="1304">
        <f t="shared" si="4"/>
        <v>1</v>
      </c>
      <c r="AC37" s="1304">
        <f t="shared" si="5"/>
        <v>1</v>
      </c>
    </row>
    <row r="38" spans="1:29" s="359" customFormat="1" ht="15.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708"/>
      <c r="Q38" s="631">
        <f t="shared" si="11"/>
        <v>111</v>
      </c>
      <c r="R38" s="632" t="s">
        <v>25</v>
      </c>
      <c r="S38" s="633">
        <f t="shared" si="12"/>
        <v>100</v>
      </c>
      <c r="T38" s="632" t="s">
        <v>25</v>
      </c>
      <c r="U38" s="633">
        <f t="shared" si="13"/>
        <v>100</v>
      </c>
      <c r="V38" s="632" t="s">
        <v>25</v>
      </c>
      <c r="W38" s="633">
        <f t="shared" si="14"/>
        <v>100</v>
      </c>
      <c r="X38" s="634"/>
      <c r="Y38" s="3708"/>
      <c r="Z38" s="635">
        <f t="shared" si="15"/>
        <v>111</v>
      </c>
      <c r="AA38" s="1304">
        <f t="shared" si="3"/>
        <v>1</v>
      </c>
      <c r="AB38" s="1304">
        <f t="shared" si="4"/>
        <v>1</v>
      </c>
      <c r="AC38" s="1304">
        <f t="shared" si="5"/>
        <v>1</v>
      </c>
    </row>
    <row r="39" spans="1:29" ht="15.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708"/>
      <c r="Q39" s="1301">
        <f t="shared" si="11"/>
        <v>111</v>
      </c>
      <c r="R39" s="629" t="s">
        <v>25</v>
      </c>
      <c r="S39" s="630">
        <f t="shared" si="12"/>
        <v>100</v>
      </c>
      <c r="T39" s="629" t="s">
        <v>25</v>
      </c>
      <c r="U39" s="630">
        <f t="shared" si="13"/>
        <v>100</v>
      </c>
      <c r="V39" s="629" t="s">
        <v>25</v>
      </c>
      <c r="W39" s="630">
        <f t="shared" si="14"/>
        <v>100</v>
      </c>
      <c r="X39" s="1302"/>
      <c r="Y39" s="3708"/>
      <c r="Z39" s="1303">
        <f t="shared" si="15"/>
        <v>111</v>
      </c>
      <c r="AA39" s="1304">
        <f t="shared" si="3"/>
        <v>1</v>
      </c>
      <c r="AB39" s="1304">
        <f t="shared" si="4"/>
        <v>1</v>
      </c>
      <c r="AC39" s="1304">
        <f t="shared" si="5"/>
        <v>1</v>
      </c>
    </row>
    <row r="40" spans="1:29" ht="1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709"/>
      <c r="Q40" s="1301">
        <f t="shared" si="11"/>
        <v>111</v>
      </c>
      <c r="R40" s="629" t="s">
        <v>25</v>
      </c>
      <c r="S40" s="630">
        <f t="shared" si="12"/>
        <v>100</v>
      </c>
      <c r="T40" s="629" t="s">
        <v>25</v>
      </c>
      <c r="U40" s="630">
        <f t="shared" si="13"/>
        <v>100</v>
      </c>
      <c r="V40" s="629" t="s">
        <v>25</v>
      </c>
      <c r="W40" s="630">
        <f t="shared" si="14"/>
        <v>100</v>
      </c>
      <c r="X40" s="1302"/>
      <c r="Y40" s="3709"/>
      <c r="Z40" s="1303">
        <f t="shared" si="15"/>
        <v>111</v>
      </c>
      <c r="AA40" s="1304">
        <f t="shared" si="3"/>
        <v>1</v>
      </c>
      <c r="AB40" s="1304">
        <f t="shared" si="4"/>
        <v>1</v>
      </c>
      <c r="AC40" s="1304">
        <f t="shared" si="5"/>
        <v>1</v>
      </c>
    </row>
    <row r="41" spans="1:29">
      <c r="A41" s="367" t="s">
        <v>2227</v>
      </c>
      <c r="B41" s="368"/>
      <c r="C41" s="1121" t="s">
        <v>1</v>
      </c>
      <c r="D41" s="1122"/>
      <c r="E41" s="1123"/>
      <c r="F41" s="1124"/>
      <c r="G41" s="1125"/>
      <c r="H41" s="1126"/>
      <c r="I41" s="1123"/>
      <c r="J41" s="1126"/>
      <c r="K41" s="638"/>
      <c r="L41" s="2997"/>
      <c r="N41" s="2986"/>
      <c r="P41" s="3676" t="str">
        <f>A41</f>
        <v>成交单价（元/平方米）</v>
      </c>
      <c r="Q41" s="3676"/>
      <c r="R41" s="3710">
        <f>E41</f>
        <v>0</v>
      </c>
      <c r="S41" s="3710"/>
      <c r="T41" s="3710">
        <f>G41</f>
        <v>0</v>
      </c>
      <c r="U41" s="3710"/>
      <c r="V41" s="3710">
        <f>I41</f>
        <v>0</v>
      </c>
      <c r="W41" s="3710"/>
      <c r="X41" s="616"/>
      <c r="Y41" s="636"/>
      <c r="Z41" s="616"/>
      <c r="AA41" s="616"/>
      <c r="AB41" s="616"/>
      <c r="AC41" s="616"/>
    </row>
    <row r="42" spans="1:29" ht="14.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6"/>
      <c r="Y42" s="616"/>
      <c r="Z42" s="616"/>
      <c r="AA42" s="616"/>
      <c r="AB42" s="616"/>
      <c r="AC42" s="616"/>
    </row>
    <row r="43" spans="1:29" ht="14.5" thickBot="1">
      <c r="A43" s="378" t="s">
        <v>2333</v>
      </c>
      <c r="B43" s="379"/>
      <c r="C43" s="1129" t="e">
        <f>R43</f>
        <v>#DIV/0!</v>
      </c>
      <c r="D43" s="1129"/>
      <c r="E43" s="1129"/>
      <c r="F43" s="1129"/>
      <c r="G43" s="1129"/>
      <c r="H43" s="1129"/>
      <c r="I43" s="1129"/>
      <c r="J43" s="1129"/>
      <c r="K43" s="639"/>
      <c r="L43" s="2997"/>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5" thickBot="1">
      <c r="A51" s="618" t="s">
        <v>2315</v>
      </c>
      <c r="B51" s="616"/>
      <c r="C51" s="619"/>
      <c r="D51" s="619"/>
      <c r="E51" s="619"/>
      <c r="F51" s="620"/>
      <c r="G51" s="620"/>
      <c r="H51" s="619"/>
      <c r="I51" s="619"/>
      <c r="J51" s="619"/>
      <c r="K51" s="621"/>
      <c r="L51" s="622"/>
      <c r="M51" s="619"/>
      <c r="N51" s="3003"/>
      <c r="O51" s="3003"/>
      <c r="P51" s="389"/>
      <c r="Q51" s="390"/>
    </row>
    <row r="52" spans="1:17" s="394" customFormat="1">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2235</v>
      </c>
      <c r="B54" s="401"/>
      <c r="C54" s="402"/>
      <c r="D54" s="403"/>
      <c r="E54" s="403"/>
      <c r="F54" s="403"/>
      <c r="G54" s="403"/>
      <c r="H54" s="403"/>
      <c r="I54" s="403"/>
      <c r="J54" s="403"/>
      <c r="K54" s="403"/>
      <c r="L54" s="403"/>
      <c r="M54" s="404"/>
      <c r="N54" s="403"/>
      <c r="O54" s="405"/>
      <c r="P54" s="390"/>
      <c r="Q54" s="390"/>
    </row>
    <row r="55" spans="1:17" s="25" customFormat="1">
      <c r="A55" s="406" t="s">
        <v>2200</v>
      </c>
      <c r="B55" s="396"/>
      <c r="C55" s="407" t="s">
        <v>2201</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2238</v>
      </c>
      <c r="B57" s="413" t="s">
        <v>2204</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39"/>
      <c r="B87" s="457"/>
      <c r="C87" s="458"/>
      <c r="D87" s="458"/>
      <c r="E87" s="458"/>
      <c r="F87" s="458"/>
      <c r="G87" s="479"/>
      <c r="H87" s="479"/>
      <c r="I87" s="479"/>
      <c r="J87" s="479"/>
      <c r="K87" s="479"/>
      <c r="L87" s="479"/>
      <c r="M87" s="480"/>
      <c r="N87" s="424"/>
      <c r="O87" s="424"/>
      <c r="P87" s="18"/>
      <c r="Q87" s="390"/>
    </row>
    <row r="88" spans="1:17">
      <c r="A88" s="412" t="s">
        <v>2213</v>
      </c>
      <c r="B88" s="413" t="s">
        <v>2262</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2264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2266</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2269</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2271</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108.17</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79" t="s">
        <v>2199</v>
      </c>
      <c r="Q7" s="3703"/>
      <c r="R7" s="625" t="s">
        <v>25</v>
      </c>
      <c r="S7" s="626">
        <f t="shared" ref="S7:S14" si="0">F7</f>
        <v>0</v>
      </c>
      <c r="T7" s="625" t="s">
        <v>25</v>
      </c>
      <c r="U7" s="626">
        <f t="shared" ref="U7:U14" si="1">H7</f>
        <v>0</v>
      </c>
      <c r="V7" s="625" t="s">
        <v>25</v>
      </c>
      <c r="W7" s="626">
        <f t="shared" ref="W7:W14" si="2">J7</f>
        <v>0</v>
      </c>
      <c r="X7" s="627"/>
      <c r="Y7" s="3679" t="s">
        <v>2199</v>
      </c>
      <c r="Z7" s="3680"/>
      <c r="AA7" s="628" t="e">
        <f>D7/F7</f>
        <v>#DIV/0!</v>
      </c>
      <c r="AB7" s="628" t="e">
        <f>D7/H7</f>
        <v>#DIV/0!</v>
      </c>
      <c r="AC7" s="628" t="e">
        <f>D7/J7</f>
        <v>#DIV/0!</v>
      </c>
    </row>
    <row r="8" spans="1:29" s="25" customFormat="1" ht="14.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76" t="s">
        <v>2205</v>
      </c>
      <c r="Q9" s="1294" t="str">
        <f t="shared" ref="Q9:Q14" si="6">B9</f>
        <v>用途</v>
      </c>
      <c r="R9" s="625" t="s">
        <v>25</v>
      </c>
      <c r="S9" s="626">
        <f t="shared" si="0"/>
        <v>100</v>
      </c>
      <c r="T9" s="625" t="s">
        <v>25</v>
      </c>
      <c r="U9" s="626">
        <f t="shared" si="1"/>
        <v>100</v>
      </c>
      <c r="V9" s="625" t="s">
        <v>25</v>
      </c>
      <c r="W9" s="626">
        <f t="shared" si="2"/>
        <v>100</v>
      </c>
      <c r="X9" s="627"/>
      <c r="Y9" s="3706" t="s">
        <v>2206</v>
      </c>
      <c r="Z9" s="19" t="str">
        <f t="shared" ref="Z9:Z14" si="7">Q9</f>
        <v>用途</v>
      </c>
      <c r="AA9" s="628">
        <f t="shared" si="3"/>
        <v>1</v>
      </c>
      <c r="AB9" s="628">
        <f t="shared" si="4"/>
        <v>1</v>
      </c>
      <c r="AC9" s="628">
        <f t="shared" si="5"/>
        <v>1</v>
      </c>
    </row>
    <row r="10" spans="1:29" s="317" customFormat="1" ht="2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76"/>
      <c r="Q11" s="1294">
        <f t="shared" si="6"/>
        <v>111</v>
      </c>
      <c r="R11" s="625" t="s">
        <v>25</v>
      </c>
      <c r="S11" s="626">
        <f t="shared" si="0"/>
        <v>100</v>
      </c>
      <c r="T11" s="625" t="s">
        <v>25</v>
      </c>
      <c r="U11" s="626">
        <f t="shared" si="1"/>
        <v>100</v>
      </c>
      <c r="V11" s="625" t="s">
        <v>25</v>
      </c>
      <c r="W11" s="626">
        <f t="shared" si="2"/>
        <v>100</v>
      </c>
      <c r="X11" s="627"/>
      <c r="Y11" s="3706"/>
      <c r="Z11" s="19">
        <f t="shared" si="7"/>
        <v>111</v>
      </c>
      <c r="AA11" s="628">
        <f t="shared" si="3"/>
        <v>1</v>
      </c>
      <c r="AB11" s="628">
        <f t="shared" si="4"/>
        <v>1</v>
      </c>
      <c r="AC11" s="628">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26">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704" t="s">
        <v>2210</v>
      </c>
      <c r="Q14" s="1301" t="str">
        <f t="shared" si="6"/>
        <v>交通便捷度</v>
      </c>
      <c r="R14" s="629" t="s">
        <v>25</v>
      </c>
      <c r="S14" s="630">
        <f t="shared" si="0"/>
        <v>100</v>
      </c>
      <c r="T14" s="629" t="s">
        <v>25</v>
      </c>
      <c r="U14" s="630">
        <f t="shared" si="1"/>
        <v>100</v>
      </c>
      <c r="V14" s="629" t="s">
        <v>25</v>
      </c>
      <c r="W14" s="630">
        <f t="shared" si="2"/>
        <v>100</v>
      </c>
      <c r="X14" s="1302"/>
      <c r="Y14" s="3704" t="s">
        <v>2210</v>
      </c>
      <c r="Z14" s="1303" t="str">
        <f t="shared" si="7"/>
        <v>交通便捷度</v>
      </c>
      <c r="AA14" s="1304">
        <f t="shared" si="3"/>
        <v>1</v>
      </c>
      <c r="AB14" s="1304">
        <f t="shared" si="4"/>
        <v>1</v>
      </c>
      <c r="AC14" s="1304">
        <f t="shared" si="5"/>
        <v>1</v>
      </c>
    </row>
    <row r="15" spans="1:29" ht="15.5">
      <c r="A15" s="297"/>
      <c r="B15" s="529"/>
      <c r="C15" s="1112"/>
      <c r="D15" s="1106"/>
      <c r="E15" s="335"/>
      <c r="F15" s="336"/>
      <c r="G15" s="1103"/>
      <c r="H15" s="339"/>
      <c r="I15" s="335"/>
      <c r="J15" s="336"/>
      <c r="K15" s="501"/>
      <c r="L15" s="2995"/>
      <c r="M15" s="2986"/>
      <c r="N15" s="2986"/>
      <c r="O15" s="2994"/>
      <c r="P15" s="3705"/>
      <c r="Q15" s="1301"/>
      <c r="R15" s="629"/>
      <c r="S15" s="630"/>
      <c r="T15" s="629"/>
      <c r="U15" s="630"/>
      <c r="V15" s="629"/>
      <c r="W15" s="630"/>
      <c r="X15" s="1302"/>
      <c r="Y15" s="3705"/>
      <c r="Z15" s="1303"/>
      <c r="AA15" s="1304">
        <v>1</v>
      </c>
      <c r="AB15" s="1304">
        <v>1</v>
      </c>
      <c r="AC15" s="1304">
        <v>1</v>
      </c>
    </row>
    <row r="16" spans="1:29" ht="56">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705"/>
      <c r="Q16" s="1301" t="str">
        <f>B16</f>
        <v>公共配套设施</v>
      </c>
      <c r="R16" s="629" t="s">
        <v>25</v>
      </c>
      <c r="S16" s="630">
        <f>F16</f>
        <v>100</v>
      </c>
      <c r="T16" s="629" t="s">
        <v>25</v>
      </c>
      <c r="U16" s="630">
        <f>H16</f>
        <v>100</v>
      </c>
      <c r="V16" s="629" t="s">
        <v>25</v>
      </c>
      <c r="W16" s="630">
        <f>J16</f>
        <v>100</v>
      </c>
      <c r="X16" s="1302"/>
      <c r="Y16" s="3705"/>
      <c r="Z16" s="1303" t="str">
        <f>Q16</f>
        <v>公共配套设施</v>
      </c>
      <c r="AA16" s="1304">
        <f t="shared" si="3"/>
        <v>1</v>
      </c>
      <c r="AB16" s="1304">
        <f t="shared" si="4"/>
        <v>1</v>
      </c>
      <c r="AC16" s="1304">
        <f t="shared" si="5"/>
        <v>1</v>
      </c>
    </row>
    <row r="17" spans="1:29" ht="15.5">
      <c r="A17" s="297"/>
      <c r="B17" s="514"/>
      <c r="C17" s="1101"/>
      <c r="D17" s="1107"/>
      <c r="E17" s="337"/>
      <c r="F17" s="339"/>
      <c r="G17" s="337"/>
      <c r="H17" s="336"/>
      <c r="I17" s="337"/>
      <c r="J17" s="336"/>
      <c r="K17" s="501"/>
      <c r="L17" s="2995"/>
      <c r="M17" s="2986"/>
      <c r="N17" s="2986"/>
      <c r="O17" s="2994"/>
      <c r="P17" s="3705"/>
      <c r="Q17" s="1301"/>
      <c r="R17" s="629"/>
      <c r="S17" s="630"/>
      <c r="T17" s="629"/>
      <c r="U17" s="630"/>
      <c r="V17" s="629"/>
      <c r="W17" s="630"/>
      <c r="X17" s="1302"/>
      <c r="Y17" s="3705"/>
      <c r="Z17" s="1303"/>
      <c r="AA17" s="1304">
        <v>1</v>
      </c>
      <c r="AB17" s="1304">
        <v>1</v>
      </c>
      <c r="AC17" s="1304">
        <v>1</v>
      </c>
    </row>
    <row r="18" spans="1:29" ht="42">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705"/>
      <c r="Q18" s="1301" t="str">
        <f>B18</f>
        <v>基础设施水平</v>
      </c>
      <c r="R18" s="629" t="s">
        <v>25</v>
      </c>
      <c r="S18" s="630">
        <f>F18</f>
        <v>100</v>
      </c>
      <c r="T18" s="629" t="s">
        <v>25</v>
      </c>
      <c r="U18" s="630">
        <f>H18</f>
        <v>100</v>
      </c>
      <c r="V18" s="629" t="s">
        <v>25</v>
      </c>
      <c r="W18" s="630">
        <f>J18</f>
        <v>100</v>
      </c>
      <c r="X18" s="1302"/>
      <c r="Y18" s="3705"/>
      <c r="Z18" s="1303" t="str">
        <f>Q18</f>
        <v>基础设施水平</v>
      </c>
      <c r="AA18" s="1304">
        <f t="shared" ref="AA18" si="8">D18/F18</f>
        <v>1</v>
      </c>
      <c r="AB18" s="1304">
        <f t="shared" ref="AB18" si="9">D18/H18</f>
        <v>1</v>
      </c>
      <c r="AC18" s="1304">
        <f t="shared" ref="AC18" si="10">D18/J18</f>
        <v>1</v>
      </c>
    </row>
    <row r="19" spans="1:29" ht="15.5">
      <c r="A19" s="297"/>
      <c r="B19" s="515"/>
      <c r="C19" s="1102"/>
      <c r="D19" s="1107"/>
      <c r="E19" s="1099"/>
      <c r="F19" s="339"/>
      <c r="G19" s="1099"/>
      <c r="H19" s="336"/>
      <c r="I19" s="337"/>
      <c r="J19" s="336"/>
      <c r="K19" s="1100"/>
      <c r="L19" s="2995"/>
      <c r="M19" s="2986"/>
      <c r="N19" s="2986"/>
      <c r="O19" s="2994"/>
      <c r="P19" s="3705"/>
      <c r="Q19" s="1301"/>
      <c r="R19" s="629"/>
      <c r="S19" s="630"/>
      <c r="T19" s="629"/>
      <c r="U19" s="630"/>
      <c r="V19" s="629"/>
      <c r="W19" s="630"/>
      <c r="X19" s="1302"/>
      <c r="Y19" s="3705"/>
      <c r="Z19" s="1303"/>
      <c r="AA19" s="1304">
        <v>1</v>
      </c>
      <c r="AB19" s="1304">
        <v>1</v>
      </c>
      <c r="AC19" s="1304">
        <v>1</v>
      </c>
    </row>
    <row r="20" spans="1:29" ht="84">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705"/>
      <c r="Q20" s="1301" t="str">
        <f>B20</f>
        <v>自然及人文环境</v>
      </c>
      <c r="R20" s="629" t="s">
        <v>25</v>
      </c>
      <c r="S20" s="630">
        <f>F20</f>
        <v>100</v>
      </c>
      <c r="T20" s="629" t="s">
        <v>25</v>
      </c>
      <c r="U20" s="630">
        <f>H20</f>
        <v>100</v>
      </c>
      <c r="V20" s="629" t="s">
        <v>25</v>
      </c>
      <c r="W20" s="630">
        <f>J20</f>
        <v>100</v>
      </c>
      <c r="X20" s="1302"/>
      <c r="Y20" s="3705"/>
      <c r="Z20" s="1303" t="str">
        <f>Q20</f>
        <v>自然及人文环境</v>
      </c>
      <c r="AA20" s="1304">
        <f t="shared" si="3"/>
        <v>1</v>
      </c>
      <c r="AB20" s="1304">
        <f t="shared" si="4"/>
        <v>1</v>
      </c>
      <c r="AC20" s="1304">
        <f t="shared" si="5"/>
        <v>1</v>
      </c>
    </row>
    <row r="21" spans="1:29" ht="15.5">
      <c r="A21" s="297"/>
      <c r="B21" s="514"/>
      <c r="C21" s="1112"/>
      <c r="D21" s="1106"/>
      <c r="E21" s="335"/>
      <c r="F21" s="336"/>
      <c r="G21" s="1103"/>
      <c r="H21" s="336"/>
      <c r="I21" s="335"/>
      <c r="J21" s="336"/>
      <c r="K21" s="501"/>
      <c r="L21" s="2995"/>
      <c r="M21" s="2986"/>
      <c r="N21" s="2986"/>
      <c r="O21" s="2994"/>
      <c r="P21" s="3705"/>
      <c r="Q21" s="1301"/>
      <c r="R21" s="629"/>
      <c r="S21" s="630"/>
      <c r="T21" s="629"/>
      <c r="U21" s="630"/>
      <c r="V21" s="629"/>
      <c r="W21" s="630"/>
      <c r="X21" s="1302"/>
      <c r="Y21" s="3705"/>
      <c r="Z21" s="1303"/>
      <c r="AA21" s="1304">
        <v>1</v>
      </c>
      <c r="AB21" s="1304">
        <v>1</v>
      </c>
      <c r="AC21" s="1304">
        <v>1</v>
      </c>
    </row>
    <row r="22" spans="1:29" ht="15.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705"/>
      <c r="Q22" s="1301" t="str">
        <f>B22</f>
        <v>楼层</v>
      </c>
      <c r="R22" s="629" t="s">
        <v>25</v>
      </c>
      <c r="S22" s="630">
        <f>F22</f>
        <v>100</v>
      </c>
      <c r="T22" s="629" t="s">
        <v>25</v>
      </c>
      <c r="U22" s="630">
        <f>H22</f>
        <v>100</v>
      </c>
      <c r="V22" s="629" t="s">
        <v>25</v>
      </c>
      <c r="W22" s="630">
        <f>J22</f>
        <v>100</v>
      </c>
      <c r="X22" s="1302"/>
      <c r="Y22" s="3705"/>
      <c r="Z22" s="1303" t="str">
        <f>Q22</f>
        <v>楼层</v>
      </c>
      <c r="AA22" s="1304">
        <f t="shared" si="3"/>
        <v>1</v>
      </c>
      <c r="AB22" s="1304">
        <f t="shared" si="4"/>
        <v>1</v>
      </c>
      <c r="AC22" s="1304">
        <f t="shared" si="5"/>
        <v>1</v>
      </c>
    </row>
    <row r="23" spans="1:29" ht="15.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705"/>
      <c r="Q23" s="1301">
        <f>B23</f>
        <v>111</v>
      </c>
      <c r="R23" s="629" t="s">
        <v>25</v>
      </c>
      <c r="S23" s="630">
        <f>F23</f>
        <v>100</v>
      </c>
      <c r="T23" s="629" t="s">
        <v>25</v>
      </c>
      <c r="U23" s="630">
        <f>H23</f>
        <v>100</v>
      </c>
      <c r="V23" s="629" t="s">
        <v>25</v>
      </c>
      <c r="W23" s="630">
        <f>J23</f>
        <v>100</v>
      </c>
      <c r="X23" s="1302"/>
      <c r="Y23" s="3705"/>
      <c r="Z23" s="1303">
        <f>Q23</f>
        <v>111</v>
      </c>
      <c r="AA23" s="1304">
        <f t="shared" si="3"/>
        <v>1</v>
      </c>
      <c r="AB23" s="1304">
        <f t="shared" si="4"/>
        <v>1</v>
      </c>
      <c r="AC23" s="1304">
        <f t="shared" si="5"/>
        <v>1</v>
      </c>
    </row>
    <row r="24" spans="1:29" ht="15.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705"/>
      <c r="Q24" s="1301">
        <f t="shared" ref="Q24:Q36" si="11">B24</f>
        <v>111</v>
      </c>
      <c r="R24" s="629" t="s">
        <v>25</v>
      </c>
      <c r="S24" s="630">
        <f>F24</f>
        <v>100</v>
      </c>
      <c r="T24" s="629" t="s">
        <v>25</v>
      </c>
      <c r="U24" s="630">
        <f>H24</f>
        <v>100</v>
      </c>
      <c r="V24" s="629" t="s">
        <v>25</v>
      </c>
      <c r="W24" s="630">
        <f>J24</f>
        <v>100</v>
      </c>
      <c r="X24" s="1302"/>
      <c r="Y24" s="3705"/>
      <c r="Z24" s="1303">
        <f>Q24</f>
        <v>111</v>
      </c>
      <c r="AA24" s="1304">
        <f t="shared" si="3"/>
        <v>1</v>
      </c>
      <c r="AB24" s="1304">
        <f t="shared" si="4"/>
        <v>1</v>
      </c>
      <c r="AC24" s="1304">
        <f t="shared" si="5"/>
        <v>1</v>
      </c>
    </row>
    <row r="25" spans="1:29" s="25" customFormat="1" ht="1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705"/>
      <c r="Q25" s="1294">
        <f t="shared" si="11"/>
        <v>111</v>
      </c>
      <c r="R25" s="625" t="s">
        <v>25</v>
      </c>
      <c r="S25" s="626">
        <f>F25</f>
        <v>100</v>
      </c>
      <c r="T25" s="625" t="s">
        <v>25</v>
      </c>
      <c r="U25" s="626">
        <f>H25</f>
        <v>100</v>
      </c>
      <c r="V25" s="625" t="s">
        <v>25</v>
      </c>
      <c r="W25" s="626">
        <f>J25</f>
        <v>100</v>
      </c>
      <c r="X25" s="627"/>
      <c r="Y25" s="3705"/>
      <c r="Z25" s="19">
        <f>Q25</f>
        <v>111</v>
      </c>
      <c r="AA25" s="1304">
        <f>D25/F25</f>
        <v>1</v>
      </c>
      <c r="AB25" s="1304">
        <f>D25/H25</f>
        <v>1</v>
      </c>
      <c r="AC25" s="1304">
        <f>D25/J25</f>
        <v>1</v>
      </c>
    </row>
    <row r="26" spans="1:29" ht="29">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707"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08" t="s">
        <v>2215</v>
      </c>
      <c r="Z26" s="1303" t="str">
        <f t="shared" ref="Z26:Z36" si="15">Q26</f>
        <v>配套类型</v>
      </c>
      <c r="AA26" s="1304">
        <f t="shared" si="3"/>
        <v>1</v>
      </c>
      <c r="AB26" s="1304">
        <f t="shared" si="4"/>
        <v>1</v>
      </c>
      <c r="AC26" s="1304">
        <f t="shared" si="5"/>
        <v>1</v>
      </c>
    </row>
    <row r="27" spans="1:29" s="359" customFormat="1" ht="15.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708"/>
      <c r="Q27" s="631" t="str">
        <f t="shared" si="11"/>
        <v>项目停车位配比</v>
      </c>
      <c r="R27" s="632" t="s">
        <v>25</v>
      </c>
      <c r="S27" s="633">
        <f t="shared" si="12"/>
        <v>100</v>
      </c>
      <c r="T27" s="632" t="s">
        <v>25</v>
      </c>
      <c r="U27" s="633">
        <f t="shared" si="13"/>
        <v>100</v>
      </c>
      <c r="V27" s="632" t="s">
        <v>25</v>
      </c>
      <c r="W27" s="633">
        <f t="shared" si="14"/>
        <v>100</v>
      </c>
      <c r="X27" s="634"/>
      <c r="Y27" s="3708"/>
      <c r="Z27" s="635" t="str">
        <f t="shared" si="15"/>
        <v>项目停车位配比</v>
      </c>
      <c r="AA27" s="1304">
        <f t="shared" si="3"/>
        <v>1</v>
      </c>
      <c r="AB27" s="1304">
        <f t="shared" si="4"/>
        <v>1</v>
      </c>
      <c r="AC27" s="1304">
        <f t="shared" si="5"/>
        <v>1</v>
      </c>
    </row>
    <row r="28" spans="1:29" ht="15.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708"/>
      <c r="Q28" s="1301" t="str">
        <f t="shared" si="11"/>
        <v>公共部分装修</v>
      </c>
      <c r="R28" s="629" t="s">
        <v>25</v>
      </c>
      <c r="S28" s="630">
        <f t="shared" si="12"/>
        <v>100</v>
      </c>
      <c r="T28" s="629" t="s">
        <v>25</v>
      </c>
      <c r="U28" s="630">
        <f t="shared" si="13"/>
        <v>100</v>
      </c>
      <c r="V28" s="629" t="s">
        <v>25</v>
      </c>
      <c r="W28" s="630">
        <f t="shared" si="14"/>
        <v>100</v>
      </c>
      <c r="X28" s="1302"/>
      <c r="Y28" s="3708"/>
      <c r="Z28" s="1303" t="str">
        <f t="shared" si="15"/>
        <v>公共部分装修</v>
      </c>
      <c r="AA28" s="1304">
        <f t="shared" si="3"/>
        <v>1</v>
      </c>
      <c r="AB28" s="1304">
        <f t="shared" si="4"/>
        <v>1</v>
      </c>
      <c r="AC28" s="1304">
        <f t="shared" si="5"/>
        <v>1</v>
      </c>
    </row>
    <row r="29" spans="1:29" ht="15.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708"/>
      <c r="Q29" s="1301" t="str">
        <f t="shared" si="11"/>
        <v>成新率</v>
      </c>
      <c r="R29" s="629" t="s">
        <v>25</v>
      </c>
      <c r="S29" s="630" t="e">
        <f t="shared" si="12"/>
        <v>#N/A</v>
      </c>
      <c r="T29" s="629" t="s">
        <v>25</v>
      </c>
      <c r="U29" s="630" t="e">
        <f t="shared" si="13"/>
        <v>#N/A</v>
      </c>
      <c r="V29" s="629" t="s">
        <v>25</v>
      </c>
      <c r="W29" s="630" t="e">
        <f t="shared" si="14"/>
        <v>#N/A</v>
      </c>
      <c r="X29" s="1302"/>
      <c r="Y29" s="3708"/>
      <c r="Z29" s="1303" t="str">
        <f t="shared" si="15"/>
        <v>成新率</v>
      </c>
      <c r="AA29" s="1304" t="e">
        <f t="shared" si="3"/>
        <v>#N/A</v>
      </c>
      <c r="AB29" s="1304" t="e">
        <f t="shared" si="4"/>
        <v>#N/A</v>
      </c>
      <c r="AC29" s="1304" t="e">
        <f t="shared" si="5"/>
        <v>#N/A</v>
      </c>
    </row>
    <row r="30" spans="1:29" ht="15.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708"/>
      <c r="Q30" s="1301" t="str">
        <f t="shared" si="11"/>
        <v>物业等级</v>
      </c>
      <c r="R30" s="629" t="s">
        <v>25</v>
      </c>
      <c r="S30" s="630">
        <f t="shared" si="12"/>
        <v>100</v>
      </c>
      <c r="T30" s="629" t="s">
        <v>25</v>
      </c>
      <c r="U30" s="630">
        <f t="shared" si="13"/>
        <v>100</v>
      </c>
      <c r="V30" s="629" t="s">
        <v>25</v>
      </c>
      <c r="W30" s="630">
        <f t="shared" si="14"/>
        <v>100</v>
      </c>
      <c r="X30" s="1302"/>
      <c r="Y30" s="3708"/>
      <c r="Z30" s="1303" t="str">
        <f t="shared" si="15"/>
        <v>物业等级</v>
      </c>
      <c r="AA30" s="1304">
        <f t="shared" si="3"/>
        <v>1</v>
      </c>
      <c r="AB30" s="1304">
        <f t="shared" si="4"/>
        <v>1</v>
      </c>
      <c r="AC30" s="1304">
        <f t="shared" si="5"/>
        <v>1</v>
      </c>
    </row>
    <row r="31" spans="1:29" s="25" customFormat="1" ht="15.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708"/>
      <c r="Q31" s="1294" t="str">
        <f t="shared" si="11"/>
        <v>停车位面积</v>
      </c>
      <c r="R31" s="625" t="s">
        <v>25</v>
      </c>
      <c r="S31" s="626" t="e">
        <f t="shared" si="12"/>
        <v>#N/A</v>
      </c>
      <c r="T31" s="625" t="s">
        <v>25</v>
      </c>
      <c r="U31" s="626" t="e">
        <f t="shared" si="13"/>
        <v>#N/A</v>
      </c>
      <c r="V31" s="625" t="s">
        <v>25</v>
      </c>
      <c r="W31" s="626" t="e">
        <f t="shared" si="14"/>
        <v>#N/A</v>
      </c>
      <c r="X31" s="627"/>
      <c r="Y31" s="3708"/>
      <c r="Z31" s="19" t="str">
        <f t="shared" si="15"/>
        <v>停车位面积</v>
      </c>
      <c r="AA31" s="628" t="e">
        <f t="shared" si="3"/>
        <v>#N/A</v>
      </c>
      <c r="AB31" s="628" t="e">
        <f t="shared" si="4"/>
        <v>#N/A</v>
      </c>
      <c r="AC31" s="628" t="e">
        <f t="shared" si="5"/>
        <v>#N/A</v>
      </c>
    </row>
    <row r="32" spans="1:29" ht="15.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708" t="s">
        <v>2215</v>
      </c>
      <c r="Q32" s="1301" t="str">
        <f t="shared" si="11"/>
        <v>车位类型</v>
      </c>
      <c r="R32" s="629" t="s">
        <v>25</v>
      </c>
      <c r="S32" s="630">
        <f t="shared" si="12"/>
        <v>100</v>
      </c>
      <c r="T32" s="629" t="s">
        <v>25</v>
      </c>
      <c r="U32" s="630">
        <f t="shared" si="13"/>
        <v>100</v>
      </c>
      <c r="V32" s="629" t="s">
        <v>25</v>
      </c>
      <c r="W32" s="630">
        <f t="shared" si="14"/>
        <v>100</v>
      </c>
      <c r="X32" s="1302"/>
      <c r="Y32" s="3708" t="s">
        <v>2215</v>
      </c>
      <c r="Z32" s="1303" t="str">
        <f t="shared" si="15"/>
        <v>车位类型</v>
      </c>
      <c r="AA32" s="1304">
        <f t="shared" si="3"/>
        <v>1</v>
      </c>
      <c r="AB32" s="1304">
        <f t="shared" si="4"/>
        <v>1</v>
      </c>
      <c r="AC32" s="1304">
        <f t="shared" si="5"/>
        <v>1</v>
      </c>
    </row>
    <row r="33" spans="1:29" ht="15.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708"/>
      <c r="Q33" s="1301" t="str">
        <f t="shared" si="11"/>
        <v>是否直接入户</v>
      </c>
      <c r="R33" s="629" t="s">
        <v>25</v>
      </c>
      <c r="S33" s="630">
        <f t="shared" si="12"/>
        <v>100</v>
      </c>
      <c r="T33" s="629" t="s">
        <v>25</v>
      </c>
      <c r="U33" s="630">
        <f t="shared" si="13"/>
        <v>100</v>
      </c>
      <c r="V33" s="629" t="s">
        <v>25</v>
      </c>
      <c r="W33" s="630">
        <f t="shared" si="14"/>
        <v>100</v>
      </c>
      <c r="X33" s="1302"/>
      <c r="Y33" s="3708"/>
      <c r="Z33" s="1303" t="str">
        <f t="shared" si="15"/>
        <v>是否直接入户</v>
      </c>
      <c r="AA33" s="1304">
        <f t="shared" si="3"/>
        <v>1</v>
      </c>
      <c r="AB33" s="1304">
        <f t="shared" si="4"/>
        <v>1</v>
      </c>
      <c r="AC33" s="1304">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708"/>
      <c r="Q34" s="1301">
        <f t="shared" si="11"/>
        <v>111</v>
      </c>
      <c r="R34" s="629" t="s">
        <v>25</v>
      </c>
      <c r="S34" s="630">
        <f t="shared" si="12"/>
        <v>100</v>
      </c>
      <c r="T34" s="629" t="s">
        <v>25</v>
      </c>
      <c r="U34" s="630">
        <f t="shared" si="13"/>
        <v>100</v>
      </c>
      <c r="V34" s="629" t="s">
        <v>25</v>
      </c>
      <c r="W34" s="630">
        <f t="shared" si="14"/>
        <v>100</v>
      </c>
      <c r="X34" s="1302"/>
      <c r="Y34" s="3708"/>
      <c r="Z34" s="1303">
        <f t="shared" si="15"/>
        <v>111</v>
      </c>
      <c r="AA34" s="1304">
        <f t="shared" si="3"/>
        <v>1</v>
      </c>
      <c r="AB34" s="1304">
        <f t="shared" si="4"/>
        <v>1</v>
      </c>
      <c r="AC34" s="1304">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708"/>
      <c r="Q35" s="631">
        <f t="shared" si="11"/>
        <v>111</v>
      </c>
      <c r="R35" s="632" t="s">
        <v>25</v>
      </c>
      <c r="S35" s="633">
        <f t="shared" si="12"/>
        <v>100</v>
      </c>
      <c r="T35" s="632" t="s">
        <v>25</v>
      </c>
      <c r="U35" s="633">
        <f t="shared" si="13"/>
        <v>100</v>
      </c>
      <c r="V35" s="632" t="s">
        <v>25</v>
      </c>
      <c r="W35" s="633">
        <f t="shared" si="14"/>
        <v>100</v>
      </c>
      <c r="X35" s="634"/>
      <c r="Y35" s="3708"/>
      <c r="Z35" s="635">
        <f t="shared" si="15"/>
        <v>111</v>
      </c>
      <c r="AA35" s="1304">
        <f t="shared" si="3"/>
        <v>1</v>
      </c>
      <c r="AB35" s="1304">
        <f t="shared" si="4"/>
        <v>1</v>
      </c>
      <c r="AC35" s="1304">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708"/>
      <c r="Q36" s="1301">
        <f t="shared" si="11"/>
        <v>111</v>
      </c>
      <c r="R36" s="629" t="s">
        <v>25</v>
      </c>
      <c r="S36" s="630">
        <f t="shared" si="12"/>
        <v>100</v>
      </c>
      <c r="T36" s="629" t="s">
        <v>25</v>
      </c>
      <c r="U36" s="630">
        <f t="shared" si="13"/>
        <v>100</v>
      </c>
      <c r="V36" s="629" t="s">
        <v>25</v>
      </c>
      <c r="W36" s="630">
        <f t="shared" si="14"/>
        <v>100</v>
      </c>
      <c r="X36" s="1302"/>
      <c r="Y36" s="3708"/>
      <c r="Z36" s="1303">
        <f t="shared" si="15"/>
        <v>111</v>
      </c>
      <c r="AA36" s="1304">
        <f t="shared" si="3"/>
        <v>1</v>
      </c>
      <c r="AB36" s="1304">
        <f t="shared" si="4"/>
        <v>1</v>
      </c>
      <c r="AC36" s="1304">
        <f t="shared" si="5"/>
        <v>1</v>
      </c>
    </row>
    <row r="37" spans="1:29">
      <c r="A37" s="367" t="s">
        <v>2357</v>
      </c>
      <c r="B37" s="838" t="s">
        <v>2358</v>
      </c>
      <c r="C37" s="1121" t="s">
        <v>1</v>
      </c>
      <c r="D37" s="1122"/>
      <c r="E37" s="1123"/>
      <c r="F37" s="1124"/>
      <c r="G37" s="1125"/>
      <c r="H37" s="1126"/>
      <c r="I37" s="1123"/>
      <c r="J37" s="1126"/>
      <c r="K37" s="503"/>
      <c r="L37" s="2997"/>
      <c r="N37" s="2986"/>
      <c r="P37" s="3676" t="str">
        <f>A37</f>
        <v>成交单价</v>
      </c>
      <c r="Q37" s="3676"/>
      <c r="R37" s="3710">
        <f>E37</f>
        <v>0</v>
      </c>
      <c r="S37" s="3710"/>
      <c r="T37" s="3710">
        <f>G37</f>
        <v>0</v>
      </c>
      <c r="U37" s="3710"/>
      <c r="V37" s="3710">
        <f>I37</f>
        <v>0</v>
      </c>
      <c r="W37" s="3710"/>
      <c r="X37" s="616"/>
      <c r="Y37" s="636"/>
      <c r="Z37" s="616"/>
      <c r="AA37" s="616"/>
      <c r="AB37" s="616"/>
      <c r="AC37" s="616"/>
    </row>
    <row r="38" spans="1:29" ht="14.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6"/>
      <c r="Y38" s="616"/>
      <c r="Z38" s="616"/>
      <c r="AA38" s="616"/>
      <c r="AB38" s="616"/>
      <c r="AC38" s="616"/>
    </row>
    <row r="39" spans="1:29" ht="14.5" thickBot="1">
      <c r="A39" s="378" t="s">
        <v>2360</v>
      </c>
      <c r="B39" s="379"/>
      <c r="C39" s="1129" t="e">
        <f>R39</f>
        <v>#DIV/0!</v>
      </c>
      <c r="D39" s="1129"/>
      <c r="E39" s="1129"/>
      <c r="F39" s="1129"/>
      <c r="G39" s="1129"/>
      <c r="H39" s="1129"/>
      <c r="I39" s="1129"/>
      <c r="J39" s="1129"/>
      <c r="K39" s="504"/>
      <c r="L39" s="2997"/>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5"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4.5" thickBot="1">
      <c r="A50" s="400" t="s">
        <v>2235</v>
      </c>
      <c r="B50" s="401"/>
      <c r="C50" s="402"/>
      <c r="D50" s="403"/>
      <c r="E50" s="403"/>
      <c r="F50" s="403"/>
      <c r="G50" s="403"/>
      <c r="H50" s="403"/>
      <c r="I50" s="403"/>
      <c r="J50" s="403"/>
      <c r="K50" s="403"/>
      <c r="L50" s="403"/>
      <c r="M50" s="404"/>
      <c r="N50" s="403"/>
      <c r="O50" s="405"/>
      <c r="P50" s="390"/>
      <c r="Q50" s="390"/>
    </row>
    <row r="51" spans="1:17" s="25" customFormat="1">
      <c r="A51" s="406" t="s">
        <v>2200</v>
      </c>
      <c r="B51" s="396"/>
      <c r="C51" s="407" t="s">
        <v>2201</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2238</v>
      </c>
      <c r="B53" s="413" t="s">
        <v>2204</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2366</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2213</v>
      </c>
      <c r="B79" s="413" t="s">
        <v>2367</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2368</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2266</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2370</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2372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2373</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108.17</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79" t="s">
        <v>2199</v>
      </c>
      <c r="Q7" s="3703"/>
      <c r="R7" s="625" t="s">
        <v>25</v>
      </c>
      <c r="S7" s="626">
        <f t="shared" ref="S7:S14" si="0">F7</f>
        <v>0</v>
      </c>
      <c r="T7" s="625" t="s">
        <v>25</v>
      </c>
      <c r="U7" s="626">
        <f t="shared" ref="U7:U14" si="1">H7</f>
        <v>0</v>
      </c>
      <c r="V7" s="625" t="s">
        <v>25</v>
      </c>
      <c r="W7" s="626">
        <f t="shared" ref="W7:W14" si="2">J7</f>
        <v>0</v>
      </c>
      <c r="X7" s="627"/>
      <c r="Y7" s="3679" t="s">
        <v>2199</v>
      </c>
      <c r="Z7" s="3680"/>
      <c r="AA7" s="628" t="e">
        <f>D7/F7</f>
        <v>#DIV/0!</v>
      </c>
      <c r="AB7" s="628" t="e">
        <f>D7/H7</f>
        <v>#DIV/0!</v>
      </c>
      <c r="AC7" s="628" t="e">
        <f>D7/J7</f>
        <v>#DIV/0!</v>
      </c>
    </row>
    <row r="8" spans="1:29" s="25" customFormat="1" ht="14.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76" t="s">
        <v>2205</v>
      </c>
      <c r="Q9" s="1294" t="str">
        <f t="shared" ref="Q9:Q14" si="6">B9</f>
        <v>用途</v>
      </c>
      <c r="R9" s="625" t="s">
        <v>25</v>
      </c>
      <c r="S9" s="626">
        <f t="shared" si="0"/>
        <v>100</v>
      </c>
      <c r="T9" s="625" t="s">
        <v>25</v>
      </c>
      <c r="U9" s="626">
        <f t="shared" si="1"/>
        <v>100</v>
      </c>
      <c r="V9" s="625" t="s">
        <v>25</v>
      </c>
      <c r="W9" s="626">
        <f t="shared" si="2"/>
        <v>100</v>
      </c>
      <c r="X9" s="627"/>
      <c r="Y9" s="3706" t="s">
        <v>2206</v>
      </c>
      <c r="Z9" s="19" t="str">
        <f t="shared" ref="Z9:Z14" si="7">Q9</f>
        <v>用途</v>
      </c>
      <c r="AA9" s="628">
        <f t="shared" si="3"/>
        <v>1</v>
      </c>
      <c r="AB9" s="628">
        <f t="shared" si="4"/>
        <v>1</v>
      </c>
      <c r="AC9" s="628">
        <f t="shared" si="5"/>
        <v>1</v>
      </c>
    </row>
    <row r="10" spans="1:29" s="317" customFormat="1" ht="2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76"/>
      <c r="Q11" s="1294">
        <f t="shared" si="6"/>
        <v>111</v>
      </c>
      <c r="R11" s="625" t="s">
        <v>25</v>
      </c>
      <c r="S11" s="626">
        <f t="shared" si="0"/>
        <v>100</v>
      </c>
      <c r="T11" s="625" t="s">
        <v>25</v>
      </c>
      <c r="U11" s="626">
        <f t="shared" si="1"/>
        <v>100</v>
      </c>
      <c r="V11" s="625" t="s">
        <v>25</v>
      </c>
      <c r="W11" s="626">
        <f t="shared" si="2"/>
        <v>100</v>
      </c>
      <c r="X11" s="627"/>
      <c r="Y11" s="3706"/>
      <c r="Z11" s="19">
        <f t="shared" si="7"/>
        <v>111</v>
      </c>
      <c r="AA11" s="628">
        <f t="shared" si="3"/>
        <v>1</v>
      </c>
      <c r="AB11" s="628">
        <f t="shared" si="4"/>
        <v>1</v>
      </c>
      <c r="AC11" s="628">
        <f t="shared" si="5"/>
        <v>1</v>
      </c>
    </row>
    <row r="12" spans="1:29" s="25" customFormat="1" ht="15.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26">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704" t="s">
        <v>2210</v>
      </c>
      <c r="Q14" s="1301" t="str">
        <f t="shared" si="6"/>
        <v>交通便捷度</v>
      </c>
      <c r="R14" s="629" t="s">
        <v>25</v>
      </c>
      <c r="S14" s="630">
        <f t="shared" si="0"/>
        <v>100</v>
      </c>
      <c r="T14" s="629" t="s">
        <v>25</v>
      </c>
      <c r="U14" s="630">
        <f t="shared" si="1"/>
        <v>100</v>
      </c>
      <c r="V14" s="629" t="s">
        <v>25</v>
      </c>
      <c r="W14" s="630">
        <f t="shared" si="2"/>
        <v>100</v>
      </c>
      <c r="X14" s="1302"/>
      <c r="Y14" s="3704" t="s">
        <v>2210</v>
      </c>
      <c r="Z14" s="1303" t="str">
        <f t="shared" si="7"/>
        <v>交通便捷度</v>
      </c>
      <c r="AA14" s="1304">
        <f t="shared" si="3"/>
        <v>1</v>
      </c>
      <c r="AB14" s="1304">
        <f t="shared" si="4"/>
        <v>1</v>
      </c>
      <c r="AC14" s="1304">
        <f t="shared" si="5"/>
        <v>1</v>
      </c>
    </row>
    <row r="15" spans="1:29" ht="15.5">
      <c r="A15" s="318"/>
      <c r="B15" s="334"/>
      <c r="C15" s="335"/>
      <c r="D15" s="336"/>
      <c r="E15" s="335"/>
      <c r="F15" s="338"/>
      <c r="G15" s="335"/>
      <c r="H15" s="339"/>
      <c r="I15" s="335"/>
      <c r="J15" s="336"/>
      <c r="K15" s="501"/>
      <c r="L15" s="2995"/>
      <c r="M15" s="2986"/>
      <c r="N15" s="2986"/>
      <c r="O15" s="2994"/>
      <c r="P15" s="3705"/>
      <c r="Q15" s="1301"/>
      <c r="R15" s="629"/>
      <c r="S15" s="630"/>
      <c r="T15" s="629"/>
      <c r="U15" s="630"/>
      <c r="V15" s="629"/>
      <c r="W15" s="630"/>
      <c r="X15" s="1302"/>
      <c r="Y15" s="3705"/>
      <c r="Z15" s="1303"/>
      <c r="AA15" s="1304">
        <v>1</v>
      </c>
      <c r="AB15" s="1304">
        <v>1</v>
      </c>
      <c r="AC15" s="1304">
        <v>1</v>
      </c>
    </row>
    <row r="16" spans="1:29" ht="56">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705"/>
      <c r="Q16" s="1301" t="str">
        <f>B16</f>
        <v>公共配套设施</v>
      </c>
      <c r="R16" s="629" t="s">
        <v>25</v>
      </c>
      <c r="S16" s="630">
        <f>F16</f>
        <v>100</v>
      </c>
      <c r="T16" s="629" t="s">
        <v>25</v>
      </c>
      <c r="U16" s="630">
        <f>H16</f>
        <v>100</v>
      </c>
      <c r="V16" s="629" t="s">
        <v>25</v>
      </c>
      <c r="W16" s="630">
        <f>J16</f>
        <v>100</v>
      </c>
      <c r="X16" s="1302"/>
      <c r="Y16" s="3705"/>
      <c r="Z16" s="1303" t="str">
        <f>Q16</f>
        <v>公共配套设施</v>
      </c>
      <c r="AA16" s="1304">
        <f t="shared" si="3"/>
        <v>1</v>
      </c>
      <c r="AB16" s="1304">
        <f t="shared" si="4"/>
        <v>1</v>
      </c>
      <c r="AC16" s="1304">
        <f t="shared" si="5"/>
        <v>1</v>
      </c>
    </row>
    <row r="17" spans="1:29" ht="15.5">
      <c r="A17" s="318"/>
      <c r="B17" s="514"/>
      <c r="C17" s="346"/>
      <c r="D17" s="336"/>
      <c r="E17" s="335"/>
      <c r="F17" s="338"/>
      <c r="G17" s="335"/>
      <c r="H17" s="336"/>
      <c r="I17" s="335"/>
      <c r="J17" s="336"/>
      <c r="K17" s="501"/>
      <c r="L17" s="2995"/>
      <c r="M17" s="2986"/>
      <c r="N17" s="2986"/>
      <c r="O17" s="2994"/>
      <c r="P17" s="3705"/>
      <c r="Q17" s="1301"/>
      <c r="R17" s="629"/>
      <c r="S17" s="630"/>
      <c r="T17" s="629"/>
      <c r="U17" s="630"/>
      <c r="V17" s="629"/>
      <c r="W17" s="630"/>
      <c r="X17" s="1302"/>
      <c r="Y17" s="3705"/>
      <c r="Z17" s="1303"/>
      <c r="AA17" s="1304">
        <v>1</v>
      </c>
      <c r="AB17" s="1304">
        <v>1</v>
      </c>
      <c r="AC17" s="1304">
        <v>1</v>
      </c>
    </row>
    <row r="18" spans="1:29" ht="42">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705"/>
      <c r="Q18" s="1301" t="str">
        <f>B18</f>
        <v>基础设施水平</v>
      </c>
      <c r="R18" s="629" t="s">
        <v>25</v>
      </c>
      <c r="S18" s="630">
        <f>F18</f>
        <v>100</v>
      </c>
      <c r="T18" s="629" t="s">
        <v>25</v>
      </c>
      <c r="U18" s="630">
        <f>H18</f>
        <v>100</v>
      </c>
      <c r="V18" s="629" t="s">
        <v>25</v>
      </c>
      <c r="W18" s="630">
        <f>J18</f>
        <v>100</v>
      </c>
      <c r="X18" s="1302"/>
      <c r="Y18" s="3705"/>
      <c r="Z18" s="1303" t="str">
        <f>Q18</f>
        <v>基础设施水平</v>
      </c>
      <c r="AA18" s="1304">
        <f t="shared" ref="AA18" si="8">D18/F18</f>
        <v>1</v>
      </c>
      <c r="AB18" s="1304">
        <f t="shared" ref="AB18" si="9">D18/H18</f>
        <v>1</v>
      </c>
      <c r="AC18" s="1304">
        <f t="shared" ref="AC18" si="10">D18/J18</f>
        <v>1</v>
      </c>
    </row>
    <row r="19" spans="1:29" ht="15.5">
      <c r="A19" s="318"/>
      <c r="B19" s="515"/>
      <c r="C19" s="346"/>
      <c r="D19" s="336"/>
      <c r="E19" s="346"/>
      <c r="F19" s="342"/>
      <c r="G19" s="346"/>
      <c r="H19" s="336"/>
      <c r="I19" s="335"/>
      <c r="J19" s="336"/>
      <c r="K19" s="1100"/>
      <c r="L19" s="2995"/>
      <c r="M19" s="2986"/>
      <c r="N19" s="2986"/>
      <c r="O19" s="2994"/>
      <c r="P19" s="3705"/>
      <c r="Q19" s="1301"/>
      <c r="R19" s="629"/>
      <c r="S19" s="630"/>
      <c r="T19" s="629"/>
      <c r="U19" s="630"/>
      <c r="V19" s="629"/>
      <c r="W19" s="630"/>
      <c r="X19" s="1302"/>
      <c r="Y19" s="3705"/>
      <c r="Z19" s="1303"/>
      <c r="AA19" s="1304">
        <v>1</v>
      </c>
      <c r="AB19" s="1304">
        <v>1</v>
      </c>
      <c r="AC19" s="1304">
        <v>1</v>
      </c>
    </row>
    <row r="20" spans="1:29" ht="84">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705"/>
      <c r="Q20" s="1301" t="str">
        <f>B20</f>
        <v>自然及人文环境</v>
      </c>
      <c r="R20" s="629" t="s">
        <v>25</v>
      </c>
      <c r="S20" s="630">
        <f>F20</f>
        <v>100</v>
      </c>
      <c r="T20" s="629" t="s">
        <v>25</v>
      </c>
      <c r="U20" s="630">
        <f>H20</f>
        <v>100</v>
      </c>
      <c r="V20" s="629" t="s">
        <v>25</v>
      </c>
      <c r="W20" s="630">
        <f>J20</f>
        <v>100</v>
      </c>
      <c r="X20" s="1302"/>
      <c r="Y20" s="3705"/>
      <c r="Z20" s="1303" t="str">
        <f>Q20</f>
        <v>自然及人文环境</v>
      </c>
      <c r="AA20" s="1304">
        <f t="shared" si="3"/>
        <v>1</v>
      </c>
      <c r="AB20" s="1304">
        <f t="shared" si="4"/>
        <v>1</v>
      </c>
      <c r="AC20" s="1304">
        <f t="shared" si="5"/>
        <v>1</v>
      </c>
    </row>
    <row r="21" spans="1:29" ht="15.5">
      <c r="A21" s="318"/>
      <c r="B21" s="345"/>
      <c r="C21" s="335"/>
      <c r="D21" s="336"/>
      <c r="E21" s="335"/>
      <c r="F21" s="338"/>
      <c r="G21" s="335"/>
      <c r="H21" s="336"/>
      <c r="I21" s="335"/>
      <c r="J21" s="336"/>
      <c r="K21" s="501"/>
      <c r="L21" s="2995"/>
      <c r="M21" s="2986"/>
      <c r="N21" s="2986"/>
      <c r="O21" s="2994"/>
      <c r="P21" s="3705"/>
      <c r="Q21" s="1301"/>
      <c r="R21" s="629"/>
      <c r="S21" s="630"/>
      <c r="T21" s="629"/>
      <c r="U21" s="630"/>
      <c r="V21" s="629"/>
      <c r="W21" s="630"/>
      <c r="X21" s="1302"/>
      <c r="Y21" s="3705"/>
      <c r="Z21" s="1303"/>
      <c r="AA21" s="1304">
        <v>1</v>
      </c>
      <c r="AB21" s="1304">
        <v>1</v>
      </c>
      <c r="AC21" s="1304">
        <v>1</v>
      </c>
    </row>
    <row r="22" spans="1:29" ht="15.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705"/>
      <c r="Q22" s="1301" t="str">
        <f>B22</f>
        <v>楼层</v>
      </c>
      <c r="R22" s="629" t="s">
        <v>25</v>
      </c>
      <c r="S22" s="630">
        <f>F22</f>
        <v>100</v>
      </c>
      <c r="T22" s="629" t="s">
        <v>25</v>
      </c>
      <c r="U22" s="630">
        <f>H22</f>
        <v>100</v>
      </c>
      <c r="V22" s="629" t="s">
        <v>25</v>
      </c>
      <c r="W22" s="630">
        <f>J22</f>
        <v>100</v>
      </c>
      <c r="X22" s="1302"/>
      <c r="Y22" s="3705"/>
      <c r="Z22" s="1303" t="str">
        <f>Q22</f>
        <v>楼层</v>
      </c>
      <c r="AA22" s="1304">
        <f t="shared" si="3"/>
        <v>1</v>
      </c>
      <c r="AB22" s="1304">
        <f t="shared" si="4"/>
        <v>1</v>
      </c>
      <c r="AC22" s="1304">
        <f t="shared" si="5"/>
        <v>1</v>
      </c>
    </row>
    <row r="23" spans="1:29" ht="15.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705"/>
      <c r="Q23" s="1301">
        <f>B23</f>
        <v>111</v>
      </c>
      <c r="R23" s="629" t="s">
        <v>25</v>
      </c>
      <c r="S23" s="630">
        <f>F23</f>
        <v>100</v>
      </c>
      <c r="T23" s="629" t="s">
        <v>25</v>
      </c>
      <c r="U23" s="630">
        <f>H23</f>
        <v>100</v>
      </c>
      <c r="V23" s="629" t="s">
        <v>25</v>
      </c>
      <c r="W23" s="630">
        <f>J23</f>
        <v>100</v>
      </c>
      <c r="X23" s="1302"/>
      <c r="Y23" s="3705"/>
      <c r="Z23" s="1303">
        <f>Q23</f>
        <v>111</v>
      </c>
      <c r="AA23" s="1304">
        <f t="shared" si="3"/>
        <v>1</v>
      </c>
      <c r="AB23" s="1304">
        <f t="shared" si="4"/>
        <v>1</v>
      </c>
      <c r="AC23" s="1304">
        <f t="shared" si="5"/>
        <v>1</v>
      </c>
    </row>
    <row r="24" spans="1:29" ht="15.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705"/>
      <c r="Q24" s="1301">
        <f t="shared" ref="Q24:Q34" si="11">B24</f>
        <v>111</v>
      </c>
      <c r="R24" s="629" t="s">
        <v>25</v>
      </c>
      <c r="S24" s="630">
        <f>F24</f>
        <v>100</v>
      </c>
      <c r="T24" s="629" t="s">
        <v>25</v>
      </c>
      <c r="U24" s="630">
        <f>H24</f>
        <v>100</v>
      </c>
      <c r="V24" s="629" t="s">
        <v>25</v>
      </c>
      <c r="W24" s="630">
        <f>J24</f>
        <v>100</v>
      </c>
      <c r="X24" s="1302"/>
      <c r="Y24" s="3705"/>
      <c r="Z24" s="1303">
        <f>Q24</f>
        <v>111</v>
      </c>
      <c r="AA24" s="1304">
        <f t="shared" si="3"/>
        <v>1</v>
      </c>
      <c r="AB24" s="1304">
        <f t="shared" si="4"/>
        <v>1</v>
      </c>
      <c r="AC24" s="1304">
        <f t="shared" si="5"/>
        <v>1</v>
      </c>
    </row>
    <row r="25" spans="1:29" s="25" customFormat="1" ht="1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705"/>
      <c r="Q25" s="1294">
        <f t="shared" si="11"/>
        <v>111</v>
      </c>
      <c r="R25" s="625" t="s">
        <v>25</v>
      </c>
      <c r="S25" s="626">
        <f>F25</f>
        <v>100</v>
      </c>
      <c r="T25" s="625" t="s">
        <v>25</v>
      </c>
      <c r="U25" s="626">
        <f>H25</f>
        <v>100</v>
      </c>
      <c r="V25" s="625" t="s">
        <v>25</v>
      </c>
      <c r="W25" s="626">
        <f>J25</f>
        <v>100</v>
      </c>
      <c r="X25" s="627"/>
      <c r="Y25" s="3705"/>
      <c r="Z25" s="19">
        <f>Q25</f>
        <v>111</v>
      </c>
      <c r="AA25" s="1304">
        <f>D25/F25</f>
        <v>1</v>
      </c>
      <c r="AB25" s="1304">
        <f>D25/H25</f>
        <v>1</v>
      </c>
      <c r="AC25" s="1304">
        <f>D25/J25</f>
        <v>1</v>
      </c>
    </row>
    <row r="26" spans="1:29" ht="29">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707"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08" t="s">
        <v>2215</v>
      </c>
      <c r="Z26" s="1303" t="str">
        <f t="shared" ref="Z26:Z34" si="15">Q26</f>
        <v>公共部分装修</v>
      </c>
      <c r="AA26" s="1304">
        <f t="shared" si="3"/>
        <v>1</v>
      </c>
      <c r="AB26" s="1304">
        <f t="shared" si="4"/>
        <v>1</v>
      </c>
      <c r="AC26" s="1304">
        <f t="shared" si="5"/>
        <v>1</v>
      </c>
    </row>
    <row r="27" spans="1:29" s="359" customFormat="1" ht="15.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708"/>
      <c r="Q27" s="631" t="str">
        <f t="shared" si="11"/>
        <v>成新率</v>
      </c>
      <c r="R27" s="632" t="s">
        <v>25</v>
      </c>
      <c r="S27" s="633" t="e">
        <f t="shared" si="12"/>
        <v>#N/A</v>
      </c>
      <c r="T27" s="632" t="s">
        <v>25</v>
      </c>
      <c r="U27" s="633" t="e">
        <f t="shared" si="13"/>
        <v>#N/A</v>
      </c>
      <c r="V27" s="632" t="s">
        <v>25</v>
      </c>
      <c r="W27" s="633" t="e">
        <f t="shared" si="14"/>
        <v>#N/A</v>
      </c>
      <c r="X27" s="634"/>
      <c r="Y27" s="3708"/>
      <c r="Z27" s="635" t="str">
        <f t="shared" si="15"/>
        <v>成新率</v>
      </c>
      <c r="AA27" s="1304" t="e">
        <f t="shared" si="3"/>
        <v>#N/A</v>
      </c>
      <c r="AB27" s="1304" t="e">
        <f t="shared" si="4"/>
        <v>#N/A</v>
      </c>
      <c r="AC27" s="1304" t="e">
        <f t="shared" si="5"/>
        <v>#N/A</v>
      </c>
    </row>
    <row r="28" spans="1:29" ht="15.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708"/>
      <c r="Q28" s="1301" t="str">
        <f t="shared" si="11"/>
        <v>物业等级</v>
      </c>
      <c r="R28" s="629" t="s">
        <v>25</v>
      </c>
      <c r="S28" s="630">
        <f t="shared" si="12"/>
        <v>100</v>
      </c>
      <c r="T28" s="629" t="s">
        <v>25</v>
      </c>
      <c r="U28" s="630">
        <f t="shared" si="13"/>
        <v>100</v>
      </c>
      <c r="V28" s="629" t="s">
        <v>25</v>
      </c>
      <c r="W28" s="630">
        <f t="shared" si="14"/>
        <v>100</v>
      </c>
      <c r="X28" s="1302"/>
      <c r="Y28" s="3708"/>
      <c r="Z28" s="1303" t="str">
        <f t="shared" si="15"/>
        <v>物业等级</v>
      </c>
      <c r="AA28" s="1304">
        <f t="shared" si="3"/>
        <v>1</v>
      </c>
      <c r="AB28" s="1304">
        <f t="shared" si="4"/>
        <v>1</v>
      </c>
      <c r="AC28" s="1304">
        <f t="shared" si="5"/>
        <v>1</v>
      </c>
    </row>
    <row r="29" spans="1:29" ht="15.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708"/>
      <c r="Q29" s="1301" t="str">
        <f t="shared" si="11"/>
        <v>有无电梯</v>
      </c>
      <c r="R29" s="629" t="s">
        <v>25</v>
      </c>
      <c r="S29" s="630">
        <f t="shared" si="12"/>
        <v>100</v>
      </c>
      <c r="T29" s="629" t="s">
        <v>25</v>
      </c>
      <c r="U29" s="630">
        <f t="shared" si="13"/>
        <v>100</v>
      </c>
      <c r="V29" s="629" t="s">
        <v>25</v>
      </c>
      <c r="W29" s="630">
        <f t="shared" si="14"/>
        <v>100</v>
      </c>
      <c r="X29" s="1302"/>
      <c r="Y29" s="3708"/>
      <c r="Z29" s="1303" t="str">
        <f t="shared" si="15"/>
        <v>有无电梯</v>
      </c>
      <c r="AA29" s="1304">
        <f t="shared" si="3"/>
        <v>1</v>
      </c>
      <c r="AB29" s="1304">
        <f t="shared" si="4"/>
        <v>1</v>
      </c>
      <c r="AC29" s="1304">
        <f t="shared" si="5"/>
        <v>1</v>
      </c>
    </row>
    <row r="30" spans="1:29" ht="15.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708"/>
      <c r="Q30" s="1301" t="str">
        <f t="shared" si="11"/>
        <v>建筑面积</v>
      </c>
      <c r="R30" s="629" t="s">
        <v>25</v>
      </c>
      <c r="S30" s="630" t="e">
        <f t="shared" si="12"/>
        <v>#N/A</v>
      </c>
      <c r="T30" s="629" t="s">
        <v>25</v>
      </c>
      <c r="U30" s="630" t="e">
        <f t="shared" si="13"/>
        <v>#N/A</v>
      </c>
      <c r="V30" s="629" t="s">
        <v>25</v>
      </c>
      <c r="W30" s="630" t="e">
        <f t="shared" si="14"/>
        <v>#N/A</v>
      </c>
      <c r="X30" s="1302"/>
      <c r="Y30" s="3708"/>
      <c r="Z30" s="1303" t="str">
        <f t="shared" si="15"/>
        <v>建筑面积</v>
      </c>
      <c r="AA30" s="1304" t="e">
        <f t="shared" si="3"/>
        <v>#N/A</v>
      </c>
      <c r="AB30" s="1304" t="e">
        <f t="shared" si="4"/>
        <v>#N/A</v>
      </c>
      <c r="AC30" s="1304" t="e">
        <f t="shared" si="5"/>
        <v>#N/A</v>
      </c>
    </row>
    <row r="31" spans="1:29" s="25" customFormat="1" ht="15.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708"/>
      <c r="Q31" s="1294" t="str">
        <f t="shared" si="11"/>
        <v>是否封闭</v>
      </c>
      <c r="R31" s="625" t="s">
        <v>25</v>
      </c>
      <c r="S31" s="626">
        <f t="shared" si="12"/>
        <v>100</v>
      </c>
      <c r="T31" s="625" t="s">
        <v>25</v>
      </c>
      <c r="U31" s="626">
        <f t="shared" si="13"/>
        <v>100</v>
      </c>
      <c r="V31" s="625" t="s">
        <v>25</v>
      </c>
      <c r="W31" s="626">
        <f t="shared" si="14"/>
        <v>100</v>
      </c>
      <c r="X31" s="627"/>
      <c r="Y31" s="3708"/>
      <c r="Z31" s="19" t="str">
        <f t="shared" si="15"/>
        <v>是否封闭</v>
      </c>
      <c r="AA31" s="628">
        <f t="shared" si="3"/>
        <v>1</v>
      </c>
      <c r="AB31" s="628">
        <f t="shared" si="4"/>
        <v>1</v>
      </c>
      <c r="AC31" s="628">
        <f t="shared" si="5"/>
        <v>1</v>
      </c>
    </row>
    <row r="32" spans="1:29" ht="15.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708" t="s">
        <v>2215</v>
      </c>
      <c r="Q32" s="1301">
        <f t="shared" si="11"/>
        <v>111</v>
      </c>
      <c r="R32" s="629" t="s">
        <v>25</v>
      </c>
      <c r="S32" s="630">
        <f t="shared" si="12"/>
        <v>100</v>
      </c>
      <c r="T32" s="629" t="s">
        <v>25</v>
      </c>
      <c r="U32" s="630">
        <f t="shared" si="13"/>
        <v>100</v>
      </c>
      <c r="V32" s="629" t="s">
        <v>25</v>
      </c>
      <c r="W32" s="630">
        <f t="shared" si="14"/>
        <v>100</v>
      </c>
      <c r="X32" s="1302"/>
      <c r="Y32" s="3708" t="s">
        <v>2215</v>
      </c>
      <c r="Z32" s="1303">
        <f t="shared" si="15"/>
        <v>111</v>
      </c>
      <c r="AA32" s="1304">
        <f t="shared" si="3"/>
        <v>1</v>
      </c>
      <c r="AB32" s="1304">
        <f t="shared" si="4"/>
        <v>1</v>
      </c>
      <c r="AC32" s="1304">
        <f t="shared" si="5"/>
        <v>1</v>
      </c>
    </row>
    <row r="33" spans="1:29" ht="15.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708"/>
      <c r="Q33" s="1301">
        <f t="shared" si="11"/>
        <v>111</v>
      </c>
      <c r="R33" s="629" t="s">
        <v>25</v>
      </c>
      <c r="S33" s="630">
        <f t="shared" si="12"/>
        <v>100</v>
      </c>
      <c r="T33" s="629" t="s">
        <v>25</v>
      </c>
      <c r="U33" s="630">
        <f t="shared" si="13"/>
        <v>100</v>
      </c>
      <c r="V33" s="629" t="s">
        <v>25</v>
      </c>
      <c r="W33" s="630">
        <f t="shared" si="14"/>
        <v>100</v>
      </c>
      <c r="X33" s="1302"/>
      <c r="Y33" s="3708"/>
      <c r="Z33" s="1303">
        <f t="shared" si="15"/>
        <v>111</v>
      </c>
      <c r="AA33" s="1304">
        <f t="shared" si="3"/>
        <v>1</v>
      </c>
      <c r="AB33" s="1304">
        <f t="shared" si="4"/>
        <v>1</v>
      </c>
      <c r="AC33" s="1304">
        <f t="shared" si="5"/>
        <v>1</v>
      </c>
    </row>
    <row r="34" spans="1:29" ht="1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708"/>
      <c r="Q34" s="1301">
        <f t="shared" si="11"/>
        <v>111</v>
      </c>
      <c r="R34" s="629" t="s">
        <v>25</v>
      </c>
      <c r="S34" s="630">
        <f t="shared" si="12"/>
        <v>100</v>
      </c>
      <c r="T34" s="629" t="s">
        <v>25</v>
      </c>
      <c r="U34" s="630">
        <f t="shared" si="13"/>
        <v>100</v>
      </c>
      <c r="V34" s="629" t="s">
        <v>25</v>
      </c>
      <c r="W34" s="630">
        <f t="shared" si="14"/>
        <v>100</v>
      </c>
      <c r="X34" s="1302"/>
      <c r="Y34" s="3708"/>
      <c r="Z34" s="1303">
        <f t="shared" si="15"/>
        <v>111</v>
      </c>
      <c r="AA34" s="1304">
        <f t="shared" si="3"/>
        <v>1</v>
      </c>
      <c r="AB34" s="1304">
        <f t="shared" si="4"/>
        <v>1</v>
      </c>
      <c r="AC34" s="1304">
        <f t="shared" si="5"/>
        <v>1</v>
      </c>
    </row>
    <row r="35" spans="1:29">
      <c r="A35" s="367" t="s">
        <v>2227</v>
      </c>
      <c r="B35" s="368"/>
      <c r="C35" s="1121" t="s">
        <v>1</v>
      </c>
      <c r="D35" s="1122"/>
      <c r="E35" s="1123"/>
      <c r="F35" s="1124"/>
      <c r="G35" s="1125"/>
      <c r="H35" s="1126"/>
      <c r="I35" s="1123"/>
      <c r="J35" s="1126"/>
      <c r="K35" s="638"/>
      <c r="L35" s="2997"/>
      <c r="N35" s="2986"/>
      <c r="P35" s="3676" t="str">
        <f>A35</f>
        <v>成交单价（元/平方米）</v>
      </c>
      <c r="Q35" s="3676"/>
      <c r="R35" s="3710">
        <f>E35</f>
        <v>0</v>
      </c>
      <c r="S35" s="3710"/>
      <c r="T35" s="3710">
        <f>G35</f>
        <v>0</v>
      </c>
      <c r="U35" s="3710"/>
      <c r="V35" s="3710">
        <f>I35</f>
        <v>0</v>
      </c>
      <c r="W35" s="3710"/>
      <c r="X35" s="616"/>
      <c r="Y35" s="636"/>
      <c r="Z35" s="616"/>
      <c r="AA35" s="616"/>
      <c r="AB35" s="616"/>
      <c r="AC35" s="616"/>
    </row>
    <row r="36" spans="1:29" ht="14.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6"/>
      <c r="Y36" s="616"/>
      <c r="Z36" s="616"/>
      <c r="AA36" s="616"/>
      <c r="AB36" s="616"/>
      <c r="AC36" s="616"/>
    </row>
    <row r="37" spans="1:29" ht="14.5" thickBot="1">
      <c r="A37" s="378" t="s">
        <v>2333</v>
      </c>
      <c r="B37" s="379"/>
      <c r="C37" s="1129" t="e">
        <f>R37</f>
        <v>#DIV/0!</v>
      </c>
      <c r="D37" s="1129"/>
      <c r="E37" s="1129"/>
      <c r="F37" s="1129"/>
      <c r="G37" s="1129"/>
      <c r="H37" s="1129"/>
      <c r="I37" s="1129"/>
      <c r="J37" s="1129"/>
      <c r="K37" s="639"/>
      <c r="L37" s="2997"/>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5" thickBot="1">
      <c r="A45" s="618" t="s">
        <v>2315</v>
      </c>
      <c r="B45" s="616"/>
      <c r="C45" s="619"/>
      <c r="D45" s="619"/>
      <c r="E45" s="619"/>
      <c r="F45" s="620"/>
      <c r="G45" s="620"/>
      <c r="H45" s="619"/>
      <c r="I45" s="619"/>
      <c r="J45" s="619"/>
      <c r="K45" s="621"/>
      <c r="L45" s="622"/>
      <c r="M45" s="619"/>
      <c r="N45" s="3003"/>
      <c r="O45" s="3003"/>
      <c r="P45" s="389"/>
      <c r="Q45" s="390"/>
    </row>
    <row r="46" spans="1:29" s="394" customFormat="1">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4.5" thickBot="1">
      <c r="A48" s="400" t="s">
        <v>2235</v>
      </c>
      <c r="B48" s="401"/>
      <c r="C48" s="402"/>
      <c r="D48" s="403"/>
      <c r="E48" s="403"/>
      <c r="F48" s="403"/>
      <c r="G48" s="403"/>
      <c r="H48" s="403"/>
      <c r="I48" s="403"/>
      <c r="J48" s="403"/>
      <c r="K48" s="403"/>
      <c r="L48" s="403"/>
      <c r="M48" s="404"/>
      <c r="N48" s="403"/>
      <c r="O48" s="405"/>
      <c r="P48" s="390"/>
      <c r="Q48" s="390"/>
    </row>
    <row r="49" spans="1:17" s="25" customFormat="1">
      <c r="A49" s="406" t="s">
        <v>2200</v>
      </c>
      <c r="B49" s="396"/>
      <c r="C49" s="407" t="s">
        <v>2201</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2238</v>
      </c>
      <c r="B51" s="413" t="s">
        <v>2204</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2366</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2213</v>
      </c>
      <c r="B77" s="413" t="s">
        <v>2266</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2370</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2377</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2379</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
  <cols>
    <col min="1" max="1" width="11.906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1633"/>
      <c r="Y4" s="3616" t="s">
        <v>2191</v>
      </c>
      <c r="Z4" s="3617"/>
      <c r="AA4" s="3603" t="s">
        <v>2187</v>
      </c>
      <c r="AB4" s="3604" t="s">
        <v>2188</v>
      </c>
      <c r="AC4" s="3603" t="s">
        <v>2189</v>
      </c>
    </row>
    <row r="5" spans="1:30">
      <c r="A5" s="1635"/>
      <c r="B5" s="1636"/>
      <c r="C5" s="3636" t="s">
        <v>2192</v>
      </c>
      <c r="D5" s="3600"/>
      <c r="E5" s="3637" t="s">
        <v>2193</v>
      </c>
      <c r="F5" s="3624"/>
      <c r="G5" s="3636" t="s">
        <v>2194</v>
      </c>
      <c r="H5" s="3600"/>
      <c r="I5" s="3636" t="s">
        <v>2195</v>
      </c>
      <c r="J5" s="3600"/>
      <c r="K5" s="1929"/>
      <c r="L5" s="2957"/>
      <c r="M5" s="2958"/>
      <c r="N5" s="2958"/>
      <c r="O5" s="2958"/>
      <c r="P5" s="3612"/>
      <c r="Q5" s="3613"/>
      <c r="R5" s="3618"/>
      <c r="S5" s="3619"/>
      <c r="T5" s="3618"/>
      <c r="U5" s="3619"/>
      <c r="V5" s="3622"/>
      <c r="W5" s="3622"/>
      <c r="X5" s="1633"/>
      <c r="Y5" s="3618"/>
      <c r="Z5" s="3619"/>
      <c r="AA5" s="3604"/>
      <c r="AB5" s="3604"/>
      <c r="AC5" s="3604"/>
    </row>
    <row r="6" spans="1:30"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1633"/>
      <c r="Y6" s="3620"/>
      <c r="Z6" s="3621"/>
      <c r="AA6" s="3605"/>
      <c r="AB6" s="3605"/>
      <c r="AC6" s="3605"/>
    </row>
    <row r="7" spans="1:30" s="1652" customFormat="1" ht="14.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601" t="s">
        <v>2199</v>
      </c>
      <c r="Q7" s="3625"/>
      <c r="R7" s="1648" t="s">
        <v>25</v>
      </c>
      <c r="S7" s="1649">
        <f t="shared" ref="S7:S15" si="0">F7</f>
        <v>0</v>
      </c>
      <c r="T7" s="1648" t="s">
        <v>25</v>
      </c>
      <c r="U7" s="1649">
        <f t="shared" ref="U7:U15" si="1">H7</f>
        <v>0</v>
      </c>
      <c r="V7" s="1648" t="s">
        <v>25</v>
      </c>
      <c r="W7" s="1649">
        <f t="shared" ref="W7:W15" si="2">J7</f>
        <v>0</v>
      </c>
      <c r="X7" s="1650"/>
      <c r="Y7" s="3601" t="s">
        <v>2199</v>
      </c>
      <c r="Z7" s="3602"/>
      <c r="AA7" s="1651" t="e">
        <f>D7/F7</f>
        <v>#DIV/0!</v>
      </c>
      <c r="AB7" s="1651" t="e">
        <f>D7/H7</f>
        <v>#DIV/0!</v>
      </c>
      <c r="AC7" s="1651" t="e">
        <f>D7/J7</f>
        <v>#DIV/0!</v>
      </c>
    </row>
    <row r="8" spans="1:30" s="1652" customFormat="1" ht="14.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601" t="s">
        <v>2202</v>
      </c>
      <c r="Q8" s="3602"/>
      <c r="R8" s="1648" t="s">
        <v>25</v>
      </c>
      <c r="S8" s="1649">
        <f t="shared" si="0"/>
        <v>0</v>
      </c>
      <c r="T8" s="1648" t="s">
        <v>25</v>
      </c>
      <c r="U8" s="1649">
        <f t="shared" si="1"/>
        <v>0</v>
      </c>
      <c r="V8" s="1648" t="s">
        <v>25</v>
      </c>
      <c r="W8" s="1649">
        <f t="shared" si="2"/>
        <v>0</v>
      </c>
      <c r="X8" s="1650"/>
      <c r="Y8" s="3601" t="s">
        <v>2202</v>
      </c>
      <c r="Z8" s="3602"/>
      <c r="AA8" s="1651" t="e">
        <f t="shared" ref="AA8:AA45" si="3">D8/F8</f>
        <v>#DIV/0!</v>
      </c>
      <c r="AB8" s="1651" t="e">
        <f t="shared" ref="AB8:AB45" si="4">D8/H8</f>
        <v>#DIV/0!</v>
      </c>
      <c r="AC8" s="1651" t="e">
        <f t="shared" ref="AC8:AC45" si="5">D8/J8</f>
        <v>#DIV/0!</v>
      </c>
    </row>
    <row r="9" spans="1:30" s="1652" customFormat="1">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98" t="s">
        <v>2205</v>
      </c>
      <c r="Q9" s="1602"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30" s="1668" customFormat="1" ht="28">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98"/>
      <c r="Q10" s="1602" t="str">
        <f t="shared" si="6"/>
        <v>土地使用年限（年）</v>
      </c>
      <c r="R10" s="1648" t="s">
        <v>25</v>
      </c>
      <c r="S10" s="1649">
        <f t="shared" si="0"/>
        <v>127</v>
      </c>
      <c r="T10" s="1648" t="s">
        <v>25</v>
      </c>
      <c r="U10" s="1649">
        <f t="shared" si="1"/>
        <v>127</v>
      </c>
      <c r="V10" s="1648" t="s">
        <v>25</v>
      </c>
      <c r="W10" s="1649">
        <f t="shared" si="2"/>
        <v>127</v>
      </c>
      <c r="X10" s="1650"/>
      <c r="Y10" s="3524"/>
      <c r="Z10" s="1660" t="str">
        <f t="shared" si="7"/>
        <v>土地使用年限（年）</v>
      </c>
      <c r="AA10" s="1651">
        <f t="shared" si="3"/>
        <v>0.78740157480314965</v>
      </c>
      <c r="AB10" s="1651">
        <f t="shared" si="4"/>
        <v>0.78740157480314965</v>
      </c>
      <c r="AC10" s="1651">
        <f t="shared" si="5"/>
        <v>0.78740157480314965</v>
      </c>
    </row>
    <row r="11" spans="1:30" ht="15.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98"/>
      <c r="Q11" s="1602" t="str">
        <f t="shared" si="6"/>
        <v>容积率</v>
      </c>
      <c r="R11" s="1648" t="s">
        <v>25</v>
      </c>
      <c r="S11" s="1649" t="e">
        <f t="shared" si="0"/>
        <v>#N/A</v>
      </c>
      <c r="T11" s="1648" t="s">
        <v>25</v>
      </c>
      <c r="U11" s="1649" t="e">
        <f t="shared" si="1"/>
        <v>#N/A</v>
      </c>
      <c r="V11" s="1648" t="s">
        <v>25</v>
      </c>
      <c r="W11" s="1649" t="e">
        <f t="shared" si="2"/>
        <v>#N/A</v>
      </c>
      <c r="X11" s="1650"/>
      <c r="Y11" s="3524"/>
      <c r="Z11" s="1660" t="str">
        <f t="shared" si="7"/>
        <v>容积率</v>
      </c>
      <c r="AA11" s="1651" t="e">
        <f t="shared" si="3"/>
        <v>#N/A</v>
      </c>
      <c r="AB11" s="1651" t="e">
        <f t="shared" si="4"/>
        <v>#N/A</v>
      </c>
      <c r="AC11" s="1651" t="e">
        <f t="shared" si="5"/>
        <v>#N/A</v>
      </c>
    </row>
    <row r="12" spans="1:30" s="1652" customFormat="1" ht="15.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98"/>
      <c r="Q12" s="1602" t="str">
        <f t="shared" si="6"/>
        <v>配建</v>
      </c>
      <c r="R12" s="1648" t="s">
        <v>25</v>
      </c>
      <c r="S12" s="1649">
        <f t="shared" si="0"/>
        <v>100</v>
      </c>
      <c r="T12" s="1648" t="s">
        <v>25</v>
      </c>
      <c r="U12" s="1649">
        <f t="shared" si="1"/>
        <v>100</v>
      </c>
      <c r="V12" s="1648" t="s">
        <v>25</v>
      </c>
      <c r="W12" s="1649">
        <f t="shared" si="2"/>
        <v>100</v>
      </c>
      <c r="X12" s="1650"/>
      <c r="Y12" s="3524"/>
      <c r="Z12" s="1660" t="str">
        <f t="shared" si="7"/>
        <v>配建</v>
      </c>
      <c r="AA12" s="1651">
        <f>D12/F12</f>
        <v>1</v>
      </c>
      <c r="AB12" s="1651">
        <f>D12/H12</f>
        <v>1</v>
      </c>
      <c r="AC12" s="1651">
        <f>D12/J12</f>
        <v>1</v>
      </c>
    </row>
    <row r="13" spans="1:30" ht="15.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98"/>
      <c r="Q13" s="1602">
        <f t="shared" si="6"/>
        <v>111</v>
      </c>
      <c r="R13" s="1648" t="s">
        <v>25</v>
      </c>
      <c r="S13" s="1649">
        <f t="shared" si="0"/>
        <v>100</v>
      </c>
      <c r="T13" s="1648" t="s">
        <v>25</v>
      </c>
      <c r="U13" s="1649">
        <f t="shared" si="1"/>
        <v>100</v>
      </c>
      <c r="V13" s="1648" t="s">
        <v>25</v>
      </c>
      <c r="W13" s="1649">
        <f t="shared" si="2"/>
        <v>100</v>
      </c>
      <c r="X13" s="1650"/>
      <c r="Y13" s="3524"/>
      <c r="Z13" s="1660">
        <f t="shared" si="7"/>
        <v>111</v>
      </c>
      <c r="AA13" s="1651">
        <f>D13/F13</f>
        <v>1</v>
      </c>
      <c r="AB13" s="1651">
        <f>D13/H13</f>
        <v>1</v>
      </c>
      <c r="AC13" s="1651">
        <f>D13/J13</f>
        <v>1</v>
      </c>
    </row>
    <row r="14" spans="1:30" ht="16"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98"/>
      <c r="Q14" s="1602">
        <f t="shared" si="6"/>
        <v>111</v>
      </c>
      <c r="R14" s="1648" t="s">
        <v>25</v>
      </c>
      <c r="S14" s="1649">
        <f t="shared" si="0"/>
        <v>100</v>
      </c>
      <c r="T14" s="1648" t="s">
        <v>25</v>
      </c>
      <c r="U14" s="1649">
        <f t="shared" si="1"/>
        <v>100</v>
      </c>
      <c r="V14" s="1648" t="s">
        <v>25</v>
      </c>
      <c r="W14" s="1649">
        <f t="shared" si="2"/>
        <v>100</v>
      </c>
      <c r="X14" s="1650"/>
      <c r="Y14" s="3524"/>
      <c r="Z14" s="1660">
        <f t="shared" si="7"/>
        <v>111</v>
      </c>
      <c r="AA14" s="1651">
        <f>D14/F14</f>
        <v>1</v>
      </c>
      <c r="AB14" s="1651">
        <f>D14/H14</f>
        <v>1</v>
      </c>
      <c r="AC14" s="1651">
        <f>D14/J14</f>
        <v>1</v>
      </c>
    </row>
    <row r="15" spans="1:30" ht="98">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626" t="s">
        <v>2210</v>
      </c>
      <c r="Q15" s="1583" t="str">
        <f t="shared" si="6"/>
        <v>居住社区成熟度</v>
      </c>
      <c r="R15" s="1692" t="s">
        <v>25</v>
      </c>
      <c r="S15" s="1693">
        <f t="shared" si="0"/>
        <v>100</v>
      </c>
      <c r="T15" s="1692" t="s">
        <v>25</v>
      </c>
      <c r="U15" s="1693">
        <f t="shared" si="1"/>
        <v>100</v>
      </c>
      <c r="V15" s="1692" t="s">
        <v>25</v>
      </c>
      <c r="W15" s="1693">
        <f t="shared" si="2"/>
        <v>100</v>
      </c>
      <c r="X15" s="1633"/>
      <c r="Y15" s="3626" t="s">
        <v>2210</v>
      </c>
      <c r="Z15" s="1694" t="str">
        <f t="shared" si="7"/>
        <v>居住社区成熟度</v>
      </c>
      <c r="AA15" s="1695">
        <f t="shared" si="3"/>
        <v>1</v>
      </c>
      <c r="AB15" s="1695">
        <f t="shared" si="4"/>
        <v>1</v>
      </c>
      <c r="AC15" s="1695">
        <f t="shared" si="5"/>
        <v>1</v>
      </c>
    </row>
    <row r="16" spans="1:30" ht="15.5">
      <c r="A16" s="1635"/>
      <c r="B16" s="1938"/>
      <c r="C16" s="1939"/>
      <c r="D16" s="1698"/>
      <c r="E16" s="1699"/>
      <c r="F16" s="1698"/>
      <c r="G16" s="1699"/>
      <c r="H16" s="1702"/>
      <c r="I16" s="1701"/>
      <c r="J16" s="1698"/>
      <c r="K16" s="1933"/>
      <c r="L16" s="2962"/>
      <c r="M16" s="2958"/>
      <c r="N16" s="2958"/>
      <c r="O16" s="3006"/>
      <c r="P16" s="3627"/>
      <c r="Q16" s="1583"/>
      <c r="R16" s="1692"/>
      <c r="S16" s="1693"/>
      <c r="T16" s="1692"/>
      <c r="U16" s="1693"/>
      <c r="V16" s="1692"/>
      <c r="W16" s="1693"/>
      <c r="X16" s="1633"/>
      <c r="Y16" s="3627"/>
      <c r="Z16" s="1694"/>
      <c r="AA16" s="1695">
        <v>1</v>
      </c>
      <c r="AB16" s="1695">
        <v>1</v>
      </c>
      <c r="AC16" s="1695">
        <v>1</v>
      </c>
    </row>
    <row r="17" spans="1:29" ht="84">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627"/>
      <c r="Q17" s="1583" t="str">
        <f>B17</f>
        <v>商业繁华度</v>
      </c>
      <c r="R17" s="1692" t="s">
        <v>25</v>
      </c>
      <c r="S17" s="1693">
        <f>F17</f>
        <v>100</v>
      </c>
      <c r="T17" s="1692" t="s">
        <v>25</v>
      </c>
      <c r="U17" s="1693">
        <f>H17</f>
        <v>100</v>
      </c>
      <c r="V17" s="1692" t="s">
        <v>25</v>
      </c>
      <c r="W17" s="1693">
        <f>J17</f>
        <v>100</v>
      </c>
      <c r="X17" s="1633"/>
      <c r="Y17" s="3627"/>
      <c r="Z17" s="1694" t="str">
        <f>Q17</f>
        <v>商业繁华度</v>
      </c>
      <c r="AA17" s="1695">
        <f t="shared" si="3"/>
        <v>1</v>
      </c>
      <c r="AB17" s="1695">
        <f t="shared" si="4"/>
        <v>1</v>
      </c>
      <c r="AC17" s="1695">
        <f t="shared" si="5"/>
        <v>1</v>
      </c>
    </row>
    <row r="18" spans="1:29" ht="15.5">
      <c r="A18" s="1635"/>
      <c r="B18" s="1942"/>
      <c r="C18" s="1943"/>
      <c r="D18" s="1702"/>
      <c r="E18" s="1712"/>
      <c r="F18" s="1702"/>
      <c r="G18" s="1712"/>
      <c r="H18" s="1698"/>
      <c r="I18" s="1713"/>
      <c r="J18" s="1698"/>
      <c r="K18" s="1933"/>
      <c r="L18" s="2962"/>
      <c r="M18" s="2958"/>
      <c r="N18" s="2958"/>
      <c r="O18" s="3006"/>
      <c r="P18" s="3627"/>
      <c r="Q18" s="1583"/>
      <c r="R18" s="1692"/>
      <c r="S18" s="1693"/>
      <c r="T18" s="1692"/>
      <c r="U18" s="1693"/>
      <c r="V18" s="1692"/>
      <c r="W18" s="1693"/>
      <c r="X18" s="1633"/>
      <c r="Y18" s="3627"/>
      <c r="Z18" s="1694"/>
      <c r="AA18" s="1695">
        <v>1</v>
      </c>
      <c r="AB18" s="1695">
        <v>1</v>
      </c>
      <c r="AC18" s="1695">
        <v>1</v>
      </c>
    </row>
    <row r="19" spans="1:29" ht="15.5">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627"/>
      <c r="Q19" s="1583" t="str">
        <f>B19</f>
        <v>办公集聚程度</v>
      </c>
      <c r="R19" s="1692" t="s">
        <v>25</v>
      </c>
      <c r="S19" s="1693">
        <f>F19</f>
        <v>100</v>
      </c>
      <c r="T19" s="1692" t="s">
        <v>25</v>
      </c>
      <c r="U19" s="1693">
        <f>H19</f>
        <v>100</v>
      </c>
      <c r="V19" s="1692" t="s">
        <v>25</v>
      </c>
      <c r="W19" s="1693">
        <f>J19</f>
        <v>100</v>
      </c>
      <c r="X19" s="1633"/>
      <c r="Y19" s="3627"/>
      <c r="Z19" s="1694" t="str">
        <f>Q19</f>
        <v>办公集聚程度</v>
      </c>
      <c r="AA19" s="1695">
        <f t="shared" si="3"/>
        <v>1</v>
      </c>
      <c r="AB19" s="1695">
        <f t="shared" si="4"/>
        <v>1</v>
      </c>
      <c r="AC19" s="1695">
        <f t="shared" si="5"/>
        <v>1</v>
      </c>
    </row>
    <row r="20" spans="1:29" ht="15.5">
      <c r="A20" s="1635"/>
      <c r="B20" s="1942"/>
      <c r="C20" s="1939"/>
      <c r="D20" s="1698"/>
      <c r="E20" s="1699"/>
      <c r="F20" s="1698"/>
      <c r="G20" s="1699"/>
      <c r="H20" s="1698"/>
      <c r="I20" s="1701"/>
      <c r="J20" s="1698"/>
      <c r="K20" s="1933"/>
      <c r="L20" s="2962"/>
      <c r="M20" s="2958"/>
      <c r="N20" s="2958"/>
      <c r="O20" s="3006"/>
      <c r="P20" s="3627"/>
      <c r="Q20" s="1583"/>
      <c r="R20" s="1692"/>
      <c r="S20" s="1693"/>
      <c r="T20" s="1692"/>
      <c r="U20" s="1693"/>
      <c r="V20" s="1692"/>
      <c r="W20" s="1693"/>
      <c r="X20" s="1633"/>
      <c r="Y20" s="3627"/>
      <c r="Z20" s="1694"/>
      <c r="AA20" s="1695">
        <v>1</v>
      </c>
      <c r="AB20" s="1695">
        <v>1</v>
      </c>
      <c r="AC20" s="1695">
        <v>1</v>
      </c>
    </row>
    <row r="21" spans="1:29" ht="126">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627"/>
      <c r="Q21" s="1583" t="str">
        <f>B21</f>
        <v>交通便捷度</v>
      </c>
      <c r="R21" s="1692" t="s">
        <v>25</v>
      </c>
      <c r="S21" s="1693">
        <f>F21</f>
        <v>100</v>
      </c>
      <c r="T21" s="1692" t="s">
        <v>25</v>
      </c>
      <c r="U21" s="1693">
        <f>H21</f>
        <v>100</v>
      </c>
      <c r="V21" s="1692" t="s">
        <v>25</v>
      </c>
      <c r="W21" s="1693">
        <f>J21</f>
        <v>100</v>
      </c>
      <c r="X21" s="1633"/>
      <c r="Y21" s="3627"/>
      <c r="Z21" s="1694" t="str">
        <f>Q21</f>
        <v>交通便捷度</v>
      </c>
      <c r="AA21" s="1695">
        <f t="shared" si="3"/>
        <v>1</v>
      </c>
      <c r="AB21" s="1695">
        <f t="shared" si="4"/>
        <v>1</v>
      </c>
      <c r="AC21" s="1695">
        <f t="shared" si="5"/>
        <v>1</v>
      </c>
    </row>
    <row r="22" spans="1:29" ht="15.5">
      <c r="A22" s="1635"/>
      <c r="B22" s="1945"/>
      <c r="C22" s="1939"/>
      <c r="D22" s="1702"/>
      <c r="E22" s="1699"/>
      <c r="F22" s="1698"/>
      <c r="G22" s="1699"/>
      <c r="H22" s="1698"/>
      <c r="I22" s="1701"/>
      <c r="J22" s="1698"/>
      <c r="K22" s="1933"/>
      <c r="L22" s="2962"/>
      <c r="M22" s="2958"/>
      <c r="N22" s="2958"/>
      <c r="O22" s="3006"/>
      <c r="P22" s="3627"/>
      <c r="Q22" s="1583"/>
      <c r="R22" s="1692"/>
      <c r="S22" s="1693"/>
      <c r="T22" s="1692"/>
      <c r="U22" s="1693"/>
      <c r="V22" s="1692"/>
      <c r="W22" s="1693"/>
      <c r="X22" s="1633"/>
      <c r="Y22" s="3627"/>
      <c r="Z22" s="1694"/>
      <c r="AA22" s="1695">
        <v>1</v>
      </c>
      <c r="AB22" s="1695">
        <v>1</v>
      </c>
      <c r="AC22" s="1695">
        <v>1</v>
      </c>
    </row>
    <row r="23" spans="1:29" ht="28">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627"/>
      <c r="Q23" s="1583" t="str">
        <f t="shared" ref="Q23:Q37" si="8">B23</f>
        <v>区域土地利用方向</v>
      </c>
      <c r="R23" s="1692" t="s">
        <v>25</v>
      </c>
      <c r="S23" s="1693">
        <f>F23</f>
        <v>100</v>
      </c>
      <c r="T23" s="1692" t="s">
        <v>25</v>
      </c>
      <c r="U23" s="1693">
        <f>H23</f>
        <v>100</v>
      </c>
      <c r="V23" s="1692" t="s">
        <v>25</v>
      </c>
      <c r="W23" s="1693">
        <f>J23</f>
        <v>100</v>
      </c>
      <c r="X23" s="1633"/>
      <c r="Y23" s="3627"/>
      <c r="Z23" s="1694" t="str">
        <f>Q23</f>
        <v>区域土地利用方向</v>
      </c>
      <c r="AA23" s="1695">
        <f t="shared" si="3"/>
        <v>1</v>
      </c>
      <c r="AB23" s="1695">
        <f t="shared" si="4"/>
        <v>1</v>
      </c>
      <c r="AC23" s="1695">
        <f t="shared" si="5"/>
        <v>1</v>
      </c>
    </row>
    <row r="24" spans="1:29" ht="15.5">
      <c r="A24" s="1635"/>
      <c r="B24" s="1426"/>
      <c r="C24" s="1947"/>
      <c r="D24" s="1698"/>
      <c r="E24" s="1699"/>
      <c r="F24" s="1698"/>
      <c r="G24" s="1701"/>
      <c r="H24" s="1698"/>
      <c r="I24" s="1701"/>
      <c r="J24" s="1698"/>
      <c r="K24" s="1948"/>
      <c r="L24" s="2962"/>
      <c r="M24" s="2958"/>
      <c r="N24" s="2958"/>
      <c r="O24" s="3006"/>
      <c r="P24" s="3627"/>
      <c r="Q24" s="1583"/>
      <c r="R24" s="1692"/>
      <c r="S24" s="1693"/>
      <c r="T24" s="1692"/>
      <c r="U24" s="1693"/>
      <c r="V24" s="1692"/>
      <c r="W24" s="1693"/>
      <c r="X24" s="1633"/>
      <c r="Y24" s="3627"/>
      <c r="Z24" s="1694"/>
      <c r="AA24" s="1695"/>
      <c r="AB24" s="1695"/>
      <c r="AC24" s="1695"/>
    </row>
    <row r="25" spans="1:29" ht="84">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627"/>
      <c r="Q25" s="1583" t="str">
        <f t="shared" si="8"/>
        <v>自然及人文环境状况</v>
      </c>
      <c r="R25" s="1692" t="s">
        <v>25</v>
      </c>
      <c r="S25" s="1693">
        <f>F25</f>
        <v>100</v>
      </c>
      <c r="T25" s="1692" t="s">
        <v>25</v>
      </c>
      <c r="U25" s="1693">
        <f>H25</f>
        <v>100</v>
      </c>
      <c r="V25" s="1692" t="s">
        <v>25</v>
      </c>
      <c r="W25" s="1693">
        <f>J25</f>
        <v>100</v>
      </c>
      <c r="X25" s="1633"/>
      <c r="Y25" s="3627"/>
      <c r="Z25" s="1694" t="str">
        <f>Q25</f>
        <v>自然及人文环境状况</v>
      </c>
      <c r="AA25" s="1695">
        <f t="shared" si="3"/>
        <v>1</v>
      </c>
      <c r="AB25" s="1695">
        <f t="shared" si="4"/>
        <v>1</v>
      </c>
      <c r="AC25" s="1695">
        <f t="shared" si="5"/>
        <v>1</v>
      </c>
    </row>
    <row r="26" spans="1:29" ht="15.5">
      <c r="A26" s="1635"/>
      <c r="B26" s="1942"/>
      <c r="C26" s="1939"/>
      <c r="D26" s="1698"/>
      <c r="E26" s="1939"/>
      <c r="F26" s="1698"/>
      <c r="G26" s="1939"/>
      <c r="H26" s="1698"/>
      <c r="I26" s="1697"/>
      <c r="J26" s="1698"/>
      <c r="K26" s="1933"/>
      <c r="L26" s="2962"/>
      <c r="M26" s="2958"/>
      <c r="N26" s="2958"/>
      <c r="O26" s="3006"/>
      <c r="P26" s="3627"/>
      <c r="Q26" s="1583"/>
      <c r="R26" s="1692"/>
      <c r="S26" s="1693"/>
      <c r="T26" s="1692"/>
      <c r="U26" s="1693"/>
      <c r="V26" s="1692"/>
      <c r="W26" s="1693"/>
      <c r="X26" s="1633"/>
      <c r="Y26" s="3627"/>
      <c r="Z26" s="1694"/>
      <c r="AA26" s="1695">
        <v>1</v>
      </c>
      <c r="AB26" s="1695">
        <v>1</v>
      </c>
      <c r="AC26" s="1695">
        <v>1</v>
      </c>
    </row>
    <row r="27" spans="1:29" ht="56">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627"/>
      <c r="Q27" s="1602" t="str">
        <f t="shared" ref="Q27" si="9">B27</f>
        <v>公共配套设施</v>
      </c>
      <c r="R27" s="1648" t="s">
        <v>25</v>
      </c>
      <c r="S27" s="1649">
        <f>F27</f>
        <v>100</v>
      </c>
      <c r="T27" s="1648" t="s">
        <v>25</v>
      </c>
      <c r="U27" s="1649">
        <f>H27</f>
        <v>100</v>
      </c>
      <c r="V27" s="1648" t="s">
        <v>25</v>
      </c>
      <c r="W27" s="1649">
        <f>J27</f>
        <v>100</v>
      </c>
      <c r="X27" s="1633"/>
      <c r="Y27" s="3627"/>
      <c r="Z27" s="1660" t="str">
        <f>Q27</f>
        <v>公共配套设施</v>
      </c>
      <c r="AA27" s="1695">
        <f>D27/F27</f>
        <v>1</v>
      </c>
      <c r="AB27" s="1695">
        <f>D27/H27</f>
        <v>1</v>
      </c>
      <c r="AC27" s="1695">
        <f>D27/J27</f>
        <v>1</v>
      </c>
    </row>
    <row r="28" spans="1:29" ht="15.5">
      <c r="A28" s="1635"/>
      <c r="B28" s="1942"/>
      <c r="C28" s="1950"/>
      <c r="D28" s="1698"/>
      <c r="E28" s="1950"/>
      <c r="F28" s="1698"/>
      <c r="G28" s="1950"/>
      <c r="H28" s="1698"/>
      <c r="I28" s="1950"/>
      <c r="J28" s="1698"/>
      <c r="K28" s="1933"/>
      <c r="L28" s="2962"/>
      <c r="M28" s="2958"/>
      <c r="N28" s="2958"/>
      <c r="O28" s="3006"/>
      <c r="P28" s="3627"/>
      <c r="Q28" s="1583"/>
      <c r="R28" s="1692"/>
      <c r="S28" s="1693"/>
      <c r="T28" s="1692"/>
      <c r="U28" s="1693"/>
      <c r="V28" s="1692"/>
      <c r="W28" s="1693"/>
      <c r="X28" s="1633"/>
      <c r="Y28" s="3627"/>
      <c r="Z28" s="1660"/>
      <c r="AA28" s="1695">
        <v>1</v>
      </c>
      <c r="AB28" s="1695">
        <v>1</v>
      </c>
      <c r="AC28" s="1695">
        <v>1</v>
      </c>
    </row>
    <row r="29" spans="1:29" s="1652" customFormat="1" ht="42">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627"/>
      <c r="Q29" s="1602" t="str">
        <f t="shared" si="8"/>
        <v>基础设施水平</v>
      </c>
      <c r="R29" s="1648" t="s">
        <v>25</v>
      </c>
      <c r="S29" s="1649">
        <f>F29</f>
        <v>100</v>
      </c>
      <c r="T29" s="1648" t="s">
        <v>25</v>
      </c>
      <c r="U29" s="1649">
        <f>H29</f>
        <v>100</v>
      </c>
      <c r="V29" s="1648" t="s">
        <v>25</v>
      </c>
      <c r="W29" s="1649">
        <f>J29</f>
        <v>100</v>
      </c>
      <c r="X29" s="1650"/>
      <c r="Y29" s="3627"/>
      <c r="Z29" s="1660" t="str">
        <f>Q29</f>
        <v>基础设施水平</v>
      </c>
      <c r="AA29" s="1695">
        <f>D29/F29</f>
        <v>1</v>
      </c>
      <c r="AB29" s="1695">
        <f>D29/H29</f>
        <v>1</v>
      </c>
      <c r="AC29" s="1695">
        <f>D29/J29</f>
        <v>1</v>
      </c>
    </row>
    <row r="30" spans="1:29" s="1652" customFormat="1" ht="15.5">
      <c r="A30" s="1951"/>
      <c r="B30" s="1942"/>
      <c r="C30" s="1950"/>
      <c r="D30" s="1698"/>
      <c r="E30" s="1950"/>
      <c r="F30" s="1698"/>
      <c r="G30" s="1950"/>
      <c r="H30" s="1698"/>
      <c r="I30" s="1950"/>
      <c r="J30" s="1698"/>
      <c r="K30" s="1933"/>
      <c r="L30" s="2957"/>
      <c r="M30" s="2930"/>
      <c r="N30" s="2930"/>
      <c r="O30" s="3004"/>
      <c r="P30" s="3627"/>
      <c r="Q30" s="1602"/>
      <c r="R30" s="1648"/>
      <c r="S30" s="1649"/>
      <c r="T30" s="1648"/>
      <c r="U30" s="1649"/>
      <c r="V30" s="1648"/>
      <c r="W30" s="1649"/>
      <c r="X30" s="1650"/>
      <c r="Y30" s="3627"/>
      <c r="Z30" s="1660"/>
      <c r="AA30" s="1695">
        <v>1</v>
      </c>
      <c r="AB30" s="1695">
        <v>1</v>
      </c>
      <c r="AC30" s="1695">
        <v>1</v>
      </c>
    </row>
    <row r="31" spans="1:29" ht="15.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627"/>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627"/>
      <c r="Z31" s="1694" t="str">
        <f t="shared" ref="Z31:Z45" si="13">Q31</f>
        <v>临街状况</v>
      </c>
      <c r="AA31" s="1695">
        <f t="shared" si="3"/>
        <v>1</v>
      </c>
      <c r="AB31" s="1695">
        <f t="shared" si="4"/>
        <v>1</v>
      </c>
      <c r="AC31" s="1695">
        <f t="shared" si="5"/>
        <v>1</v>
      </c>
    </row>
    <row r="32" spans="1:29" ht="28">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627"/>
      <c r="Q32" s="1583" t="str">
        <f t="shared" si="8"/>
        <v>毗邻道路的类型与等级</v>
      </c>
      <c r="R32" s="1692" t="s">
        <v>25</v>
      </c>
      <c r="S32" s="1693">
        <f t="shared" si="10"/>
        <v>100</v>
      </c>
      <c r="T32" s="1692" t="s">
        <v>25</v>
      </c>
      <c r="U32" s="1693">
        <f t="shared" si="11"/>
        <v>100</v>
      </c>
      <c r="V32" s="1692" t="s">
        <v>25</v>
      </c>
      <c r="W32" s="1693">
        <f t="shared" si="12"/>
        <v>100</v>
      </c>
      <c r="X32" s="1633"/>
      <c r="Y32" s="3627"/>
      <c r="Z32" s="1694" t="str">
        <f t="shared" si="13"/>
        <v>毗邻道路的类型与等级</v>
      </c>
      <c r="AA32" s="1695">
        <f t="shared" si="3"/>
        <v>1</v>
      </c>
      <c r="AB32" s="1695">
        <f t="shared" si="4"/>
        <v>1</v>
      </c>
      <c r="AC32" s="1695">
        <f t="shared" si="5"/>
        <v>1</v>
      </c>
    </row>
    <row r="33" spans="1:29" ht="15.5">
      <c r="A33" s="1635"/>
      <c r="B33" s="1942"/>
      <c r="C33" s="1939"/>
      <c r="D33" s="1698"/>
      <c r="E33" s="1939"/>
      <c r="F33" s="1698"/>
      <c r="G33" s="1939"/>
      <c r="H33" s="1698"/>
      <c r="I33" s="1697"/>
      <c r="J33" s="1698"/>
      <c r="K33" s="1953"/>
      <c r="L33" s="2962"/>
      <c r="M33" s="2958"/>
      <c r="N33" s="2958"/>
      <c r="O33" s="3006"/>
      <c r="P33" s="3627"/>
      <c r="Q33" s="1583"/>
      <c r="R33" s="1692"/>
      <c r="S33" s="1693"/>
      <c r="T33" s="1692"/>
      <c r="U33" s="1693"/>
      <c r="V33" s="1692"/>
      <c r="W33" s="1693"/>
      <c r="X33" s="1633"/>
      <c r="Y33" s="3627"/>
      <c r="Z33" s="1694"/>
      <c r="AA33" s="1695">
        <v>1</v>
      </c>
      <c r="AB33" s="1695">
        <v>1</v>
      </c>
      <c r="AC33" s="1695">
        <v>1</v>
      </c>
    </row>
    <row r="34" spans="1:29" ht="15.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627"/>
      <c r="Q34" s="1583" t="str">
        <f t="shared" si="8"/>
        <v>土地级别</v>
      </c>
      <c r="R34" s="1692" t="s">
        <v>25</v>
      </c>
      <c r="S34" s="1693">
        <f t="shared" si="10"/>
        <v>100</v>
      </c>
      <c r="T34" s="1692" t="s">
        <v>25</v>
      </c>
      <c r="U34" s="1693">
        <f t="shared" si="11"/>
        <v>100</v>
      </c>
      <c r="V34" s="1692" t="s">
        <v>25</v>
      </c>
      <c r="W34" s="1693">
        <f t="shared" si="12"/>
        <v>100</v>
      </c>
      <c r="X34" s="1633"/>
      <c r="Y34" s="3627"/>
      <c r="Z34" s="1694" t="str">
        <f t="shared" si="13"/>
        <v>土地级别</v>
      </c>
      <c r="AA34" s="1695">
        <f t="shared" si="3"/>
        <v>1</v>
      </c>
      <c r="AB34" s="1695">
        <f t="shared" si="4"/>
        <v>1</v>
      </c>
      <c r="AC34" s="1695">
        <f t="shared" si="5"/>
        <v>1</v>
      </c>
    </row>
    <row r="35" spans="1:29" ht="15.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627"/>
      <c r="Q35" s="1583">
        <f t="shared" si="8"/>
        <v>111</v>
      </c>
      <c r="R35" s="1692" t="s">
        <v>25</v>
      </c>
      <c r="S35" s="1693">
        <f t="shared" si="10"/>
        <v>100</v>
      </c>
      <c r="T35" s="1692" t="s">
        <v>25</v>
      </c>
      <c r="U35" s="1693">
        <f t="shared" si="11"/>
        <v>100</v>
      </c>
      <c r="V35" s="1692" t="s">
        <v>25</v>
      </c>
      <c r="W35" s="1693">
        <f t="shared" si="12"/>
        <v>100</v>
      </c>
      <c r="X35" s="1633"/>
      <c r="Y35" s="3627"/>
      <c r="Z35" s="1694">
        <f t="shared" si="13"/>
        <v>111</v>
      </c>
      <c r="AA35" s="1695">
        <f t="shared" si="3"/>
        <v>1</v>
      </c>
      <c r="AB35" s="1695">
        <f t="shared" si="4"/>
        <v>1</v>
      </c>
      <c r="AC35" s="1695">
        <f t="shared" si="5"/>
        <v>1</v>
      </c>
    </row>
    <row r="36" spans="1:29" ht="15.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628" t="s">
        <v>2215</v>
      </c>
      <c r="Q36" s="1583">
        <f t="shared" si="8"/>
        <v>111</v>
      </c>
      <c r="R36" s="1692" t="s">
        <v>25</v>
      </c>
      <c r="S36" s="1693">
        <f t="shared" si="10"/>
        <v>100</v>
      </c>
      <c r="T36" s="1692" t="s">
        <v>25</v>
      </c>
      <c r="U36" s="1693">
        <f t="shared" si="11"/>
        <v>100</v>
      </c>
      <c r="V36" s="1692" t="s">
        <v>25</v>
      </c>
      <c r="W36" s="1693">
        <f t="shared" si="12"/>
        <v>100</v>
      </c>
      <c r="X36" s="1633"/>
      <c r="Y36" s="3629" t="s">
        <v>2215</v>
      </c>
      <c r="Z36" s="1694">
        <f t="shared" si="13"/>
        <v>111</v>
      </c>
      <c r="AA36" s="1695">
        <f t="shared" si="3"/>
        <v>1</v>
      </c>
      <c r="AB36" s="1695">
        <f t="shared" si="4"/>
        <v>1</v>
      </c>
      <c r="AC36" s="1695">
        <f t="shared" si="5"/>
        <v>1</v>
      </c>
    </row>
    <row r="37" spans="1:29" s="1737" customFormat="1" ht="16"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629"/>
      <c r="Q37" s="1583">
        <f t="shared" si="8"/>
        <v>111</v>
      </c>
      <c r="R37" s="1733" t="s">
        <v>25</v>
      </c>
      <c r="S37" s="1734">
        <f t="shared" si="10"/>
        <v>100</v>
      </c>
      <c r="T37" s="1733" t="s">
        <v>25</v>
      </c>
      <c r="U37" s="1734">
        <f t="shared" si="11"/>
        <v>100</v>
      </c>
      <c r="V37" s="1733" t="s">
        <v>25</v>
      </c>
      <c r="W37" s="1734">
        <f t="shared" si="12"/>
        <v>100</v>
      </c>
      <c r="X37" s="1735"/>
      <c r="Y37" s="3629"/>
      <c r="Z37" s="1736">
        <f t="shared" si="13"/>
        <v>111</v>
      </c>
      <c r="AA37" s="1695">
        <f t="shared" si="3"/>
        <v>1</v>
      </c>
      <c r="AB37" s="1695">
        <f t="shared" si="4"/>
        <v>1</v>
      </c>
      <c r="AC37" s="1695">
        <f t="shared" si="5"/>
        <v>1</v>
      </c>
    </row>
    <row r="38" spans="1:29" ht="15.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629"/>
      <c r="Q38" s="1583" t="str">
        <f>B38</f>
        <v>宗地面积</v>
      </c>
      <c r="R38" s="1692" t="s">
        <v>25</v>
      </c>
      <c r="S38" s="1693" t="e">
        <f t="shared" si="10"/>
        <v>#N/A</v>
      </c>
      <c r="T38" s="1692" t="s">
        <v>25</v>
      </c>
      <c r="U38" s="1693" t="e">
        <f t="shared" si="11"/>
        <v>#N/A</v>
      </c>
      <c r="V38" s="1692" t="s">
        <v>25</v>
      </c>
      <c r="W38" s="1693" t="e">
        <f t="shared" si="12"/>
        <v>#N/A</v>
      </c>
      <c r="X38" s="1633"/>
      <c r="Y38" s="3629"/>
      <c r="Z38" s="1694" t="str">
        <f t="shared" si="13"/>
        <v>宗地面积</v>
      </c>
      <c r="AA38" s="1695" t="e">
        <f t="shared" si="3"/>
        <v>#N/A</v>
      </c>
      <c r="AB38" s="1695" t="e">
        <f t="shared" si="4"/>
        <v>#N/A</v>
      </c>
      <c r="AC38" s="1695" t="e">
        <f t="shared" si="5"/>
        <v>#N/A</v>
      </c>
    </row>
    <row r="39" spans="1:29" ht="15.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629"/>
      <c r="Q39" s="1583" t="str">
        <f t="shared" ref="Q39:Q45" si="14">B39</f>
        <v>宗地形状</v>
      </c>
      <c r="R39" s="1692" t="s">
        <v>25</v>
      </c>
      <c r="S39" s="1693">
        <f t="shared" si="10"/>
        <v>100</v>
      </c>
      <c r="T39" s="1692" t="s">
        <v>25</v>
      </c>
      <c r="U39" s="1693">
        <f t="shared" si="11"/>
        <v>100</v>
      </c>
      <c r="V39" s="1692" t="s">
        <v>25</v>
      </c>
      <c r="W39" s="1693">
        <f t="shared" si="12"/>
        <v>100</v>
      </c>
      <c r="X39" s="1633"/>
      <c r="Y39" s="3629"/>
      <c r="Z39" s="1694" t="str">
        <f t="shared" si="13"/>
        <v>宗地形状</v>
      </c>
      <c r="AA39" s="1695">
        <f t="shared" si="3"/>
        <v>1</v>
      </c>
      <c r="AB39" s="1695">
        <f t="shared" si="4"/>
        <v>1</v>
      </c>
      <c r="AC39" s="1695">
        <f t="shared" si="5"/>
        <v>1</v>
      </c>
    </row>
    <row r="40" spans="1:29" ht="15.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629"/>
      <c r="Q40" s="1583" t="str">
        <f t="shared" si="14"/>
        <v>临街宽度及深度</v>
      </c>
      <c r="R40" s="1692" t="s">
        <v>25</v>
      </c>
      <c r="S40" s="1693">
        <f t="shared" si="10"/>
        <v>100</v>
      </c>
      <c r="T40" s="1692" t="s">
        <v>25</v>
      </c>
      <c r="U40" s="1693">
        <f t="shared" si="11"/>
        <v>100</v>
      </c>
      <c r="V40" s="1692" t="s">
        <v>25</v>
      </c>
      <c r="W40" s="1693">
        <f t="shared" si="12"/>
        <v>100</v>
      </c>
      <c r="X40" s="1633"/>
      <c r="Y40" s="3629"/>
      <c r="Z40" s="1694" t="str">
        <f t="shared" si="13"/>
        <v>临街宽度及深度</v>
      </c>
      <c r="AA40" s="1695">
        <f t="shared" si="3"/>
        <v>1</v>
      </c>
      <c r="AB40" s="1695">
        <f t="shared" si="4"/>
        <v>1</v>
      </c>
      <c r="AC40" s="1695">
        <f t="shared" si="5"/>
        <v>1</v>
      </c>
    </row>
    <row r="41" spans="1:29" s="1652" customFormat="1" ht="15.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629"/>
      <c r="Q41" s="1583" t="str">
        <f t="shared" si="14"/>
        <v>宗地开发程度</v>
      </c>
      <c r="R41" s="1648" t="s">
        <v>25</v>
      </c>
      <c r="S41" s="1649">
        <f t="shared" si="10"/>
        <v>100</v>
      </c>
      <c r="T41" s="1648" t="s">
        <v>25</v>
      </c>
      <c r="U41" s="1649">
        <f t="shared" si="11"/>
        <v>100</v>
      </c>
      <c r="V41" s="1648" t="s">
        <v>25</v>
      </c>
      <c r="W41" s="1649">
        <f t="shared" si="12"/>
        <v>100</v>
      </c>
      <c r="X41" s="1650"/>
      <c r="Y41" s="3629"/>
      <c r="Z41" s="1660" t="str">
        <f t="shared" si="13"/>
        <v>宗地开发程度</v>
      </c>
      <c r="AA41" s="1651">
        <f t="shared" si="3"/>
        <v>1</v>
      </c>
      <c r="AB41" s="1651">
        <f t="shared" si="4"/>
        <v>1</v>
      </c>
      <c r="AC41" s="1651">
        <f t="shared" si="5"/>
        <v>1</v>
      </c>
    </row>
    <row r="42" spans="1:29" ht="15.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629" t="s">
        <v>2215</v>
      </c>
      <c r="Q42" s="1583" t="str">
        <f t="shared" si="14"/>
        <v>工程地质条件</v>
      </c>
      <c r="R42" s="1692" t="s">
        <v>25</v>
      </c>
      <c r="S42" s="1693">
        <f t="shared" si="10"/>
        <v>100</v>
      </c>
      <c r="T42" s="1692" t="s">
        <v>25</v>
      </c>
      <c r="U42" s="1693">
        <f t="shared" si="11"/>
        <v>100</v>
      </c>
      <c r="V42" s="1692" t="s">
        <v>25</v>
      </c>
      <c r="W42" s="1693">
        <f t="shared" si="12"/>
        <v>100</v>
      </c>
      <c r="X42" s="1633"/>
      <c r="Y42" s="3629" t="s">
        <v>2215</v>
      </c>
      <c r="Z42" s="1694" t="str">
        <f t="shared" si="13"/>
        <v>工程地质条件</v>
      </c>
      <c r="AA42" s="1695">
        <f t="shared" si="3"/>
        <v>1</v>
      </c>
      <c r="AB42" s="1695">
        <f t="shared" si="4"/>
        <v>1</v>
      </c>
      <c r="AC42" s="1695">
        <f t="shared" si="5"/>
        <v>1</v>
      </c>
    </row>
    <row r="43" spans="1:29" ht="15.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629"/>
      <c r="Q43" s="1583">
        <f t="shared" si="14"/>
        <v>111</v>
      </c>
      <c r="R43" s="1692" t="s">
        <v>25</v>
      </c>
      <c r="S43" s="1693">
        <f t="shared" si="10"/>
        <v>100</v>
      </c>
      <c r="T43" s="1692" t="s">
        <v>25</v>
      </c>
      <c r="U43" s="1693">
        <f t="shared" si="11"/>
        <v>100</v>
      </c>
      <c r="V43" s="1692" t="s">
        <v>25</v>
      </c>
      <c r="W43" s="1693">
        <f t="shared" si="12"/>
        <v>100</v>
      </c>
      <c r="X43" s="1633"/>
      <c r="Y43" s="3629"/>
      <c r="Z43" s="1694">
        <f t="shared" si="13"/>
        <v>111</v>
      </c>
      <c r="AA43" s="1695">
        <f t="shared" si="3"/>
        <v>1</v>
      </c>
      <c r="AB43" s="1695">
        <f t="shared" si="4"/>
        <v>1</v>
      </c>
      <c r="AC43" s="1695">
        <f t="shared" si="5"/>
        <v>1</v>
      </c>
    </row>
    <row r="44" spans="1:29" ht="15.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629"/>
      <c r="Q44" s="1583">
        <f t="shared" si="14"/>
        <v>111</v>
      </c>
      <c r="R44" s="1692" t="s">
        <v>25</v>
      </c>
      <c r="S44" s="1693">
        <f t="shared" si="10"/>
        <v>100</v>
      </c>
      <c r="T44" s="1692" t="s">
        <v>25</v>
      </c>
      <c r="U44" s="1693">
        <f t="shared" si="11"/>
        <v>100</v>
      </c>
      <c r="V44" s="1692" t="s">
        <v>25</v>
      </c>
      <c r="W44" s="1693">
        <f t="shared" si="12"/>
        <v>100</v>
      </c>
      <c r="X44" s="1633"/>
      <c r="Y44" s="3629"/>
      <c r="Z44" s="1694">
        <f t="shared" si="13"/>
        <v>111</v>
      </c>
      <c r="AA44" s="1695">
        <f t="shared" si="3"/>
        <v>1</v>
      </c>
      <c r="AB44" s="1695">
        <f t="shared" si="4"/>
        <v>1</v>
      </c>
      <c r="AC44" s="1695">
        <f t="shared" si="5"/>
        <v>1</v>
      </c>
    </row>
    <row r="45" spans="1:29" s="1737" customFormat="1" ht="16"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629"/>
      <c r="Q45" s="1583">
        <f t="shared" si="14"/>
        <v>111</v>
      </c>
      <c r="R45" s="1733" t="s">
        <v>25</v>
      </c>
      <c r="S45" s="1734">
        <f t="shared" si="10"/>
        <v>100</v>
      </c>
      <c r="T45" s="1733" t="s">
        <v>25</v>
      </c>
      <c r="U45" s="1734">
        <f t="shared" si="11"/>
        <v>100</v>
      </c>
      <c r="V45" s="1733" t="s">
        <v>25</v>
      </c>
      <c r="W45" s="1734">
        <f t="shared" si="12"/>
        <v>100</v>
      </c>
      <c r="X45" s="1735"/>
      <c r="Y45" s="3629"/>
      <c r="Z45" s="1736">
        <f t="shared" si="13"/>
        <v>111</v>
      </c>
      <c r="AA45" s="1695">
        <f t="shared" si="3"/>
        <v>1</v>
      </c>
      <c r="AB45" s="1695">
        <f t="shared" si="4"/>
        <v>1</v>
      </c>
      <c r="AC45" s="1695">
        <f t="shared" si="5"/>
        <v>1</v>
      </c>
    </row>
    <row r="46" spans="1:29">
      <c r="A46" s="1745" t="s">
        <v>2357</v>
      </c>
      <c r="B46" s="1970" t="s">
        <v>2394</v>
      </c>
      <c r="C46" s="1971" t="s">
        <v>1</v>
      </c>
      <c r="D46" s="1972"/>
      <c r="E46" s="1973"/>
      <c r="F46" s="1974"/>
      <c r="G46" s="1975"/>
      <c r="H46" s="1976"/>
      <c r="I46" s="1973"/>
      <c r="J46" s="1976"/>
      <c r="K46" s="1977"/>
      <c r="L46" s="2963"/>
      <c r="N46" s="2958"/>
      <c r="P46" s="3598" t="str">
        <f>A46</f>
        <v>成交单价</v>
      </c>
      <c r="Q46" s="3598"/>
      <c r="R46" s="3622">
        <f>E46</f>
        <v>0</v>
      </c>
      <c r="S46" s="3622"/>
      <c r="T46" s="3622">
        <f>G46</f>
        <v>0</v>
      </c>
      <c r="U46" s="3622"/>
      <c r="V46" s="3622">
        <f>I46</f>
        <v>0</v>
      </c>
      <c r="W46" s="3622"/>
      <c r="X46" s="1755"/>
      <c r="Y46" s="1756"/>
      <c r="Z46" s="1755"/>
      <c r="AA46" s="1755"/>
      <c r="AB46" s="1755"/>
      <c r="AC46" s="1755"/>
    </row>
    <row r="47" spans="1:29" ht="14.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98" t="str">
        <f>A47</f>
        <v>比较价值（元/平方米）</v>
      </c>
      <c r="Q47" s="3598"/>
      <c r="R47" s="3714" t="e">
        <f>ROUND(PRODUCT(R46,AA7:AA45),0)</f>
        <v>#DIV/0!</v>
      </c>
      <c r="S47" s="3714"/>
      <c r="T47" s="3714" t="e">
        <f>ROUND(PRODUCT(T46,AB7:AB45),0)</f>
        <v>#DIV/0!</v>
      </c>
      <c r="U47" s="3714"/>
      <c r="V47" s="3714" t="e">
        <f>ROUND(PRODUCT(V46,AC7:AC45),0)</f>
        <v>#DIV/0!</v>
      </c>
      <c r="W47" s="3714"/>
      <c r="X47" s="1755"/>
      <c r="Y47" s="1755"/>
      <c r="Z47" s="1755"/>
      <c r="AA47" s="1755"/>
      <c r="AB47" s="1755"/>
      <c r="AC47" s="1755"/>
    </row>
    <row r="48" spans="1:29" ht="14.5" thickBot="1">
      <c r="A48" s="1763" t="s">
        <v>2333</v>
      </c>
      <c r="B48" s="1764"/>
      <c r="C48" s="1981" t="e">
        <f>R48</f>
        <v>#DIV/0!</v>
      </c>
      <c r="D48" s="1981"/>
      <c r="E48" s="1981"/>
      <c r="F48" s="1981"/>
      <c r="G48" s="1981"/>
      <c r="H48" s="1981"/>
      <c r="I48" s="1981"/>
      <c r="J48" s="1981"/>
      <c r="K48" s="1982"/>
      <c r="L48" s="2963"/>
      <c r="P48" s="3632" t="str">
        <f>A48</f>
        <v>估价对象XX用房的比较价值（楼面单价，元/平方米）</v>
      </c>
      <c r="Q48" s="3633"/>
      <c r="R48" s="3715" t="e">
        <f>ROUND(IF(D47="简单平均",AVERAGE(R47:W47),R47*F47+T47*H47+V47*J47),0)</f>
        <v>#DIV/0!</v>
      </c>
      <c r="S48" s="3715"/>
      <c r="T48" s="3715"/>
      <c r="U48" s="3715"/>
      <c r="V48" s="3715"/>
      <c r="W48" s="3715"/>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4.5" thickBot="1">
      <c r="B54" s="2968"/>
      <c r="C54" s="2969"/>
      <c r="K54" s="2970"/>
      <c r="L54" s="2964"/>
    </row>
    <row r="55" spans="1:14" ht="28">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1.5"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4.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4.5" thickBot="1">
      <c r="A74" s="1803"/>
      <c r="B74" s="1793"/>
      <c r="C74" s="1794">
        <v>100</v>
      </c>
      <c r="D74" s="1795"/>
      <c r="E74" s="1795"/>
      <c r="F74" s="1795"/>
      <c r="G74" s="1795"/>
      <c r="H74" s="1795"/>
      <c r="I74" s="1795"/>
      <c r="J74" s="1795"/>
      <c r="K74" s="1795"/>
      <c r="L74" s="1795"/>
      <c r="M74" s="1809"/>
      <c r="N74" s="2975"/>
      <c r="O74" s="2975"/>
      <c r="P74" s="1785"/>
      <c r="Q74" s="1785"/>
    </row>
    <row r="75" spans="1:17">
      <c r="A75" s="1810" t="s">
        <v>2238</v>
      </c>
      <c r="B75" s="1811" t="s">
        <v>2204</v>
      </c>
      <c r="C75" s="1813"/>
      <c r="D75" s="1813"/>
      <c r="E75" s="1813"/>
      <c r="F75" s="1813"/>
      <c r="G75" s="1813"/>
      <c r="H75" s="1813"/>
      <c r="I75" s="1813"/>
      <c r="J75" s="1813"/>
      <c r="K75" s="417"/>
      <c r="L75" s="417"/>
      <c r="M75" s="1814"/>
      <c r="N75" s="2976"/>
      <c r="O75" s="2976"/>
      <c r="P75" s="2021"/>
      <c r="Q75" s="1785"/>
    </row>
    <row r="76" spans="1:17" ht="14.5" thickBot="1">
      <c r="A76" s="1817"/>
      <c r="B76" s="1818"/>
      <c r="C76" s="1819"/>
      <c r="D76" s="1819"/>
      <c r="E76" s="1819"/>
      <c r="F76" s="1819"/>
      <c r="G76" s="1819"/>
      <c r="H76" s="1819"/>
      <c r="I76" s="1819"/>
      <c r="J76" s="1819"/>
      <c r="K76" s="1819"/>
      <c r="L76" s="1819"/>
      <c r="M76" s="1820"/>
      <c r="N76" s="2977"/>
      <c r="O76" s="2977"/>
      <c r="P76" s="2021"/>
      <c r="Q76" s="1785"/>
    </row>
    <row r="77" spans="1:17" ht="28.5" thickTop="1">
      <c r="A77" s="1817"/>
      <c r="B77" s="1822" t="s">
        <v>2207</v>
      </c>
      <c r="C77" s="1823"/>
      <c r="D77" s="1823"/>
      <c r="E77" s="1823"/>
      <c r="F77" s="1823"/>
      <c r="G77" s="1823"/>
      <c r="H77" s="1823"/>
      <c r="I77" s="1823"/>
      <c r="J77" s="1823"/>
      <c r="K77" s="428"/>
      <c r="L77" s="428"/>
      <c r="M77" s="1824"/>
      <c r="N77" s="2976"/>
      <c r="O77" s="2976"/>
      <c r="P77" s="2021"/>
      <c r="Q77" s="1785"/>
    </row>
    <row r="78" spans="1:17" ht="14.5" thickBot="1">
      <c r="A78" s="1817"/>
      <c r="B78" s="1825"/>
      <c r="C78" s="1826"/>
      <c r="D78" s="1826"/>
      <c r="E78" s="1826"/>
      <c r="F78" s="1826"/>
      <c r="G78" s="1826"/>
      <c r="H78" s="1826"/>
      <c r="I78" s="1826"/>
      <c r="J78" s="1826"/>
      <c r="K78" s="1826"/>
      <c r="L78" s="1826"/>
      <c r="M78" s="1827"/>
      <c r="N78" s="2977"/>
      <c r="O78" s="2977"/>
      <c r="P78" s="2021"/>
      <c r="Q78" s="1785"/>
    </row>
    <row r="79" spans="1:17" ht="14.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c r="A80" s="1817"/>
      <c r="B80" s="1830"/>
      <c r="C80" s="1831"/>
      <c r="D80" s="1831"/>
      <c r="E80" s="1831"/>
      <c r="F80" s="1831"/>
      <c r="G80" s="1831"/>
      <c r="H80" s="1831"/>
      <c r="I80" s="1831"/>
      <c r="J80" s="1831"/>
      <c r="K80" s="438"/>
      <c r="L80" s="438"/>
      <c r="M80" s="1832"/>
      <c r="N80" s="2976"/>
      <c r="O80" s="2976"/>
      <c r="P80" s="2021"/>
      <c r="Q80" s="1785"/>
    </row>
    <row r="81" spans="1:17" ht="14.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4.5"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4.5" thickBot="1">
      <c r="A83" s="1833"/>
      <c r="B83" s="1825"/>
      <c r="C83" s="1838"/>
      <c r="D83" s="1819"/>
      <c r="E83" s="1819"/>
      <c r="F83" s="1819"/>
      <c r="G83" s="1819"/>
      <c r="H83" s="1819"/>
      <c r="I83" s="1819"/>
      <c r="J83" s="1819"/>
      <c r="K83" s="1819"/>
      <c r="L83" s="1819"/>
      <c r="M83" s="1820"/>
      <c r="N83" s="2977"/>
      <c r="O83" s="2977"/>
      <c r="P83" s="2022"/>
      <c r="Q83" s="1837"/>
    </row>
    <row r="84" spans="1:17" s="1737" customFormat="1" ht="14.5"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4.5" thickBot="1">
      <c r="A85" s="1833"/>
      <c r="B85" s="1825"/>
      <c r="C85" s="1838"/>
      <c r="D85" s="1838"/>
      <c r="E85" s="1838"/>
      <c r="F85" s="1838"/>
      <c r="G85" s="1838"/>
      <c r="H85" s="1841"/>
      <c r="I85" s="1841"/>
      <c r="J85" s="1841"/>
      <c r="K85" s="1841"/>
      <c r="L85" s="1841"/>
      <c r="M85" s="1842"/>
      <c r="N85" s="2978"/>
      <c r="O85" s="2978"/>
      <c r="P85" s="2022"/>
      <c r="Q85" s="1837"/>
    </row>
    <row r="86" spans="1:17" s="1737" customFormat="1" ht="14.5"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4.5" thickBot="1">
      <c r="A87" s="1844"/>
      <c r="B87" s="1845"/>
      <c r="C87" s="1846"/>
      <c r="D87" s="1846"/>
      <c r="E87" s="1846"/>
      <c r="F87" s="1846"/>
      <c r="G87" s="1846"/>
      <c r="H87" s="1847"/>
      <c r="I87" s="1847"/>
      <c r="J87" s="1847"/>
      <c r="K87" s="1847"/>
      <c r="L87" s="1847"/>
      <c r="M87" s="1848"/>
      <c r="N87" s="2978"/>
      <c r="O87" s="2978"/>
      <c r="P87" s="2022"/>
      <c r="Q87" s="1837"/>
    </row>
    <row r="88" spans="1:17">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4.5"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4.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4.5"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4.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4.5"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4.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4.5"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28.5"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4.5"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8.5"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4.5"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4.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4.5"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4.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4.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4.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4.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8.5" thickTop="1">
      <c r="A106" s="1817"/>
      <c r="B106" s="1822" t="s">
        <v>2327</v>
      </c>
      <c r="C106" s="468"/>
      <c r="D106" s="468"/>
      <c r="E106" s="468"/>
      <c r="F106" s="468"/>
      <c r="G106" s="468"/>
      <c r="H106" s="1545"/>
      <c r="I106" s="1545"/>
      <c r="J106" s="1545"/>
      <c r="K106" s="473"/>
      <c r="L106" s="473"/>
      <c r="M106" s="1857"/>
      <c r="N106" s="2976"/>
      <c r="O106" s="2976"/>
      <c r="P106" s="2021"/>
      <c r="Q106" s="1785"/>
    </row>
    <row r="107" spans="1:17" ht="14.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4.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4.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4.5"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4.5" thickBot="1">
      <c r="A111" s="1817"/>
      <c r="B111" s="1845"/>
      <c r="C111" s="1838"/>
      <c r="D111" s="1838"/>
      <c r="E111" s="1838"/>
      <c r="F111" s="1838"/>
      <c r="G111" s="1861"/>
      <c r="H111" s="1861"/>
      <c r="I111" s="1861"/>
      <c r="J111" s="1861"/>
      <c r="K111" s="1861"/>
      <c r="L111" s="1861"/>
      <c r="M111" s="1862"/>
      <c r="N111" s="2977"/>
      <c r="O111" s="2977"/>
      <c r="P111" s="2021"/>
      <c r="Q111" s="1785"/>
    </row>
    <row r="112" spans="1:17" ht="14.5"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4.5"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4.5"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4.5" thickBot="1">
      <c r="A115" s="1833"/>
      <c r="B115" s="1828"/>
      <c r="C115" s="1795"/>
      <c r="D115" s="2025"/>
      <c r="E115" s="2025"/>
      <c r="F115" s="2025"/>
      <c r="G115" s="2025"/>
      <c r="H115" s="2025"/>
      <c r="I115" s="2025"/>
      <c r="J115" s="2025"/>
      <c r="K115" s="2025"/>
      <c r="L115" s="2025"/>
      <c r="M115" s="2026"/>
      <c r="N115" s="2977"/>
      <c r="O115" s="2977"/>
      <c r="P115" s="2022"/>
      <c r="Q115" s="1837"/>
    </row>
    <row r="116" spans="1:17">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c r="A117" s="1817"/>
      <c r="B117" s="1828"/>
      <c r="C117" s="1865"/>
      <c r="D117" s="1865"/>
      <c r="E117" s="1865"/>
      <c r="F117" s="1865"/>
      <c r="G117" s="1865"/>
      <c r="H117" s="1865"/>
      <c r="I117" s="1865"/>
      <c r="J117" s="485"/>
      <c r="K117" s="485"/>
      <c r="L117" s="485"/>
      <c r="M117" s="1866"/>
      <c r="N117" s="2976"/>
      <c r="O117" s="2976"/>
      <c r="P117" s="2021"/>
      <c r="Q117" s="1785"/>
    </row>
    <row r="118" spans="1:17" ht="14.5" thickBot="1">
      <c r="A118" s="1817"/>
      <c r="B118" s="1825"/>
      <c r="C118" s="1846"/>
      <c r="D118" s="1861"/>
      <c r="E118" s="1861"/>
      <c r="F118" s="1861"/>
      <c r="G118" s="1861"/>
      <c r="H118" s="1861"/>
      <c r="I118" s="1861"/>
      <c r="J118" s="1861"/>
      <c r="K118" s="1861"/>
      <c r="L118" s="1861"/>
      <c r="M118" s="1862"/>
      <c r="N118" s="2977"/>
      <c r="O118" s="2977"/>
      <c r="P118" s="2021"/>
      <c r="Q118" s="1785"/>
    </row>
    <row r="119" spans="1:17" ht="14.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4.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4.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4.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4.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4.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4.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4.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4.5"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4.5" thickBot="1">
      <c r="A128" s="1817"/>
      <c r="B128" s="1825"/>
      <c r="C128" s="1838"/>
      <c r="D128" s="1838"/>
      <c r="E128" s="1838"/>
      <c r="F128" s="1838"/>
      <c r="G128" s="1819"/>
      <c r="H128" s="1819"/>
      <c r="I128" s="1819"/>
      <c r="J128" s="1819"/>
      <c r="K128" s="1819"/>
      <c r="L128" s="1819"/>
      <c r="M128" s="1820"/>
      <c r="N128" s="2977"/>
      <c r="O128" s="2977"/>
      <c r="P128" s="2021"/>
      <c r="Q128" s="1785"/>
    </row>
    <row r="129" spans="1:17" ht="14.5"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4.5"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4.5"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4.5"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11" customWidth="1"/>
    <col min="2" max="3" width="12.453125" style="1311" customWidth="1"/>
    <col min="4" max="6" width="8.08984375" style="1311"/>
    <col min="7" max="7" width="17.453125" style="1311" customWidth="1"/>
    <col min="8" max="16384" width="8.08984375" style="1311"/>
  </cols>
  <sheetData>
    <row r="1" spans="1:7" ht="23">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7.5">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
      <c r="A5" s="1317" t="s">
        <v>1197</v>
      </c>
    </row>
    <row r="6" spans="1:7" s="1318" customFormat="1" ht="52.5">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估价对象为北京市房地产，为XX所有。根据《不动产权证书》[]，估价对象建筑面积为108.17平方米，（分摊）出让国有建设用地使用权面积为平方米。估价对象用途为。</v>
      </c>
      <c r="B6" s="1316"/>
      <c r="C6" s="1316"/>
      <c r="D6" s="1316"/>
      <c r="E6" s="1316"/>
      <c r="F6" s="1316"/>
      <c r="G6" s="1316"/>
    </row>
    <row r="7" spans="1:7" ht="18">
      <c r="A7" s="1317" t="s">
        <v>1198</v>
      </c>
    </row>
    <row r="8" spans="1:7" ht="52.5">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
      <c r="A9" s="1314" t="s">
        <v>1199</v>
      </c>
      <c r="B9" s="1321"/>
    </row>
    <row r="10" spans="1:7" ht="17.5">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8">
      <c r="A11" s="1314" t="s">
        <v>1200</v>
      </c>
    </row>
    <row r="12" spans="1:7" ht="70">
      <c r="A12" s="1316" t="s">
        <v>1201</v>
      </c>
      <c r="B12" s="1316"/>
      <c r="C12" s="1316"/>
      <c r="D12" s="1316"/>
      <c r="E12" s="1316"/>
      <c r="F12" s="1316"/>
      <c r="G12" s="1316"/>
    </row>
    <row r="13" spans="1:7" ht="52.5">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5">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1">
      <c r="A15" s="1316" t="s">
        <v>1195</v>
      </c>
      <c r="B15" s="1316"/>
      <c r="C15" s="1316"/>
      <c r="D15" s="1316"/>
      <c r="E15" s="1316"/>
      <c r="F15" s="1316"/>
      <c r="G15" s="1316"/>
    </row>
    <row r="16" spans="1:7" ht="52.5">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
      <c r="A17" s="1314" t="s">
        <v>1194</v>
      </c>
    </row>
    <row r="18" spans="1:1" ht="17.5">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79" t="s">
        <v>2199</v>
      </c>
      <c r="Q7" s="3703"/>
      <c r="R7" s="625" t="s">
        <v>25</v>
      </c>
      <c r="S7" s="626">
        <f t="shared" ref="S7:S15" si="0">F7</f>
        <v>0</v>
      </c>
      <c r="T7" s="625" t="s">
        <v>25</v>
      </c>
      <c r="U7" s="626">
        <f t="shared" ref="U7:U15" si="1">H7</f>
        <v>0</v>
      </c>
      <c r="V7" s="625" t="s">
        <v>25</v>
      </c>
      <c r="W7" s="626">
        <f t="shared" ref="W7:W15" si="2">J7</f>
        <v>0</v>
      </c>
      <c r="X7" s="627"/>
      <c r="Y7" s="3679" t="s">
        <v>2199</v>
      </c>
      <c r="Z7" s="3680"/>
      <c r="AA7" s="628" t="e">
        <f>D7/F7</f>
        <v>#DIV/0!</v>
      </c>
      <c r="AB7" s="628" t="e">
        <f>D7/H7</f>
        <v>#DIV/0!</v>
      </c>
      <c r="AC7" s="628" t="e">
        <f>D7/J7</f>
        <v>#DIV/0!</v>
      </c>
    </row>
    <row r="8" spans="1:29" s="25" customFormat="1" ht="14.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40" si="3">D8/F8</f>
        <v>#DIV/0!</v>
      </c>
      <c r="AB8" s="628" t="e">
        <f t="shared" ref="AB8:AB40" si="4">D8/H8</f>
        <v>#DIV/0!</v>
      </c>
      <c r="AC8" s="628" t="e">
        <f t="shared" ref="AC8:AC40" si="5">D8/J8</f>
        <v>#DIV/0!</v>
      </c>
    </row>
    <row r="9" spans="1:29" s="25" customFormat="1">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76" t="s">
        <v>2205</v>
      </c>
      <c r="Q9" s="1294" t="str">
        <f t="shared" ref="Q9:Q15" si="6">B9</f>
        <v>用途</v>
      </c>
      <c r="R9" s="625" t="s">
        <v>25</v>
      </c>
      <c r="S9" s="626">
        <f t="shared" si="0"/>
        <v>100</v>
      </c>
      <c r="T9" s="625" t="s">
        <v>25</v>
      </c>
      <c r="U9" s="626">
        <f t="shared" si="1"/>
        <v>100</v>
      </c>
      <c r="V9" s="625" t="s">
        <v>25</v>
      </c>
      <c r="W9" s="626">
        <f t="shared" si="2"/>
        <v>100</v>
      </c>
      <c r="X9" s="627"/>
      <c r="Y9" s="3706" t="s">
        <v>2206</v>
      </c>
      <c r="Z9" s="19" t="str">
        <f t="shared" ref="Z9:Z15" si="7">Q9</f>
        <v>用途</v>
      </c>
      <c r="AA9" s="628">
        <f t="shared" si="3"/>
        <v>1</v>
      </c>
      <c r="AB9" s="628">
        <f t="shared" si="4"/>
        <v>1</v>
      </c>
      <c r="AC9" s="628">
        <f t="shared" si="5"/>
        <v>1</v>
      </c>
    </row>
    <row r="10" spans="1:29" s="317" customFormat="1" ht="28">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76"/>
      <c r="Q10" s="1294" t="str">
        <f t="shared" si="6"/>
        <v>土地使用年限（年）</v>
      </c>
      <c r="R10" s="625" t="s">
        <v>25</v>
      </c>
      <c r="S10" s="626">
        <f t="shared" si="0"/>
        <v>127</v>
      </c>
      <c r="T10" s="625" t="s">
        <v>25</v>
      </c>
      <c r="U10" s="626">
        <f t="shared" si="1"/>
        <v>127</v>
      </c>
      <c r="V10" s="625" t="s">
        <v>25</v>
      </c>
      <c r="W10" s="626">
        <f t="shared" si="2"/>
        <v>127</v>
      </c>
      <c r="X10" s="627"/>
      <c r="Y10" s="3706"/>
      <c r="Z10" s="19" t="str">
        <f t="shared" si="7"/>
        <v>土地使用年限（年）</v>
      </c>
      <c r="AA10" s="628">
        <f t="shared" si="3"/>
        <v>0.78740157480314965</v>
      </c>
      <c r="AB10" s="628">
        <f t="shared" si="4"/>
        <v>0.78740157480314965</v>
      </c>
      <c r="AC10" s="628">
        <f t="shared" si="5"/>
        <v>0.78740157480314965</v>
      </c>
    </row>
    <row r="11" spans="1:29" ht="15.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76"/>
      <c r="Q11" s="1294" t="str">
        <f t="shared" si="6"/>
        <v>容积率</v>
      </c>
      <c r="R11" s="625" t="s">
        <v>25</v>
      </c>
      <c r="S11" s="626" t="e">
        <f t="shared" si="0"/>
        <v>#N/A</v>
      </c>
      <c r="T11" s="625" t="s">
        <v>25</v>
      </c>
      <c r="U11" s="626" t="e">
        <f t="shared" si="1"/>
        <v>#N/A</v>
      </c>
      <c r="V11" s="625" t="s">
        <v>25</v>
      </c>
      <c r="W11" s="626" t="e">
        <f t="shared" si="2"/>
        <v>#N/A</v>
      </c>
      <c r="X11" s="627"/>
      <c r="Y11" s="3706"/>
      <c r="Z11" s="19" t="str">
        <f t="shared" si="7"/>
        <v>容积率</v>
      </c>
      <c r="AA11" s="628" t="e">
        <f t="shared" si="3"/>
        <v>#N/A</v>
      </c>
      <c r="AB11" s="628" t="e">
        <f t="shared" si="4"/>
        <v>#N/A</v>
      </c>
      <c r="AC11" s="628" t="e">
        <f t="shared" si="5"/>
        <v>#N/A</v>
      </c>
    </row>
    <row r="12" spans="1:29" s="25" customFormat="1" ht="15.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5.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76"/>
      <c r="Q14" s="1294">
        <f t="shared" si="6"/>
        <v>111</v>
      </c>
      <c r="R14" s="625" t="s">
        <v>25</v>
      </c>
      <c r="S14" s="626">
        <f t="shared" si="0"/>
        <v>100</v>
      </c>
      <c r="T14" s="625" t="s">
        <v>25</v>
      </c>
      <c r="U14" s="626">
        <f t="shared" si="1"/>
        <v>100</v>
      </c>
      <c r="V14" s="625" t="s">
        <v>25</v>
      </c>
      <c r="W14" s="626">
        <f t="shared" si="2"/>
        <v>100</v>
      </c>
      <c r="X14" s="627"/>
      <c r="Y14" s="3706"/>
      <c r="Z14" s="19">
        <f t="shared" si="7"/>
        <v>111</v>
      </c>
      <c r="AA14" s="628">
        <f t="shared" si="3"/>
        <v>1</v>
      </c>
      <c r="AB14" s="628">
        <f t="shared" si="4"/>
        <v>1</v>
      </c>
      <c r="AC14" s="628">
        <f t="shared" si="5"/>
        <v>1</v>
      </c>
    </row>
    <row r="15" spans="1:29" ht="70">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704" t="s">
        <v>2210</v>
      </c>
      <c r="Q15" s="1301" t="str">
        <f t="shared" si="6"/>
        <v>产业集聚程度</v>
      </c>
      <c r="R15" s="629" t="s">
        <v>25</v>
      </c>
      <c r="S15" s="630">
        <f t="shared" si="0"/>
        <v>100</v>
      </c>
      <c r="T15" s="629" t="s">
        <v>25</v>
      </c>
      <c r="U15" s="630">
        <f t="shared" si="1"/>
        <v>100</v>
      </c>
      <c r="V15" s="629" t="s">
        <v>25</v>
      </c>
      <c r="W15" s="630">
        <f t="shared" si="2"/>
        <v>100</v>
      </c>
      <c r="X15" s="1302"/>
      <c r="Y15" s="3704" t="s">
        <v>2210</v>
      </c>
      <c r="Z15" s="1303" t="str">
        <f t="shared" si="7"/>
        <v>产业集聚程度</v>
      </c>
      <c r="AA15" s="1304">
        <f t="shared" si="3"/>
        <v>1</v>
      </c>
      <c r="AB15" s="1304">
        <f t="shared" si="4"/>
        <v>1</v>
      </c>
      <c r="AC15" s="1304">
        <f t="shared" si="5"/>
        <v>1</v>
      </c>
    </row>
    <row r="16" spans="1:29" ht="15.5">
      <c r="A16" s="318"/>
      <c r="B16" s="512"/>
      <c r="C16" s="335"/>
      <c r="D16" s="336"/>
      <c r="E16" s="1103"/>
      <c r="F16" s="336"/>
      <c r="G16" s="1103"/>
      <c r="H16" s="339"/>
      <c r="I16" s="1103"/>
      <c r="J16" s="336"/>
      <c r="K16" s="553"/>
      <c r="L16" s="2995"/>
      <c r="M16" s="2986"/>
      <c r="N16" s="2986"/>
      <c r="O16" s="2994"/>
      <c r="P16" s="3705"/>
      <c r="Q16" s="1301"/>
      <c r="R16" s="629"/>
      <c r="S16" s="630"/>
      <c r="T16" s="629"/>
      <c r="U16" s="630"/>
      <c r="V16" s="629"/>
      <c r="W16" s="630"/>
      <c r="X16" s="1302"/>
      <c r="Y16" s="3705"/>
      <c r="Z16" s="1303"/>
      <c r="AA16" s="1304">
        <v>1</v>
      </c>
      <c r="AB16" s="1304">
        <v>1</v>
      </c>
      <c r="AC16" s="1304">
        <v>1</v>
      </c>
    </row>
    <row r="17" spans="1:29" ht="98">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705"/>
      <c r="Q17" s="1301" t="str">
        <f>B17</f>
        <v>交通便捷度</v>
      </c>
      <c r="R17" s="629" t="s">
        <v>25</v>
      </c>
      <c r="S17" s="630">
        <f>F17</f>
        <v>100</v>
      </c>
      <c r="T17" s="629" t="s">
        <v>25</v>
      </c>
      <c r="U17" s="630">
        <f>H17</f>
        <v>100</v>
      </c>
      <c r="V17" s="629" t="s">
        <v>25</v>
      </c>
      <c r="W17" s="630">
        <f>J17</f>
        <v>100</v>
      </c>
      <c r="X17" s="1302"/>
      <c r="Y17" s="3705"/>
      <c r="Z17" s="1303" t="str">
        <f>Q17</f>
        <v>交通便捷度</v>
      </c>
      <c r="AA17" s="1304">
        <f t="shared" si="3"/>
        <v>1</v>
      </c>
      <c r="AB17" s="1304">
        <f t="shared" si="4"/>
        <v>1</v>
      </c>
      <c r="AC17" s="1304">
        <f t="shared" si="5"/>
        <v>1</v>
      </c>
    </row>
    <row r="18" spans="1:29" ht="15.5">
      <c r="A18" s="318"/>
      <c r="B18" s="514"/>
      <c r="C18" s="335"/>
      <c r="D18" s="336"/>
      <c r="E18" s="337"/>
      <c r="F18" s="336"/>
      <c r="G18" s="337"/>
      <c r="H18" s="336"/>
      <c r="I18" s="1533"/>
      <c r="J18" s="336"/>
      <c r="K18" s="553"/>
      <c r="L18" s="2995"/>
      <c r="M18" s="2986"/>
      <c r="N18" s="2986"/>
      <c r="O18" s="2994"/>
      <c r="P18" s="3705"/>
      <c r="Q18" s="1301"/>
      <c r="R18" s="629"/>
      <c r="S18" s="630"/>
      <c r="T18" s="629"/>
      <c r="U18" s="630"/>
      <c r="V18" s="629"/>
      <c r="W18" s="630"/>
      <c r="X18" s="1302"/>
      <c r="Y18" s="3705"/>
      <c r="Z18" s="1303"/>
      <c r="AA18" s="1304">
        <v>1</v>
      </c>
      <c r="AB18" s="1304">
        <v>1</v>
      </c>
      <c r="AC18" s="1304">
        <v>1</v>
      </c>
    </row>
    <row r="19" spans="1:29" ht="28">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705"/>
      <c r="Q19" s="1301" t="str">
        <f t="shared" ref="Q19:Q33" si="8">B19</f>
        <v>区域土地利用方向</v>
      </c>
      <c r="R19" s="629" t="s">
        <v>25</v>
      </c>
      <c r="S19" s="630">
        <f>F19</f>
        <v>100</v>
      </c>
      <c r="T19" s="629" t="s">
        <v>25</v>
      </c>
      <c r="U19" s="630">
        <f>H19</f>
        <v>100</v>
      </c>
      <c r="V19" s="629" t="s">
        <v>25</v>
      </c>
      <c r="W19" s="630">
        <f>J19</f>
        <v>100</v>
      </c>
      <c r="X19" s="1302"/>
      <c r="Y19" s="3705"/>
      <c r="Z19" s="1303" t="str">
        <f>Q19</f>
        <v>区域土地利用方向</v>
      </c>
      <c r="AA19" s="1304">
        <f t="shared" si="3"/>
        <v>1</v>
      </c>
      <c r="AB19" s="1304">
        <f t="shared" si="4"/>
        <v>1</v>
      </c>
      <c r="AC19" s="1304">
        <f t="shared" si="5"/>
        <v>1</v>
      </c>
    </row>
    <row r="20" spans="1:29" ht="15.5">
      <c r="A20" s="297"/>
      <c r="B20" s="514"/>
      <c r="C20" s="335"/>
      <c r="D20" s="336"/>
      <c r="E20" s="337"/>
      <c r="F20" s="336"/>
      <c r="G20" s="337"/>
      <c r="H20" s="336"/>
      <c r="I20" s="337"/>
      <c r="J20" s="336"/>
      <c r="K20" s="663"/>
      <c r="L20" s="2995"/>
      <c r="M20" s="2986"/>
      <c r="N20" s="2986"/>
      <c r="O20" s="2994"/>
      <c r="P20" s="3705"/>
      <c r="Q20" s="1301"/>
      <c r="R20" s="629"/>
      <c r="S20" s="630"/>
      <c r="T20" s="629"/>
      <c r="U20" s="630"/>
      <c r="V20" s="629"/>
      <c r="W20" s="630"/>
      <c r="X20" s="1302"/>
      <c r="Y20" s="3705"/>
      <c r="Z20" s="1303"/>
      <c r="AA20" s="1304"/>
      <c r="AB20" s="1304"/>
      <c r="AC20" s="1304"/>
    </row>
    <row r="21" spans="1:29" ht="84">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705"/>
      <c r="Q21" s="1301" t="str">
        <f t="shared" si="8"/>
        <v>环境状况</v>
      </c>
      <c r="R21" s="629" t="s">
        <v>25</v>
      </c>
      <c r="S21" s="630">
        <f>F21</f>
        <v>100</v>
      </c>
      <c r="T21" s="629" t="s">
        <v>25</v>
      </c>
      <c r="U21" s="630">
        <f>H21</f>
        <v>100</v>
      </c>
      <c r="V21" s="629" t="s">
        <v>25</v>
      </c>
      <c r="W21" s="630">
        <f>J21</f>
        <v>100</v>
      </c>
      <c r="X21" s="1302"/>
      <c r="Y21" s="3705"/>
      <c r="Z21" s="1303" t="str">
        <f>Q21</f>
        <v>环境状况</v>
      </c>
      <c r="AA21" s="1304">
        <f t="shared" si="3"/>
        <v>1</v>
      </c>
      <c r="AB21" s="1304">
        <f t="shared" si="4"/>
        <v>1</v>
      </c>
      <c r="AC21" s="1304">
        <f t="shared" si="5"/>
        <v>1</v>
      </c>
    </row>
    <row r="22" spans="1:29" ht="15.5">
      <c r="A22" s="297"/>
      <c r="B22" s="514"/>
      <c r="C22" s="335"/>
      <c r="D22" s="336"/>
      <c r="E22" s="1103"/>
      <c r="F22" s="336"/>
      <c r="G22" s="1103"/>
      <c r="H22" s="336"/>
      <c r="I22" s="335"/>
      <c r="J22" s="336"/>
      <c r="K22" s="553"/>
      <c r="L22" s="2995"/>
      <c r="M22" s="2986"/>
      <c r="N22" s="2986"/>
      <c r="O22" s="2994"/>
      <c r="P22" s="3705"/>
      <c r="Q22" s="1301"/>
      <c r="R22" s="629"/>
      <c r="S22" s="630"/>
      <c r="T22" s="629"/>
      <c r="U22" s="630"/>
      <c r="V22" s="629"/>
      <c r="W22" s="630"/>
      <c r="X22" s="1302"/>
      <c r="Y22" s="3705"/>
      <c r="Z22" s="1303"/>
      <c r="AA22" s="1304">
        <v>1</v>
      </c>
      <c r="AB22" s="1304">
        <v>1</v>
      </c>
      <c r="AC22" s="1304">
        <v>1</v>
      </c>
    </row>
    <row r="23" spans="1:29" s="25" customFormat="1" ht="42">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705"/>
      <c r="Q23" s="1294" t="str">
        <f t="shared" si="8"/>
        <v>公共配套设施</v>
      </c>
      <c r="R23" s="625" t="s">
        <v>25</v>
      </c>
      <c r="S23" s="626">
        <f>F23</f>
        <v>100</v>
      </c>
      <c r="T23" s="625" t="s">
        <v>25</v>
      </c>
      <c r="U23" s="626">
        <f>H23</f>
        <v>100</v>
      </c>
      <c r="V23" s="625" t="s">
        <v>25</v>
      </c>
      <c r="W23" s="626">
        <f>J23</f>
        <v>100</v>
      </c>
      <c r="X23" s="627"/>
      <c r="Y23" s="3705"/>
      <c r="Z23" s="19" t="str">
        <f>Q23</f>
        <v>公共配套设施</v>
      </c>
      <c r="AA23" s="1304">
        <f>D23/F23</f>
        <v>1</v>
      </c>
      <c r="AB23" s="1304">
        <f>D23/H23</f>
        <v>1</v>
      </c>
      <c r="AC23" s="1304">
        <f>D23/J23</f>
        <v>1</v>
      </c>
    </row>
    <row r="24" spans="1:29" s="25" customFormat="1" ht="15.5">
      <c r="A24" s="531"/>
      <c r="B24" s="514"/>
      <c r="C24" s="1563"/>
      <c r="D24" s="336"/>
      <c r="E24" s="1103"/>
      <c r="F24" s="336"/>
      <c r="G24" s="1103"/>
      <c r="H24" s="336"/>
      <c r="I24" s="335"/>
      <c r="J24" s="336"/>
      <c r="K24" s="553"/>
      <c r="L24" s="2987"/>
      <c r="M24" s="2988"/>
      <c r="N24" s="2988"/>
      <c r="O24" s="2989"/>
      <c r="P24" s="3705"/>
      <c r="Q24" s="1294"/>
      <c r="R24" s="625"/>
      <c r="S24" s="626"/>
      <c r="T24" s="625"/>
      <c r="U24" s="626"/>
      <c r="V24" s="625"/>
      <c r="W24" s="626"/>
      <c r="X24" s="627"/>
      <c r="Y24" s="3705"/>
      <c r="Z24" s="19"/>
      <c r="AA24" s="628">
        <v>1</v>
      </c>
      <c r="AB24" s="628">
        <v>1</v>
      </c>
      <c r="AC24" s="628">
        <v>1</v>
      </c>
    </row>
    <row r="25" spans="1:29" s="25" customFormat="1" ht="42">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705"/>
      <c r="Q25" s="1294" t="str">
        <f t="shared" ref="Q25" si="9">B25</f>
        <v>基础设施水平</v>
      </c>
      <c r="R25" s="625" t="s">
        <v>25</v>
      </c>
      <c r="S25" s="626">
        <f>F25</f>
        <v>100</v>
      </c>
      <c r="T25" s="625" t="s">
        <v>25</v>
      </c>
      <c r="U25" s="626">
        <f>H25</f>
        <v>100</v>
      </c>
      <c r="V25" s="625" t="s">
        <v>25</v>
      </c>
      <c r="W25" s="626">
        <f>J25</f>
        <v>100</v>
      </c>
      <c r="X25" s="627"/>
      <c r="Y25" s="3705"/>
      <c r="Z25" s="19" t="str">
        <f>Q25</f>
        <v>基础设施水平</v>
      </c>
      <c r="AA25" s="1304">
        <f>D25/F25</f>
        <v>1</v>
      </c>
      <c r="AB25" s="1304">
        <f>D25/H25</f>
        <v>1</v>
      </c>
      <c r="AC25" s="1304">
        <f>D25/J25</f>
        <v>1</v>
      </c>
    </row>
    <row r="26" spans="1:29" s="25" customFormat="1" ht="15.5">
      <c r="A26" s="531"/>
      <c r="B26" s="514"/>
      <c r="C26" s="1563"/>
      <c r="D26" s="336"/>
      <c r="E26" s="1554"/>
      <c r="F26" s="336"/>
      <c r="G26" s="1554"/>
      <c r="H26" s="336"/>
      <c r="I26" s="1554"/>
      <c r="J26" s="336"/>
      <c r="K26" s="553"/>
      <c r="L26" s="2987"/>
      <c r="M26" s="2988"/>
      <c r="N26" s="2988"/>
      <c r="O26" s="2989"/>
      <c r="P26" s="3705"/>
      <c r="Q26" s="1294"/>
      <c r="R26" s="625"/>
      <c r="S26" s="626"/>
      <c r="T26" s="625"/>
      <c r="U26" s="626"/>
      <c r="V26" s="625"/>
      <c r="W26" s="626"/>
      <c r="X26" s="627"/>
      <c r="Y26" s="3705"/>
      <c r="Z26" s="19"/>
      <c r="AA26" s="628">
        <v>1</v>
      </c>
      <c r="AB26" s="628">
        <v>1</v>
      </c>
      <c r="AC26" s="628">
        <v>1</v>
      </c>
    </row>
    <row r="27" spans="1:29" ht="15.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705"/>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05"/>
      <c r="Z27" s="1303" t="str">
        <f t="shared" ref="Z27:Z40" si="13">Q27</f>
        <v>临街状况</v>
      </c>
      <c r="AA27" s="1304">
        <f t="shared" si="3"/>
        <v>1</v>
      </c>
      <c r="AB27" s="1304">
        <f t="shared" si="4"/>
        <v>1</v>
      </c>
      <c r="AC27" s="1304">
        <f t="shared" si="5"/>
        <v>1</v>
      </c>
    </row>
    <row r="28" spans="1:29" ht="28">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705"/>
      <c r="Q28" s="1301" t="str">
        <f t="shared" si="8"/>
        <v>毗邻道路的类型与等级</v>
      </c>
      <c r="R28" s="629" t="s">
        <v>25</v>
      </c>
      <c r="S28" s="630">
        <f t="shared" si="10"/>
        <v>100</v>
      </c>
      <c r="T28" s="629" t="s">
        <v>25</v>
      </c>
      <c r="U28" s="630">
        <f t="shared" si="11"/>
        <v>100</v>
      </c>
      <c r="V28" s="629" t="s">
        <v>25</v>
      </c>
      <c r="W28" s="630">
        <f t="shared" si="12"/>
        <v>100</v>
      </c>
      <c r="X28" s="1302"/>
      <c r="Y28" s="3705"/>
      <c r="Z28" s="1303" t="str">
        <f t="shared" si="13"/>
        <v>毗邻道路的类型与等级</v>
      </c>
      <c r="AA28" s="1304">
        <f t="shared" si="3"/>
        <v>1</v>
      </c>
      <c r="AB28" s="1304">
        <f t="shared" si="4"/>
        <v>1</v>
      </c>
      <c r="AC28" s="1304">
        <f t="shared" si="5"/>
        <v>1</v>
      </c>
    </row>
    <row r="29" spans="1:29" ht="15.5">
      <c r="A29" s="318"/>
      <c r="B29" s="514"/>
      <c r="C29" s="335"/>
      <c r="D29" s="336"/>
      <c r="E29" s="1103"/>
      <c r="F29" s="336"/>
      <c r="G29" s="1103"/>
      <c r="H29" s="336"/>
      <c r="I29" s="1103"/>
      <c r="J29" s="336"/>
      <c r="K29" s="499"/>
      <c r="L29" s="2995"/>
      <c r="M29" s="2986"/>
      <c r="N29" s="2986"/>
      <c r="O29" s="2994"/>
      <c r="P29" s="3705"/>
      <c r="Q29" s="1301"/>
      <c r="R29" s="629"/>
      <c r="S29" s="630"/>
      <c r="T29" s="629"/>
      <c r="U29" s="630"/>
      <c r="V29" s="629"/>
      <c r="W29" s="630"/>
      <c r="X29" s="1302"/>
      <c r="Y29" s="3705"/>
      <c r="Z29" s="1303"/>
      <c r="AA29" s="1304">
        <v>1</v>
      </c>
      <c r="AB29" s="1304">
        <v>1</v>
      </c>
      <c r="AC29" s="1304">
        <v>1</v>
      </c>
    </row>
    <row r="30" spans="1:29" ht="15.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705"/>
      <c r="Q30" s="1301" t="str">
        <f t="shared" si="8"/>
        <v>土地级别</v>
      </c>
      <c r="R30" s="629" t="s">
        <v>25</v>
      </c>
      <c r="S30" s="630">
        <f t="shared" si="10"/>
        <v>100</v>
      </c>
      <c r="T30" s="629" t="s">
        <v>25</v>
      </c>
      <c r="U30" s="630">
        <f t="shared" si="11"/>
        <v>100</v>
      </c>
      <c r="V30" s="629" t="s">
        <v>25</v>
      </c>
      <c r="W30" s="630">
        <f t="shared" si="12"/>
        <v>100</v>
      </c>
      <c r="X30" s="1302"/>
      <c r="Y30" s="3705"/>
      <c r="Z30" s="1303" t="str">
        <f t="shared" si="13"/>
        <v>土地级别</v>
      </c>
      <c r="AA30" s="1304">
        <f t="shared" si="3"/>
        <v>1</v>
      </c>
      <c r="AB30" s="1304">
        <f t="shared" si="4"/>
        <v>1</v>
      </c>
      <c r="AC30" s="1304">
        <f t="shared" si="5"/>
        <v>1</v>
      </c>
    </row>
    <row r="31" spans="1:29" ht="15.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705"/>
      <c r="Q31" s="1301">
        <f t="shared" si="8"/>
        <v>111</v>
      </c>
      <c r="R31" s="629" t="s">
        <v>25</v>
      </c>
      <c r="S31" s="630">
        <f t="shared" si="10"/>
        <v>100</v>
      </c>
      <c r="T31" s="629" t="s">
        <v>25</v>
      </c>
      <c r="U31" s="630">
        <f t="shared" si="11"/>
        <v>100</v>
      </c>
      <c r="V31" s="629" t="s">
        <v>25</v>
      </c>
      <c r="W31" s="630">
        <f t="shared" si="12"/>
        <v>100</v>
      </c>
      <c r="X31" s="1302"/>
      <c r="Y31" s="3705"/>
      <c r="Z31" s="1303">
        <f t="shared" si="13"/>
        <v>111</v>
      </c>
      <c r="AA31" s="1304">
        <f t="shared" si="3"/>
        <v>1</v>
      </c>
      <c r="AB31" s="1304">
        <f t="shared" si="4"/>
        <v>1</v>
      </c>
      <c r="AC31" s="1304">
        <f t="shared" si="5"/>
        <v>1</v>
      </c>
    </row>
    <row r="32" spans="1:29" ht="15.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707" t="s">
        <v>2215</v>
      </c>
      <c r="Q32" s="1301">
        <f t="shared" si="8"/>
        <v>111</v>
      </c>
      <c r="R32" s="629" t="s">
        <v>25</v>
      </c>
      <c r="S32" s="630">
        <f t="shared" si="10"/>
        <v>100</v>
      </c>
      <c r="T32" s="629" t="s">
        <v>25</v>
      </c>
      <c r="U32" s="630">
        <f t="shared" si="11"/>
        <v>100</v>
      </c>
      <c r="V32" s="629" t="s">
        <v>25</v>
      </c>
      <c r="W32" s="630">
        <f t="shared" si="12"/>
        <v>100</v>
      </c>
      <c r="X32" s="1302"/>
      <c r="Y32" s="3708" t="s">
        <v>2215</v>
      </c>
      <c r="Z32" s="1303">
        <f t="shared" si="13"/>
        <v>111</v>
      </c>
      <c r="AA32" s="1304">
        <f t="shared" si="3"/>
        <v>1</v>
      </c>
      <c r="AB32" s="1304">
        <f t="shared" si="4"/>
        <v>1</v>
      </c>
      <c r="AC32" s="1304">
        <f t="shared" si="5"/>
        <v>1</v>
      </c>
    </row>
    <row r="33" spans="1:29" s="359" customFormat="1" ht="1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708"/>
      <c r="Q33" s="1301">
        <f t="shared" si="8"/>
        <v>111</v>
      </c>
      <c r="R33" s="632" t="s">
        <v>25</v>
      </c>
      <c r="S33" s="633">
        <f t="shared" si="10"/>
        <v>100</v>
      </c>
      <c r="T33" s="632" t="s">
        <v>25</v>
      </c>
      <c r="U33" s="633">
        <f t="shared" si="11"/>
        <v>100</v>
      </c>
      <c r="V33" s="632" t="s">
        <v>25</v>
      </c>
      <c r="W33" s="633">
        <f t="shared" si="12"/>
        <v>100</v>
      </c>
      <c r="X33" s="634"/>
      <c r="Y33" s="3708"/>
      <c r="Z33" s="635">
        <f t="shared" si="13"/>
        <v>111</v>
      </c>
      <c r="AA33" s="1304">
        <f t="shared" si="3"/>
        <v>1</v>
      </c>
      <c r="AB33" s="1304">
        <f t="shared" si="4"/>
        <v>1</v>
      </c>
      <c r="AC33" s="1304">
        <f t="shared" si="5"/>
        <v>1</v>
      </c>
    </row>
    <row r="34" spans="1:29" ht="15.5">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708"/>
      <c r="Q34" s="1301" t="str">
        <f>B34</f>
        <v>宗地面积</v>
      </c>
      <c r="R34" s="629" t="s">
        <v>25</v>
      </c>
      <c r="S34" s="630" t="e">
        <f t="shared" si="10"/>
        <v>#N/A</v>
      </c>
      <c r="T34" s="629" t="s">
        <v>25</v>
      </c>
      <c r="U34" s="630" t="e">
        <f t="shared" si="11"/>
        <v>#N/A</v>
      </c>
      <c r="V34" s="629" t="s">
        <v>25</v>
      </c>
      <c r="W34" s="630" t="e">
        <f t="shared" si="12"/>
        <v>#N/A</v>
      </c>
      <c r="X34" s="1302"/>
      <c r="Y34" s="3708"/>
      <c r="Z34" s="1303" t="str">
        <f t="shared" si="13"/>
        <v>宗地面积</v>
      </c>
      <c r="AA34" s="1304" t="e">
        <f t="shared" si="3"/>
        <v>#N/A</v>
      </c>
      <c r="AB34" s="1304" t="e">
        <f t="shared" si="4"/>
        <v>#N/A</v>
      </c>
      <c r="AC34" s="1304" t="e">
        <f t="shared" si="5"/>
        <v>#N/A</v>
      </c>
    </row>
    <row r="35" spans="1:29" ht="15.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708"/>
      <c r="Q35" s="1301" t="str">
        <f t="shared" ref="Q35:Q40" si="14">B35</f>
        <v>宗地形状</v>
      </c>
      <c r="R35" s="629" t="s">
        <v>25</v>
      </c>
      <c r="S35" s="630">
        <f t="shared" si="10"/>
        <v>100</v>
      </c>
      <c r="T35" s="629" t="s">
        <v>25</v>
      </c>
      <c r="U35" s="630">
        <f t="shared" si="11"/>
        <v>100</v>
      </c>
      <c r="V35" s="629" t="s">
        <v>25</v>
      </c>
      <c r="W35" s="630">
        <f t="shared" si="12"/>
        <v>100</v>
      </c>
      <c r="X35" s="1302"/>
      <c r="Y35" s="3708"/>
      <c r="Z35" s="1303" t="str">
        <f t="shared" si="13"/>
        <v>宗地形状</v>
      </c>
      <c r="AA35" s="1304">
        <f t="shared" si="3"/>
        <v>1</v>
      </c>
      <c r="AB35" s="1304">
        <f t="shared" si="4"/>
        <v>1</v>
      </c>
      <c r="AC35" s="1304">
        <f t="shared" si="5"/>
        <v>1</v>
      </c>
    </row>
    <row r="36" spans="1:29" s="25" customFormat="1" ht="15.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708"/>
      <c r="Q36" s="1301" t="str">
        <f t="shared" si="14"/>
        <v>宗地开发程度</v>
      </c>
      <c r="R36" s="625" t="s">
        <v>25</v>
      </c>
      <c r="S36" s="626">
        <f t="shared" si="10"/>
        <v>100</v>
      </c>
      <c r="T36" s="625" t="s">
        <v>25</v>
      </c>
      <c r="U36" s="626">
        <f t="shared" si="11"/>
        <v>100</v>
      </c>
      <c r="V36" s="625" t="s">
        <v>25</v>
      </c>
      <c r="W36" s="626">
        <f t="shared" si="12"/>
        <v>100</v>
      </c>
      <c r="X36" s="627"/>
      <c r="Y36" s="3708"/>
      <c r="Z36" s="19" t="str">
        <f t="shared" si="13"/>
        <v>宗地开发程度</v>
      </c>
      <c r="AA36" s="628">
        <f t="shared" si="3"/>
        <v>1</v>
      </c>
      <c r="AB36" s="628">
        <f t="shared" si="4"/>
        <v>1</v>
      </c>
      <c r="AC36" s="628">
        <f t="shared" si="5"/>
        <v>1</v>
      </c>
    </row>
    <row r="37" spans="1:29" ht="15.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708" t="s">
        <v>2215</v>
      </c>
      <c r="Q37" s="1301" t="str">
        <f t="shared" si="14"/>
        <v>工程地质条件</v>
      </c>
      <c r="R37" s="629" t="s">
        <v>25</v>
      </c>
      <c r="S37" s="630">
        <f t="shared" si="10"/>
        <v>100</v>
      </c>
      <c r="T37" s="629" t="s">
        <v>25</v>
      </c>
      <c r="U37" s="630">
        <f t="shared" si="11"/>
        <v>100</v>
      </c>
      <c r="V37" s="629" t="s">
        <v>25</v>
      </c>
      <c r="W37" s="630">
        <f t="shared" si="12"/>
        <v>100</v>
      </c>
      <c r="X37" s="1302"/>
      <c r="Y37" s="3708" t="s">
        <v>2215</v>
      </c>
      <c r="Z37" s="1303" t="str">
        <f t="shared" si="13"/>
        <v>工程地质条件</v>
      </c>
      <c r="AA37" s="1304">
        <f t="shared" si="3"/>
        <v>1</v>
      </c>
      <c r="AB37" s="1304">
        <f t="shared" si="4"/>
        <v>1</v>
      </c>
      <c r="AC37" s="1304">
        <f t="shared" si="5"/>
        <v>1</v>
      </c>
    </row>
    <row r="38" spans="1:29" ht="15.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708"/>
      <c r="Q38" s="1301">
        <f t="shared" si="14"/>
        <v>111</v>
      </c>
      <c r="R38" s="629" t="s">
        <v>25</v>
      </c>
      <c r="S38" s="630">
        <f t="shared" si="10"/>
        <v>100</v>
      </c>
      <c r="T38" s="629" t="s">
        <v>25</v>
      </c>
      <c r="U38" s="630">
        <f t="shared" si="11"/>
        <v>100</v>
      </c>
      <c r="V38" s="629" t="s">
        <v>25</v>
      </c>
      <c r="W38" s="630">
        <f t="shared" si="12"/>
        <v>100</v>
      </c>
      <c r="X38" s="1302"/>
      <c r="Y38" s="3708"/>
      <c r="Z38" s="1303">
        <f t="shared" si="13"/>
        <v>111</v>
      </c>
      <c r="AA38" s="1304">
        <f t="shared" si="3"/>
        <v>1</v>
      </c>
      <c r="AB38" s="1304">
        <f t="shared" si="4"/>
        <v>1</v>
      </c>
      <c r="AC38" s="1304">
        <f t="shared" si="5"/>
        <v>1</v>
      </c>
    </row>
    <row r="39" spans="1:29" ht="15.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708"/>
      <c r="Q39" s="1301">
        <f t="shared" si="14"/>
        <v>111</v>
      </c>
      <c r="R39" s="629" t="s">
        <v>25</v>
      </c>
      <c r="S39" s="630">
        <f t="shared" si="10"/>
        <v>100</v>
      </c>
      <c r="T39" s="629" t="s">
        <v>25</v>
      </c>
      <c r="U39" s="630">
        <f t="shared" si="11"/>
        <v>100</v>
      </c>
      <c r="V39" s="629" t="s">
        <v>25</v>
      </c>
      <c r="W39" s="630">
        <f t="shared" si="12"/>
        <v>100</v>
      </c>
      <c r="X39" s="1302"/>
      <c r="Y39" s="3708"/>
      <c r="Z39" s="1303">
        <f t="shared" si="13"/>
        <v>111</v>
      </c>
      <c r="AA39" s="1304">
        <f t="shared" si="3"/>
        <v>1</v>
      </c>
      <c r="AB39" s="1304">
        <f t="shared" si="4"/>
        <v>1</v>
      </c>
      <c r="AC39" s="1304">
        <f t="shared" si="5"/>
        <v>1</v>
      </c>
    </row>
    <row r="40" spans="1:29" s="359" customFormat="1" ht="1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708"/>
      <c r="Q40" s="1301">
        <f t="shared" si="14"/>
        <v>111</v>
      </c>
      <c r="R40" s="632" t="s">
        <v>25</v>
      </c>
      <c r="S40" s="633">
        <f t="shared" si="10"/>
        <v>100</v>
      </c>
      <c r="T40" s="632" t="s">
        <v>25</v>
      </c>
      <c r="U40" s="633">
        <f t="shared" si="11"/>
        <v>100</v>
      </c>
      <c r="V40" s="632" t="s">
        <v>25</v>
      </c>
      <c r="W40" s="633">
        <f t="shared" si="12"/>
        <v>100</v>
      </c>
      <c r="X40" s="634"/>
      <c r="Y40" s="3708"/>
      <c r="Z40" s="635">
        <f t="shared" si="13"/>
        <v>111</v>
      </c>
      <c r="AA40" s="1304">
        <f t="shared" si="3"/>
        <v>1</v>
      </c>
      <c r="AB40" s="1304">
        <f t="shared" si="4"/>
        <v>1</v>
      </c>
      <c r="AC40" s="1304">
        <f t="shared" si="5"/>
        <v>1</v>
      </c>
    </row>
    <row r="41" spans="1:29">
      <c r="A41" s="367" t="s">
        <v>2357</v>
      </c>
      <c r="B41" s="1558" t="s">
        <v>2432</v>
      </c>
      <c r="C41" s="562" t="s">
        <v>1</v>
      </c>
      <c r="D41" s="369"/>
      <c r="E41" s="370"/>
      <c r="F41" s="371"/>
      <c r="G41" s="372"/>
      <c r="H41" s="373"/>
      <c r="I41" s="370"/>
      <c r="J41" s="373"/>
      <c r="K41" s="638"/>
      <c r="L41" s="2997"/>
      <c r="M41" s="2986"/>
      <c r="N41" s="2986"/>
      <c r="P41" s="3676" t="str">
        <f>A41</f>
        <v>成交单价</v>
      </c>
      <c r="Q41" s="3676"/>
      <c r="R41" s="3700">
        <f>E41</f>
        <v>0</v>
      </c>
      <c r="S41" s="3700"/>
      <c r="T41" s="3700">
        <f>G41</f>
        <v>0</v>
      </c>
      <c r="U41" s="3700"/>
      <c r="V41" s="3700">
        <f>I41</f>
        <v>0</v>
      </c>
      <c r="W41" s="3700"/>
      <c r="X41" s="616"/>
      <c r="Y41" s="636"/>
      <c r="Z41" s="616"/>
      <c r="AA41" s="616"/>
      <c r="AB41" s="616"/>
      <c r="AC41" s="616"/>
    </row>
    <row r="42" spans="1:29" ht="14.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76" t="str">
        <f>A42</f>
        <v>比较价值（元/平方米）</v>
      </c>
      <c r="Q42" s="3676"/>
      <c r="R42" s="3717" t="e">
        <f>ROUND(PRODUCT(R41,AA7:AA40),0)</f>
        <v>#DIV/0!</v>
      </c>
      <c r="S42" s="3717"/>
      <c r="T42" s="3717" t="e">
        <f>ROUND(PRODUCT(T41,AB7:AB40),0)</f>
        <v>#DIV/0!</v>
      </c>
      <c r="U42" s="3717"/>
      <c r="V42" s="3717" t="e">
        <f>ROUND(PRODUCT(V41,AC7:AC40),0)</f>
        <v>#DIV/0!</v>
      </c>
      <c r="W42" s="3717"/>
      <c r="X42" s="616"/>
      <c r="Y42" s="616"/>
      <c r="Z42" s="616"/>
      <c r="AA42" s="616"/>
      <c r="AB42" s="616"/>
      <c r="AC42" s="616"/>
    </row>
    <row r="43" spans="1:29" ht="14.5" thickBot="1">
      <c r="A43" s="378" t="s">
        <v>2333</v>
      </c>
      <c r="B43" s="379"/>
      <c r="C43" s="380" t="e">
        <f>R43</f>
        <v>#DIV/0!</v>
      </c>
      <c r="D43" s="380"/>
      <c r="E43" s="380"/>
      <c r="F43" s="380"/>
      <c r="G43" s="380"/>
      <c r="H43" s="380"/>
      <c r="I43" s="380"/>
      <c r="J43" s="380"/>
      <c r="K43" s="639"/>
      <c r="L43" s="2997"/>
      <c r="M43" s="2986"/>
      <c r="N43" s="2986"/>
      <c r="P43" s="3711" t="str">
        <f>A43</f>
        <v>估价对象XX用房的比较价值（楼面单价，元/平方米）</v>
      </c>
      <c r="Q43" s="3712"/>
      <c r="R43" s="3716" t="e">
        <f>ROUND(IF(D42="简单平均",AVERAGE(R42:W42),R42*F42+T42*H42+V42*J42),0)</f>
        <v>#DIV/0!</v>
      </c>
      <c r="S43" s="3716"/>
      <c r="T43" s="3716"/>
      <c r="U43" s="3716"/>
      <c r="V43" s="3716"/>
      <c r="W43" s="3716"/>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4.5" thickBot="1">
      <c r="B49" s="2999"/>
      <c r="C49" s="3002"/>
      <c r="K49" s="3001"/>
      <c r="L49" s="2998"/>
    </row>
    <row r="50" spans="1:17" ht="28">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5"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5" thickBot="1">
      <c r="A64" s="618" t="s">
        <v>2315</v>
      </c>
      <c r="B64" s="616"/>
      <c r="C64" s="619"/>
      <c r="D64" s="619"/>
      <c r="E64" s="619"/>
      <c r="F64" s="620"/>
      <c r="G64" s="620"/>
      <c r="H64" s="619"/>
      <c r="I64" s="961"/>
      <c r="J64" s="961"/>
      <c r="K64" s="959"/>
      <c r="L64" s="960"/>
      <c r="M64" s="961"/>
      <c r="N64" s="961"/>
      <c r="O64" s="961"/>
      <c r="P64" s="389"/>
      <c r="Q64" s="390"/>
    </row>
    <row r="65" spans="1:17" s="394" customFormat="1">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4.5" thickBot="1">
      <c r="A67" s="400" t="s">
        <v>2235</v>
      </c>
      <c r="B67" s="401"/>
      <c r="C67" s="402"/>
      <c r="D67" s="403"/>
      <c r="E67" s="403"/>
      <c r="F67" s="403"/>
      <c r="G67" s="403"/>
      <c r="H67" s="403"/>
      <c r="I67" s="403"/>
      <c r="J67" s="403"/>
      <c r="K67" s="403"/>
      <c r="L67" s="403"/>
      <c r="M67" s="404"/>
      <c r="N67" s="403"/>
      <c r="O67" s="1153"/>
      <c r="P67" s="390"/>
      <c r="Q67" s="390"/>
    </row>
    <row r="68" spans="1:17" s="25" customFormat="1">
      <c r="A68" s="406" t="s">
        <v>2200</v>
      </c>
      <c r="B68" s="396"/>
      <c r="C68" s="407" t="s">
        <v>2201</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2238</v>
      </c>
      <c r="B70" s="413" t="s">
        <v>2204</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2207</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4.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2327</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2388</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2424</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2427</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2.5"/>
  <cols>
    <col min="1" max="1" width="9.7265625" style="1591" customWidth="1"/>
    <col min="2" max="2" width="19.26953125" style="1591" customWidth="1"/>
    <col min="3" max="3" width="12.453125" style="1591" customWidth="1"/>
    <col min="4" max="4" width="12" style="1591" customWidth="1"/>
    <col min="5" max="5" width="14.6328125" style="1591" customWidth="1"/>
    <col min="6" max="8" width="12" style="1591" customWidth="1"/>
    <col min="9" max="9" width="12.26953125" style="1591" bestFit="1" customWidth="1"/>
    <col min="10" max="10" width="12" style="1591" customWidth="1"/>
    <col min="11" max="11" width="9.453125" style="1590" customWidth="1"/>
    <col min="12" max="12" width="12" style="1591" customWidth="1"/>
    <col min="13" max="13" width="8.453125" style="1591" customWidth="1"/>
    <col min="14" max="14" width="9.7265625" style="1591" customWidth="1"/>
    <col min="15" max="25" width="12" style="1591" customWidth="1"/>
    <col min="26" max="26" width="9.36328125" style="1591" customWidth="1"/>
    <col min="27" max="32" width="9.36328125" style="2228" customWidth="1"/>
    <col min="33" max="38" width="9.36328125" style="1591" customWidth="1"/>
    <col min="39" max="16384" width="9" style="1591"/>
  </cols>
  <sheetData>
    <row r="1" spans="1:36" ht="30">
      <c r="A1" s="2060" t="s">
        <v>2435</v>
      </c>
      <c r="B1" s="2061"/>
      <c r="C1" s="2062" t="s">
        <v>2436</v>
      </c>
      <c r="D1" s="2063">
        <f>SUM(D29:D30,D33:D39)</f>
        <v>108.17</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6">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5">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5">
      <c r="A4" s="3735"/>
      <c r="B4" s="3736"/>
      <c r="C4" s="3736"/>
      <c r="D4" s="3737"/>
      <c r="E4" s="3737"/>
      <c r="F4" s="3737"/>
      <c r="G4" s="3737"/>
      <c r="H4" s="3737"/>
      <c r="I4" s="3737"/>
      <c r="J4" s="3738"/>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6"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6"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6">
      <c r="A7" s="3739"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5">
      <c r="A8" s="3740"/>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733" t="s">
        <v>2471</v>
      </c>
      <c r="X8" s="3734"/>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5">
      <c r="A9" s="3740"/>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734"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5">
      <c r="A10" s="3740"/>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734"/>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6" thickBot="1">
      <c r="A11" s="3740"/>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734"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6.5" thickBot="1">
      <c r="A12" s="3739">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734"/>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6">
      <c r="A13" s="3741"/>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734"/>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5">
      <c r="A14" s="3741"/>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6" thickBot="1">
      <c r="A15" s="3742"/>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5" customHeight="1">
      <c r="A16" s="3718">
        <f>IF(E2="办公",2,IF(E2="工业",2,IF(E2="住宅",3,IF(E2="商业",IF(C8="不临58条商业街",2,3)))))</f>
        <v>3</v>
      </c>
      <c r="B16" s="1598" t="s">
        <v>2517</v>
      </c>
      <c r="C16" s="1574">
        <f>ROUND(IF(F17="与级别开发程度一致",0,(G17-E17)/C17),0)</f>
        <v>0</v>
      </c>
      <c r="D16" s="3731" t="s">
        <v>2521</v>
      </c>
      <c r="E16" s="3732"/>
      <c r="F16" s="3731" t="s">
        <v>2518</v>
      </c>
      <c r="G16" s="3732"/>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5.5" thickBot="1">
      <c r="A17" s="3719"/>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4.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8.5"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8.5"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5">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8">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4.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4.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4">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4.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4.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ht="26">
      <c r="A29" s="2206"/>
      <c r="B29" s="1587" t="s">
        <v>2559</v>
      </c>
      <c r="C29" s="54">
        <f>ROUND(C5*C18*C19*C20*C21*C24,0)</f>
        <v>0</v>
      </c>
      <c r="D29" s="2207">
        <f>项目基本情况!C12</f>
        <v>108.17</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6.5"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ht="13">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26">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ht="13">
      <c r="A33" s="3728"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ht="13">
      <c r="A34" s="3729"/>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ht="13">
      <c r="A35" s="3729"/>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5" thickBot="1">
      <c r="A36" s="3730"/>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ht="1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ht="1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5"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ht="26">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4.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4">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6">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50">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62.5">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6">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52">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6">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26">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26">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6">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50.5"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4">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6">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26">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62.5">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6">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52">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6">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26">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26">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6">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50.5"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4">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6">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62.5">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62.5">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6">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4">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26">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6">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26">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50">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26.5"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4">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6">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7.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50">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6">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4">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6">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6">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26">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50.5"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ht="13">
      <c r="A90" s="3720" t="s">
        <v>2616</v>
      </c>
      <c r="B90" s="3720"/>
      <c r="C90" s="3720"/>
      <c r="D90" s="3720"/>
      <c r="E90" s="3720"/>
      <c r="F90" s="3720"/>
      <c r="G90" s="3720"/>
      <c r="H90" s="3720"/>
      <c r="I90" s="3720"/>
      <c r="J90" s="3720"/>
      <c r="K90" s="2269"/>
      <c r="L90" s="2269"/>
      <c r="M90" s="2269"/>
      <c r="N90" s="2269"/>
      <c r="Q90" s="3018"/>
      <c r="R90" s="3018"/>
      <c r="S90" s="3018"/>
      <c r="T90" s="3018"/>
      <c r="U90" s="3018"/>
      <c r="V90" s="3018"/>
      <c r="W90" s="3018"/>
    </row>
    <row r="91" spans="1:33" ht="13">
      <c r="A91" s="3722" t="s">
        <v>2617</v>
      </c>
      <c r="B91" s="3722"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ht="13">
      <c r="A92" s="3722"/>
      <c r="B92" s="3722"/>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23"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24"/>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24"/>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24"/>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24"/>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24"/>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ht="13">
      <c r="A99" s="3724"/>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25"/>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ht="13">
      <c r="A101" s="3723"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24"/>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24"/>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24"/>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24"/>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24"/>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24"/>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24"/>
      <c r="B108" s="3726"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25"/>
      <c r="B109" s="3727"/>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ht="13">
      <c r="A110" s="3721" t="s">
        <v>2624</v>
      </c>
      <c r="B110" s="3721"/>
      <c r="C110" s="3721"/>
      <c r="D110" s="3721"/>
      <c r="E110" s="3721"/>
      <c r="F110" s="3721"/>
      <c r="G110" s="3721"/>
      <c r="H110" s="3721"/>
      <c r="I110" s="3721"/>
      <c r="J110" s="3721"/>
      <c r="K110" s="2043"/>
      <c r="L110" s="2043"/>
      <c r="M110" s="2043"/>
      <c r="N110" s="2043"/>
      <c r="Q110" s="3018"/>
      <c r="R110" s="3018"/>
      <c r="S110" s="3018"/>
      <c r="T110" s="3018"/>
      <c r="U110" s="3018"/>
      <c r="V110" s="3018"/>
      <c r="W110" s="3018"/>
    </row>
    <row r="112" spans="1:23" ht="13" thickBot="1"/>
    <row r="113" spans="1:13" ht="26"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ht="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ht="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ht="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ht="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5"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
  <cols>
    <col min="1" max="1" width="12.6328125" style="739" customWidth="1"/>
    <col min="2" max="2" width="10.26953125" style="672" customWidth="1"/>
  </cols>
  <sheetData>
    <row r="1" spans="1:6">
      <c r="A1" s="3743" t="s">
        <v>779</v>
      </c>
      <c r="B1" s="3743"/>
    </row>
    <row r="2" spans="1:6" ht="14.5" thickBot="1">
      <c r="A2" s="839"/>
      <c r="B2" s="839"/>
    </row>
    <row r="3" spans="1:6" ht="14.5" thickBot="1">
      <c r="A3" s="839"/>
      <c r="B3" s="839"/>
      <c r="C3" s="840" t="s">
        <v>780</v>
      </c>
      <c r="D3" s="840" t="s">
        <v>781</v>
      </c>
      <c r="E3" s="840" t="s">
        <v>782</v>
      </c>
      <c r="F3" s="840" t="s">
        <v>783</v>
      </c>
    </row>
    <row r="4" spans="1:6" ht="14.5" thickBot="1">
      <c r="A4" s="841" t="s">
        <v>784</v>
      </c>
      <c r="B4" s="842" t="s">
        <v>785</v>
      </c>
      <c r="C4" s="840"/>
      <c r="D4" s="840"/>
      <c r="E4" s="840"/>
      <c r="F4" s="840"/>
    </row>
    <row r="5" spans="1:6" ht="14.5" thickBot="1">
      <c r="A5" s="715" t="s">
        <v>786</v>
      </c>
      <c r="B5" s="716" t="s">
        <v>787</v>
      </c>
      <c r="C5" s="843">
        <v>8.8999999999999996E-2</v>
      </c>
      <c r="D5" s="843">
        <v>7.3999999999999996E-2</v>
      </c>
      <c r="E5" s="843">
        <v>7.4999999999999997E-2</v>
      </c>
      <c r="F5" s="844">
        <v>0.1</v>
      </c>
    </row>
    <row r="6" spans="1:6" ht="14.5" thickBot="1">
      <c r="A6" s="715" t="s">
        <v>161</v>
      </c>
      <c r="B6" s="709" t="s">
        <v>788</v>
      </c>
      <c r="C6" s="845">
        <v>0.1</v>
      </c>
      <c r="D6" s="845">
        <v>9.0999999999999998E-2</v>
      </c>
      <c r="E6" s="845">
        <v>9.0999999999999998E-2</v>
      </c>
      <c r="F6" s="846">
        <v>0.1</v>
      </c>
    </row>
    <row r="7" spans="1:6" ht="14.5" thickBot="1">
      <c r="A7" s="715" t="s">
        <v>161</v>
      </c>
      <c r="B7" s="723" t="s">
        <v>150</v>
      </c>
      <c r="C7" s="845">
        <v>8.5999999999999993E-2</v>
      </c>
      <c r="D7" s="845">
        <v>9.6000000000000002E-2</v>
      </c>
      <c r="E7" s="845">
        <v>7.5999999999999998E-2</v>
      </c>
      <c r="F7" s="846">
        <v>0.1</v>
      </c>
    </row>
    <row r="8" spans="1:6" ht="14.5" thickBot="1">
      <c r="A8" s="715" t="s">
        <v>161</v>
      </c>
      <c r="B8" s="709" t="s">
        <v>162</v>
      </c>
      <c r="C8" s="845">
        <v>9.9000000000000005E-2</v>
      </c>
      <c r="D8" s="845">
        <v>9.8000000000000004E-2</v>
      </c>
      <c r="E8" s="845">
        <v>9.8000000000000004E-2</v>
      </c>
      <c r="F8" s="846">
        <v>0.1</v>
      </c>
    </row>
    <row r="9" spans="1:6" ht="14.5" thickBot="1">
      <c r="A9" s="732" t="s">
        <v>161</v>
      </c>
      <c r="B9" s="724" t="s">
        <v>174</v>
      </c>
      <c r="C9" s="847">
        <v>0.05</v>
      </c>
      <c r="D9" s="848"/>
      <c r="E9" s="848"/>
      <c r="F9" s="849"/>
    </row>
    <row r="10" spans="1:6" ht="14.5" thickBot="1">
      <c r="A10" s="715" t="s">
        <v>221</v>
      </c>
      <c r="B10" s="716" t="s">
        <v>789</v>
      </c>
      <c r="C10" s="843">
        <v>8.8999999999999996E-2</v>
      </c>
      <c r="D10" s="843">
        <v>7.2999999999999995E-2</v>
      </c>
      <c r="E10" s="843">
        <v>8.2000000000000003E-2</v>
      </c>
      <c r="F10" s="844">
        <v>0.1</v>
      </c>
    </row>
    <row r="11" spans="1:6" ht="14.5" thickBot="1">
      <c r="A11" s="715" t="s">
        <v>221</v>
      </c>
      <c r="B11" s="723" t="s">
        <v>137</v>
      </c>
      <c r="C11" s="845">
        <v>8.8999999999999996E-2</v>
      </c>
      <c r="D11" s="845">
        <v>7.2999999999999995E-2</v>
      </c>
      <c r="E11" s="845">
        <v>8.2000000000000003E-2</v>
      </c>
      <c r="F11" s="846">
        <v>0.1</v>
      </c>
    </row>
    <row r="12" spans="1:6" ht="14.5" thickBot="1">
      <c r="A12" s="715" t="s">
        <v>221</v>
      </c>
      <c r="B12" s="723" t="s">
        <v>88</v>
      </c>
      <c r="C12" s="845">
        <v>6.0999999999999999E-2</v>
      </c>
      <c r="D12" s="845">
        <v>7.0999999999999994E-2</v>
      </c>
      <c r="E12" s="845">
        <v>9.6000000000000002E-2</v>
      </c>
      <c r="F12" s="846">
        <v>0.1</v>
      </c>
    </row>
    <row r="13" spans="1:6" ht="14.5" thickBot="1">
      <c r="A13" s="715" t="s">
        <v>221</v>
      </c>
      <c r="B13" s="723" t="s">
        <v>163</v>
      </c>
      <c r="C13" s="845">
        <v>6.9000000000000006E-2</v>
      </c>
      <c r="D13" s="845">
        <v>6.5000000000000002E-2</v>
      </c>
      <c r="E13" s="845">
        <v>6.6000000000000003E-2</v>
      </c>
      <c r="F13" s="846">
        <v>0.1</v>
      </c>
    </row>
    <row r="14" spans="1:6" ht="14.5" thickBot="1">
      <c r="A14" s="715" t="s">
        <v>221</v>
      </c>
      <c r="B14" s="723" t="s">
        <v>175</v>
      </c>
      <c r="C14" s="845">
        <v>0.1</v>
      </c>
      <c r="D14" s="845">
        <v>6.5000000000000002E-2</v>
      </c>
      <c r="E14" s="845">
        <v>7.0000000000000007E-2</v>
      </c>
      <c r="F14" s="846">
        <v>0.1</v>
      </c>
    </row>
    <row r="15" spans="1:6" ht="14.5" thickBot="1">
      <c r="A15" s="715" t="s">
        <v>221</v>
      </c>
      <c r="B15" s="723" t="s">
        <v>187</v>
      </c>
      <c r="C15" s="845">
        <v>9.8000000000000004E-2</v>
      </c>
      <c r="D15" s="845">
        <v>8.8999999999999996E-2</v>
      </c>
      <c r="E15" s="845">
        <v>8.8999999999999996E-2</v>
      </c>
      <c r="F15" s="846">
        <v>0.1</v>
      </c>
    </row>
    <row r="16" spans="1:6" ht="14.5" thickBot="1">
      <c r="A16" s="715" t="s">
        <v>221</v>
      </c>
      <c r="B16" s="723" t="s">
        <v>199</v>
      </c>
      <c r="C16" s="845">
        <v>7.0000000000000007E-2</v>
      </c>
      <c r="D16" s="845">
        <v>9.2999999999999999E-2</v>
      </c>
      <c r="E16" s="845">
        <v>9.6000000000000002E-2</v>
      </c>
      <c r="F16" s="846">
        <v>0.1</v>
      </c>
    </row>
    <row r="17" spans="1:6" ht="14.5" thickBot="1">
      <c r="A17" s="715" t="s">
        <v>221</v>
      </c>
      <c r="B17" s="723" t="s">
        <v>211</v>
      </c>
      <c r="C17" s="845">
        <v>9.5000000000000001E-2</v>
      </c>
      <c r="D17" s="845">
        <v>0.1</v>
      </c>
      <c r="E17" s="845">
        <v>0.1</v>
      </c>
      <c r="F17" s="850"/>
    </row>
    <row r="18" spans="1:6" ht="14.5" thickBot="1">
      <c r="A18" s="715" t="s">
        <v>221</v>
      </c>
      <c r="B18" s="723" t="s">
        <v>224</v>
      </c>
      <c r="C18" s="845">
        <v>7.3999999999999996E-2</v>
      </c>
      <c r="D18" s="845">
        <v>9.9000000000000005E-2</v>
      </c>
      <c r="E18" s="845">
        <v>0.1</v>
      </c>
      <c r="F18" s="850"/>
    </row>
    <row r="19" spans="1:6" ht="14.5" thickBot="1">
      <c r="A19" s="715" t="s">
        <v>221</v>
      </c>
      <c r="B19" s="723" t="s">
        <v>235</v>
      </c>
      <c r="C19" s="845">
        <v>9.9000000000000005E-2</v>
      </c>
      <c r="D19" s="845">
        <v>7.5999999999999998E-2</v>
      </c>
      <c r="E19" s="845">
        <v>8.6999999999999994E-2</v>
      </c>
      <c r="F19" s="850"/>
    </row>
    <row r="20" spans="1:6" ht="14.5" thickBot="1">
      <c r="A20" s="715" t="s">
        <v>221</v>
      </c>
      <c r="B20" s="723" t="s">
        <v>246</v>
      </c>
      <c r="C20" s="845">
        <v>9.8000000000000004E-2</v>
      </c>
      <c r="D20" s="845">
        <v>8.5000000000000006E-2</v>
      </c>
      <c r="E20" s="845">
        <v>8.2000000000000003E-2</v>
      </c>
      <c r="F20" s="850"/>
    </row>
    <row r="21" spans="1:6" ht="14.5" thickBot="1">
      <c r="A21" s="715" t="s">
        <v>221</v>
      </c>
      <c r="B21" s="723" t="s">
        <v>257</v>
      </c>
      <c r="C21" s="845">
        <v>6.6000000000000003E-2</v>
      </c>
      <c r="D21" s="845">
        <v>6.4000000000000001E-2</v>
      </c>
      <c r="E21" s="845">
        <v>6.5000000000000002E-2</v>
      </c>
      <c r="F21" s="850"/>
    </row>
    <row r="22" spans="1:6" ht="14.5" thickBot="1">
      <c r="A22" s="715" t="s">
        <v>221</v>
      </c>
      <c r="B22" s="723" t="s">
        <v>790</v>
      </c>
      <c r="C22" s="845">
        <v>0.08</v>
      </c>
      <c r="D22" s="845">
        <v>9.8000000000000004E-2</v>
      </c>
      <c r="E22" s="845">
        <v>9.8000000000000004E-2</v>
      </c>
      <c r="F22" s="850"/>
    </row>
    <row r="23" spans="1:6" ht="14.5" thickBot="1">
      <c r="A23" s="715" t="s">
        <v>221</v>
      </c>
      <c r="B23" s="723" t="s">
        <v>279</v>
      </c>
      <c r="C23" s="845">
        <v>9.9000000000000005E-2</v>
      </c>
      <c r="D23" s="845">
        <v>9.8000000000000004E-2</v>
      </c>
      <c r="E23" s="845">
        <v>9.0999999999999998E-2</v>
      </c>
      <c r="F23" s="850"/>
    </row>
    <row r="24" spans="1:6" ht="14.5" thickBot="1">
      <c r="A24" s="715" t="s">
        <v>221</v>
      </c>
      <c r="B24" s="723" t="s">
        <v>290</v>
      </c>
      <c r="C24" s="845">
        <v>8.8999999999999996E-2</v>
      </c>
      <c r="D24" s="845">
        <v>9.7000000000000003E-2</v>
      </c>
      <c r="E24" s="845">
        <v>7.0000000000000007E-2</v>
      </c>
      <c r="F24" s="850"/>
    </row>
    <row r="25" spans="1:6" ht="14.5" thickBot="1">
      <c r="A25" s="715" t="s">
        <v>221</v>
      </c>
      <c r="B25" s="723" t="s">
        <v>300</v>
      </c>
      <c r="C25" s="845">
        <v>8.8999999999999996E-2</v>
      </c>
      <c r="D25" s="845">
        <v>0.1</v>
      </c>
      <c r="E25" s="845">
        <v>8.1000000000000003E-2</v>
      </c>
      <c r="F25" s="850"/>
    </row>
    <row r="26" spans="1:6" ht="14.5" thickBot="1">
      <c r="A26" s="715" t="s">
        <v>221</v>
      </c>
      <c r="B26" s="723" t="s">
        <v>310</v>
      </c>
      <c r="C26" s="851"/>
      <c r="D26" s="845">
        <v>9.6000000000000002E-2</v>
      </c>
      <c r="E26" s="845">
        <v>9.2999999999999999E-2</v>
      </c>
      <c r="F26" s="850"/>
    </row>
    <row r="27" spans="1:6" ht="14.5" thickBot="1">
      <c r="A27" s="715" t="s">
        <v>221</v>
      </c>
      <c r="B27" s="723" t="s">
        <v>320</v>
      </c>
      <c r="C27" s="851"/>
      <c r="D27" s="845">
        <v>7.5999999999999998E-2</v>
      </c>
      <c r="E27" s="845">
        <v>9.1999999999999998E-2</v>
      </c>
      <c r="F27" s="850"/>
    </row>
    <row r="28" spans="1:6" ht="14.5" thickBot="1">
      <c r="A28" s="732" t="s">
        <v>221</v>
      </c>
      <c r="B28" s="724" t="s">
        <v>330</v>
      </c>
      <c r="C28" s="848"/>
      <c r="D28" s="847">
        <v>7.5999999999999998E-2</v>
      </c>
      <c r="E28" s="847">
        <v>9.1999999999999998E-2</v>
      </c>
      <c r="F28" s="849"/>
    </row>
    <row r="29" spans="1:6" ht="14.5" thickBot="1">
      <c r="A29" s="715" t="s">
        <v>399</v>
      </c>
      <c r="B29" s="716" t="s">
        <v>791</v>
      </c>
      <c r="C29" s="843">
        <v>6.4000000000000001E-2</v>
      </c>
      <c r="D29" s="843">
        <v>6.5000000000000002E-2</v>
      </c>
      <c r="E29" s="843">
        <v>6.9000000000000006E-2</v>
      </c>
      <c r="F29" s="844">
        <v>0.1</v>
      </c>
    </row>
    <row r="30" spans="1:6" ht="14.5" thickBot="1">
      <c r="A30" s="715" t="s">
        <v>399</v>
      </c>
      <c r="B30" s="723" t="s">
        <v>138</v>
      </c>
      <c r="C30" s="845">
        <v>6.4000000000000001E-2</v>
      </c>
      <c r="D30" s="845">
        <v>9.9000000000000005E-2</v>
      </c>
      <c r="E30" s="845">
        <v>0.1</v>
      </c>
      <c r="F30" s="846">
        <v>0.1</v>
      </c>
    </row>
    <row r="31" spans="1:6" ht="14.5" thickBot="1">
      <c r="A31" s="715" t="s">
        <v>399</v>
      </c>
      <c r="B31" s="723" t="s">
        <v>151</v>
      </c>
      <c r="C31" s="845">
        <v>0.1</v>
      </c>
      <c r="D31" s="845">
        <v>9.5000000000000001E-2</v>
      </c>
      <c r="E31" s="845">
        <v>8.8999999999999996E-2</v>
      </c>
      <c r="F31" s="846">
        <v>0.1</v>
      </c>
    </row>
    <row r="32" spans="1:6" ht="14.5" thickBot="1">
      <c r="A32" s="715" t="s">
        <v>399</v>
      </c>
      <c r="B32" s="723" t="s">
        <v>164</v>
      </c>
      <c r="C32" s="845">
        <v>0.05</v>
      </c>
      <c r="D32" s="845">
        <v>0.05</v>
      </c>
      <c r="E32" s="845">
        <v>8.7999999999999995E-2</v>
      </c>
      <c r="F32" s="846">
        <v>0.1</v>
      </c>
    </row>
    <row r="33" spans="1:6" ht="14.5" thickBot="1">
      <c r="A33" s="715" t="s">
        <v>399</v>
      </c>
      <c r="B33" s="723" t="s">
        <v>176</v>
      </c>
      <c r="C33" s="845">
        <v>7.4999999999999997E-2</v>
      </c>
      <c r="D33" s="845">
        <v>9.4E-2</v>
      </c>
      <c r="E33" s="845">
        <v>9.7000000000000003E-2</v>
      </c>
      <c r="F33" s="846">
        <v>0.1</v>
      </c>
    </row>
    <row r="34" spans="1:6" ht="14.5" thickBot="1">
      <c r="A34" s="715" t="s">
        <v>399</v>
      </c>
      <c r="B34" s="723" t="s">
        <v>188</v>
      </c>
      <c r="C34" s="845">
        <v>9.8000000000000004E-2</v>
      </c>
      <c r="D34" s="845">
        <v>8.5999999999999993E-2</v>
      </c>
      <c r="E34" s="845">
        <v>9.7000000000000003E-2</v>
      </c>
      <c r="F34" s="846">
        <v>0.1</v>
      </c>
    </row>
    <row r="35" spans="1:6" ht="14.5" thickBot="1">
      <c r="A35" s="715" t="s">
        <v>399</v>
      </c>
      <c r="B35" s="723" t="s">
        <v>200</v>
      </c>
      <c r="C35" s="845">
        <v>5.8999999999999997E-2</v>
      </c>
      <c r="D35" s="845">
        <v>6.5000000000000002E-2</v>
      </c>
      <c r="E35" s="845">
        <v>7.0000000000000007E-2</v>
      </c>
      <c r="F35" s="846">
        <v>0.1</v>
      </c>
    </row>
    <row r="36" spans="1:6" ht="14.5" thickBot="1">
      <c r="A36" s="715" t="s">
        <v>399</v>
      </c>
      <c r="B36" s="723" t="s">
        <v>212</v>
      </c>
      <c r="C36" s="845">
        <v>6.3E-2</v>
      </c>
      <c r="D36" s="845">
        <v>0.1</v>
      </c>
      <c r="E36" s="845">
        <v>0.1</v>
      </c>
      <c r="F36" s="846">
        <v>0.1</v>
      </c>
    </row>
    <row r="37" spans="1:6" ht="14.5" thickBot="1">
      <c r="A37" s="715" t="s">
        <v>399</v>
      </c>
      <c r="B37" s="723" t="s">
        <v>225</v>
      </c>
      <c r="C37" s="845">
        <v>7.3999999999999996E-2</v>
      </c>
      <c r="D37" s="845">
        <v>0.1</v>
      </c>
      <c r="E37" s="845">
        <v>0.1</v>
      </c>
      <c r="F37" s="846">
        <v>0.1</v>
      </c>
    </row>
    <row r="38" spans="1:6" ht="14.5" thickBot="1">
      <c r="A38" s="715" t="s">
        <v>399</v>
      </c>
      <c r="B38" s="723" t="s">
        <v>236</v>
      </c>
      <c r="C38" s="845">
        <v>0.1</v>
      </c>
      <c r="D38" s="845">
        <v>9.6000000000000002E-2</v>
      </c>
      <c r="E38" s="845">
        <v>9.6000000000000002E-2</v>
      </c>
      <c r="F38" s="850"/>
    </row>
    <row r="39" spans="1:6" ht="14.5" thickBot="1">
      <c r="A39" s="715" t="s">
        <v>399</v>
      </c>
      <c r="B39" s="723" t="s">
        <v>247</v>
      </c>
      <c r="C39" s="845">
        <v>0.1</v>
      </c>
      <c r="D39" s="845">
        <v>9.6000000000000002E-2</v>
      </c>
      <c r="E39" s="845">
        <v>9.6000000000000002E-2</v>
      </c>
      <c r="F39" s="850"/>
    </row>
    <row r="40" spans="1:6" ht="14.5" thickBot="1">
      <c r="A40" s="715" t="s">
        <v>399</v>
      </c>
      <c r="B40" s="723" t="s">
        <v>258</v>
      </c>
      <c r="C40" s="845">
        <v>9.6000000000000002E-2</v>
      </c>
      <c r="D40" s="845">
        <v>0.1</v>
      </c>
      <c r="E40" s="845">
        <v>9.9000000000000005E-2</v>
      </c>
      <c r="F40" s="850"/>
    </row>
    <row r="41" spans="1:6" ht="14.5" thickBot="1">
      <c r="A41" s="715" t="s">
        <v>399</v>
      </c>
      <c r="B41" s="723" t="s">
        <v>269</v>
      </c>
      <c r="C41" s="845">
        <v>9.6000000000000002E-2</v>
      </c>
      <c r="D41" s="845">
        <v>9.8000000000000004E-2</v>
      </c>
      <c r="E41" s="845">
        <v>9.8000000000000004E-2</v>
      </c>
      <c r="F41" s="850"/>
    </row>
    <row r="42" spans="1:6" ht="14.5" thickBot="1">
      <c r="A42" s="715" t="s">
        <v>399</v>
      </c>
      <c r="B42" s="723" t="s">
        <v>280</v>
      </c>
      <c r="C42" s="845">
        <v>0.1</v>
      </c>
      <c r="D42" s="845">
        <v>8.7999999999999995E-2</v>
      </c>
      <c r="E42" s="845">
        <v>0.1</v>
      </c>
      <c r="F42" s="850"/>
    </row>
    <row r="43" spans="1:6" ht="14.5" thickBot="1">
      <c r="A43" s="715" t="s">
        <v>399</v>
      </c>
      <c r="B43" s="723" t="s">
        <v>291</v>
      </c>
      <c r="C43" s="845">
        <v>9.8000000000000004E-2</v>
      </c>
      <c r="D43" s="845">
        <v>9.7000000000000003E-2</v>
      </c>
      <c r="E43" s="845">
        <v>9.6000000000000002E-2</v>
      </c>
      <c r="F43" s="850"/>
    </row>
    <row r="44" spans="1:6" ht="14.5" thickBot="1">
      <c r="A44" s="715" t="s">
        <v>399</v>
      </c>
      <c r="B44" s="723" t="s">
        <v>301</v>
      </c>
      <c r="C44" s="845">
        <v>8.5999999999999993E-2</v>
      </c>
      <c r="D44" s="845">
        <v>7.9000000000000001E-2</v>
      </c>
      <c r="E44" s="845">
        <v>7.0999999999999994E-2</v>
      </c>
      <c r="F44" s="850"/>
    </row>
    <row r="45" spans="1:6" ht="14.5" thickBot="1">
      <c r="A45" s="715" t="s">
        <v>399</v>
      </c>
      <c r="B45" s="723" t="s">
        <v>311</v>
      </c>
      <c r="C45" s="845">
        <v>9.8000000000000004E-2</v>
      </c>
      <c r="D45" s="845">
        <v>9.6000000000000002E-2</v>
      </c>
      <c r="E45" s="845">
        <v>9.6000000000000002E-2</v>
      </c>
      <c r="F45" s="850"/>
    </row>
    <row r="46" spans="1:6" ht="14.5" thickBot="1">
      <c r="A46" s="715" t="s">
        <v>399</v>
      </c>
      <c r="B46" s="723" t="s">
        <v>321</v>
      </c>
      <c r="C46" s="845">
        <v>8.5999999999999993E-2</v>
      </c>
      <c r="D46" s="845">
        <v>9.8000000000000004E-2</v>
      </c>
      <c r="E46" s="845">
        <v>8.7999999999999995E-2</v>
      </c>
      <c r="F46" s="850"/>
    </row>
    <row r="47" spans="1:6" ht="14.5" thickBot="1">
      <c r="A47" s="715" t="s">
        <v>399</v>
      </c>
      <c r="B47" s="723" t="s">
        <v>331</v>
      </c>
      <c r="C47" s="845">
        <v>9.6000000000000002E-2</v>
      </c>
      <c r="D47" s="851"/>
      <c r="E47" s="845">
        <v>6.9000000000000006E-2</v>
      </c>
      <c r="F47" s="850"/>
    </row>
    <row r="48" spans="1:6" ht="14.5" thickBot="1">
      <c r="A48" s="732" t="s">
        <v>399</v>
      </c>
      <c r="B48" s="724" t="s">
        <v>340</v>
      </c>
      <c r="C48" s="847">
        <v>9.8000000000000004E-2</v>
      </c>
      <c r="D48" s="848"/>
      <c r="E48" s="847">
        <v>9.5000000000000001E-2</v>
      </c>
      <c r="F48" s="849"/>
    </row>
    <row r="49" spans="1:6" ht="14.5" thickBot="1">
      <c r="A49" s="715" t="s">
        <v>87</v>
      </c>
      <c r="B49" s="716" t="s">
        <v>792</v>
      </c>
      <c r="C49" s="843">
        <v>9.7000000000000003E-2</v>
      </c>
      <c r="D49" s="843">
        <v>9.5000000000000001E-2</v>
      </c>
      <c r="E49" s="843">
        <v>9.7000000000000003E-2</v>
      </c>
      <c r="F49" s="844">
        <v>0.1</v>
      </c>
    </row>
    <row r="50" spans="1:6" ht="14.5" thickBot="1">
      <c r="A50" s="715" t="s">
        <v>87</v>
      </c>
      <c r="B50" s="709" t="s">
        <v>139</v>
      </c>
      <c r="C50" s="845">
        <v>7.4999999999999997E-2</v>
      </c>
      <c r="D50" s="845">
        <v>9.5000000000000001E-2</v>
      </c>
      <c r="E50" s="845">
        <v>0.1</v>
      </c>
      <c r="F50" s="846">
        <v>0.1</v>
      </c>
    </row>
    <row r="51" spans="1:6" ht="14.5" thickBot="1">
      <c r="A51" s="715" t="s">
        <v>87</v>
      </c>
      <c r="B51" s="709" t="s">
        <v>152</v>
      </c>
      <c r="C51" s="845">
        <v>9.8000000000000004E-2</v>
      </c>
      <c r="D51" s="845">
        <v>8.8999999999999996E-2</v>
      </c>
      <c r="E51" s="845">
        <v>0.1</v>
      </c>
      <c r="F51" s="846">
        <v>0.1</v>
      </c>
    </row>
    <row r="52" spans="1:6" ht="14.5" thickBot="1">
      <c r="A52" s="715" t="s">
        <v>87</v>
      </c>
      <c r="B52" s="709" t="s">
        <v>165</v>
      </c>
      <c r="C52" s="845">
        <v>9.8000000000000004E-2</v>
      </c>
      <c r="D52" s="845">
        <v>9.7000000000000003E-2</v>
      </c>
      <c r="E52" s="845">
        <v>8.1000000000000003E-2</v>
      </c>
      <c r="F52" s="846">
        <v>0.1</v>
      </c>
    </row>
    <row r="53" spans="1:6" ht="14.5" thickBot="1">
      <c r="A53" s="715" t="s">
        <v>87</v>
      </c>
      <c r="B53" s="709" t="s">
        <v>177</v>
      </c>
      <c r="C53" s="845">
        <v>9.7000000000000003E-2</v>
      </c>
      <c r="D53" s="845">
        <v>7.5999999999999998E-2</v>
      </c>
      <c r="E53" s="845">
        <v>7.0999999999999994E-2</v>
      </c>
      <c r="F53" s="846">
        <v>0.1</v>
      </c>
    </row>
    <row r="54" spans="1:6" ht="14.5" thickBot="1">
      <c r="A54" s="715" t="s">
        <v>87</v>
      </c>
      <c r="B54" s="709" t="s">
        <v>189</v>
      </c>
      <c r="C54" s="845">
        <v>7.5999999999999998E-2</v>
      </c>
      <c r="D54" s="845">
        <v>0.1</v>
      </c>
      <c r="E54" s="845">
        <v>9.9000000000000005E-2</v>
      </c>
      <c r="F54" s="846">
        <v>0.1</v>
      </c>
    </row>
    <row r="55" spans="1:6" ht="14.5" thickBot="1">
      <c r="A55" s="715" t="s">
        <v>87</v>
      </c>
      <c r="B55" s="709" t="s">
        <v>201</v>
      </c>
      <c r="C55" s="845">
        <v>0.1</v>
      </c>
      <c r="D55" s="845">
        <v>0.1</v>
      </c>
      <c r="E55" s="845">
        <v>9.6000000000000002E-2</v>
      </c>
      <c r="F55" s="846">
        <v>0.1</v>
      </c>
    </row>
    <row r="56" spans="1:6" ht="14.5" thickBot="1">
      <c r="A56" s="715" t="s">
        <v>87</v>
      </c>
      <c r="B56" s="709" t="s">
        <v>213</v>
      </c>
      <c r="C56" s="845">
        <v>0.1</v>
      </c>
      <c r="D56" s="845">
        <v>9.6000000000000002E-2</v>
      </c>
      <c r="E56" s="845">
        <v>5.1999999999999998E-2</v>
      </c>
      <c r="F56" s="846">
        <v>0.1</v>
      </c>
    </row>
    <row r="57" spans="1:6" ht="14.5" thickBot="1">
      <c r="A57" s="715" t="s">
        <v>87</v>
      </c>
      <c r="B57" s="709" t="s">
        <v>226</v>
      </c>
      <c r="C57" s="845">
        <v>9.7000000000000003E-2</v>
      </c>
      <c r="D57" s="845">
        <v>9.6000000000000002E-2</v>
      </c>
      <c r="E57" s="845">
        <v>9.6000000000000002E-2</v>
      </c>
      <c r="F57" s="846">
        <v>0.1</v>
      </c>
    </row>
    <row r="58" spans="1:6" ht="14.5" thickBot="1">
      <c r="A58" s="715" t="s">
        <v>87</v>
      </c>
      <c r="B58" s="709" t="s">
        <v>237</v>
      </c>
      <c r="C58" s="845">
        <v>9.6000000000000002E-2</v>
      </c>
      <c r="D58" s="845">
        <v>9.9000000000000005E-2</v>
      </c>
      <c r="E58" s="845">
        <v>9.6000000000000002E-2</v>
      </c>
      <c r="F58" s="846">
        <v>0.1</v>
      </c>
    </row>
    <row r="59" spans="1:6" ht="14.5" thickBot="1">
      <c r="A59" s="715" t="s">
        <v>87</v>
      </c>
      <c r="B59" s="709" t="s">
        <v>248</v>
      </c>
      <c r="C59" s="845">
        <v>7.1999999999999995E-2</v>
      </c>
      <c r="D59" s="845">
        <v>9.6000000000000002E-2</v>
      </c>
      <c r="E59" s="845">
        <v>7.0999999999999994E-2</v>
      </c>
      <c r="F59" s="846">
        <v>0.1</v>
      </c>
    </row>
    <row r="60" spans="1:6" ht="14.5" thickBot="1">
      <c r="A60" s="715" t="s">
        <v>87</v>
      </c>
      <c r="B60" s="709" t="s">
        <v>259</v>
      </c>
      <c r="C60" s="845">
        <v>9.6000000000000002E-2</v>
      </c>
      <c r="D60" s="845">
        <v>8.8999999999999996E-2</v>
      </c>
      <c r="E60" s="845">
        <v>9.6000000000000002E-2</v>
      </c>
      <c r="F60" s="846">
        <v>0.1</v>
      </c>
    </row>
    <row r="61" spans="1:6" ht="14.5" thickBot="1">
      <c r="A61" s="715" t="s">
        <v>87</v>
      </c>
      <c r="B61" s="709" t="s">
        <v>270</v>
      </c>
      <c r="C61" s="845">
        <v>8.8999999999999996E-2</v>
      </c>
      <c r="D61" s="845">
        <v>9.8000000000000004E-2</v>
      </c>
      <c r="E61" s="845">
        <v>8.7999999999999995E-2</v>
      </c>
      <c r="F61" s="850"/>
    </row>
    <row r="62" spans="1:6" ht="14.5" thickBot="1">
      <c r="A62" s="715" t="s">
        <v>87</v>
      </c>
      <c r="B62" s="709" t="s">
        <v>281</v>
      </c>
      <c r="C62" s="845">
        <v>9.8000000000000004E-2</v>
      </c>
      <c r="D62" s="845">
        <v>9.2999999999999999E-2</v>
      </c>
      <c r="E62" s="845">
        <v>9.7000000000000003E-2</v>
      </c>
      <c r="F62" s="850"/>
    </row>
    <row r="63" spans="1:6" ht="14.5" thickBot="1">
      <c r="A63" s="715" t="s">
        <v>87</v>
      </c>
      <c r="B63" s="709" t="s">
        <v>292</v>
      </c>
      <c r="C63" s="845">
        <v>9.6000000000000002E-2</v>
      </c>
      <c r="D63" s="845">
        <v>9.8000000000000004E-2</v>
      </c>
      <c r="E63" s="845">
        <v>0.09</v>
      </c>
      <c r="F63" s="850"/>
    </row>
    <row r="64" spans="1:6" ht="14.5" thickBot="1">
      <c r="A64" s="715" t="s">
        <v>87</v>
      </c>
      <c r="B64" s="709" t="s">
        <v>302</v>
      </c>
      <c r="C64" s="845">
        <v>9.9000000000000005E-2</v>
      </c>
      <c r="D64" s="845">
        <v>9.7000000000000003E-2</v>
      </c>
      <c r="E64" s="845">
        <v>9.9000000000000005E-2</v>
      </c>
      <c r="F64" s="850"/>
    </row>
    <row r="65" spans="1:6" ht="14.5" thickBot="1">
      <c r="A65" s="715" t="s">
        <v>87</v>
      </c>
      <c r="B65" s="709" t="s">
        <v>312</v>
      </c>
      <c r="C65" s="845">
        <v>9.8000000000000004E-2</v>
      </c>
      <c r="D65" s="845">
        <v>9.6000000000000002E-2</v>
      </c>
      <c r="E65" s="845">
        <v>9.6000000000000002E-2</v>
      </c>
      <c r="F65" s="850"/>
    </row>
    <row r="66" spans="1:6" ht="14.5" thickBot="1">
      <c r="A66" s="715" t="s">
        <v>87</v>
      </c>
      <c r="B66" s="709" t="s">
        <v>322</v>
      </c>
      <c r="C66" s="845">
        <v>9.6000000000000002E-2</v>
      </c>
      <c r="D66" s="845">
        <v>9.1999999999999998E-2</v>
      </c>
      <c r="E66" s="845">
        <v>9.6000000000000002E-2</v>
      </c>
      <c r="F66" s="850"/>
    </row>
    <row r="67" spans="1:6" ht="14.5" thickBot="1">
      <c r="A67" s="715" t="s">
        <v>87</v>
      </c>
      <c r="B67" s="709" t="s">
        <v>332</v>
      </c>
      <c r="C67" s="845">
        <v>9.4E-2</v>
      </c>
      <c r="D67" s="845">
        <v>0.1</v>
      </c>
      <c r="E67" s="845">
        <v>8.7999999999999995E-2</v>
      </c>
      <c r="F67" s="850"/>
    </row>
    <row r="68" spans="1:6" ht="14.5" thickBot="1">
      <c r="A68" s="715" t="s">
        <v>87</v>
      </c>
      <c r="B68" s="709" t="s">
        <v>341</v>
      </c>
      <c r="C68" s="845">
        <v>0.1</v>
      </c>
      <c r="D68" s="845">
        <v>8.7999999999999995E-2</v>
      </c>
      <c r="E68" s="845">
        <v>9.7000000000000003E-2</v>
      </c>
      <c r="F68" s="850"/>
    </row>
    <row r="69" spans="1:6" ht="14.5" thickBot="1">
      <c r="A69" s="715" t="s">
        <v>87</v>
      </c>
      <c r="B69" s="709" t="s">
        <v>350</v>
      </c>
      <c r="C69" s="845">
        <v>6.4000000000000001E-2</v>
      </c>
      <c r="D69" s="845">
        <v>0.1</v>
      </c>
      <c r="E69" s="845">
        <v>0.1</v>
      </c>
      <c r="F69" s="850"/>
    </row>
    <row r="70" spans="1:6" ht="14.5" thickBot="1">
      <c r="A70" s="715" t="s">
        <v>87</v>
      </c>
      <c r="B70" s="709" t="s">
        <v>358</v>
      </c>
      <c r="C70" s="845">
        <v>9.0999999999999998E-2</v>
      </c>
      <c r="D70" s="851"/>
      <c r="E70" s="851"/>
      <c r="F70" s="850"/>
    </row>
    <row r="71" spans="1:6" ht="14.5" thickBot="1">
      <c r="A71" s="715" t="s">
        <v>87</v>
      </c>
      <c r="B71" s="709" t="s">
        <v>365</v>
      </c>
      <c r="C71" s="845">
        <v>0.1</v>
      </c>
      <c r="D71" s="851"/>
      <c r="E71" s="851"/>
      <c r="F71" s="850"/>
    </row>
    <row r="72" spans="1:6" ht="26.5" thickBot="1">
      <c r="A72" s="715" t="s">
        <v>87</v>
      </c>
      <c r="B72" s="709" t="s">
        <v>793</v>
      </c>
      <c r="C72" s="851"/>
      <c r="D72" s="851"/>
      <c r="E72" s="851"/>
      <c r="F72" s="846">
        <v>0.05</v>
      </c>
    </row>
    <row r="73" spans="1:6" ht="26.5" thickBot="1">
      <c r="A73" s="715" t="s">
        <v>87</v>
      </c>
      <c r="B73" s="709" t="s">
        <v>794</v>
      </c>
      <c r="C73" s="851"/>
      <c r="D73" s="851"/>
      <c r="E73" s="851"/>
      <c r="F73" s="846">
        <v>0.05</v>
      </c>
    </row>
    <row r="74" spans="1:6" ht="26.5" thickBot="1">
      <c r="A74" s="715" t="s">
        <v>87</v>
      </c>
      <c r="B74" s="709" t="s">
        <v>795</v>
      </c>
      <c r="C74" s="851"/>
      <c r="D74" s="851"/>
      <c r="E74" s="851"/>
      <c r="F74" s="846">
        <v>0.05</v>
      </c>
    </row>
    <row r="75" spans="1:6" ht="26.5" thickBot="1">
      <c r="A75" s="732" t="s">
        <v>87</v>
      </c>
      <c r="B75" s="725" t="s">
        <v>796</v>
      </c>
      <c r="C75" s="848"/>
      <c r="D75" s="848"/>
      <c r="E75" s="848"/>
      <c r="F75" s="852">
        <v>0.05</v>
      </c>
    </row>
    <row r="76" spans="1:6" ht="14.5" thickBot="1">
      <c r="A76" s="715" t="s">
        <v>480</v>
      </c>
      <c r="B76" s="716" t="s">
        <v>797</v>
      </c>
      <c r="C76" s="843">
        <v>0.1</v>
      </c>
      <c r="D76" s="843">
        <v>0.1</v>
      </c>
      <c r="E76" s="843">
        <v>0.1</v>
      </c>
      <c r="F76" s="844">
        <v>0.1</v>
      </c>
    </row>
    <row r="77" spans="1:6" ht="14.5" thickBot="1">
      <c r="A77" s="715" t="s">
        <v>480</v>
      </c>
      <c r="B77" s="709" t="s">
        <v>140</v>
      </c>
      <c r="C77" s="845">
        <v>8.7999999999999995E-2</v>
      </c>
      <c r="D77" s="845">
        <v>8.6999999999999994E-2</v>
      </c>
      <c r="E77" s="845">
        <v>7.9000000000000001E-2</v>
      </c>
      <c r="F77" s="846">
        <v>0.1</v>
      </c>
    </row>
    <row r="78" spans="1:6" ht="14.5" thickBot="1">
      <c r="A78" s="715" t="s">
        <v>480</v>
      </c>
      <c r="B78" s="709" t="s">
        <v>153</v>
      </c>
      <c r="C78" s="845">
        <v>8.6999999999999994E-2</v>
      </c>
      <c r="D78" s="845">
        <v>8.4000000000000005E-2</v>
      </c>
      <c r="E78" s="845">
        <v>9.6000000000000002E-2</v>
      </c>
      <c r="F78" s="846">
        <v>0.1</v>
      </c>
    </row>
    <row r="79" spans="1:6" ht="14.5" thickBot="1">
      <c r="A79" s="715" t="s">
        <v>480</v>
      </c>
      <c r="B79" s="709" t="s">
        <v>166</v>
      </c>
      <c r="C79" s="845">
        <v>9.8000000000000004E-2</v>
      </c>
      <c r="D79" s="845">
        <v>9.8000000000000004E-2</v>
      </c>
      <c r="E79" s="845">
        <v>9.0999999999999998E-2</v>
      </c>
      <c r="F79" s="846">
        <v>0.1</v>
      </c>
    </row>
    <row r="80" spans="1:6" ht="14.5" thickBot="1">
      <c r="A80" s="715" t="s">
        <v>480</v>
      </c>
      <c r="B80" s="709" t="s">
        <v>178</v>
      </c>
      <c r="C80" s="845">
        <v>9.6000000000000002E-2</v>
      </c>
      <c r="D80" s="845">
        <v>9.6000000000000002E-2</v>
      </c>
      <c r="E80" s="845">
        <v>0.1</v>
      </c>
      <c r="F80" s="846">
        <v>0.1</v>
      </c>
    </row>
    <row r="81" spans="1:6" ht="14.5" thickBot="1">
      <c r="A81" s="715" t="s">
        <v>480</v>
      </c>
      <c r="B81" s="709" t="s">
        <v>190</v>
      </c>
      <c r="C81" s="845">
        <v>9.9000000000000005E-2</v>
      </c>
      <c r="D81" s="845">
        <v>9.9000000000000005E-2</v>
      </c>
      <c r="E81" s="845">
        <v>9.8000000000000004E-2</v>
      </c>
      <c r="F81" s="846">
        <v>0.1</v>
      </c>
    </row>
    <row r="82" spans="1:6" ht="14.5" thickBot="1">
      <c r="A82" s="715" t="s">
        <v>480</v>
      </c>
      <c r="B82" s="709" t="s">
        <v>202</v>
      </c>
      <c r="C82" s="845">
        <v>9.9000000000000005E-2</v>
      </c>
      <c r="D82" s="845">
        <v>9.9000000000000005E-2</v>
      </c>
      <c r="E82" s="845">
        <v>9.7000000000000003E-2</v>
      </c>
      <c r="F82" s="846">
        <v>0.1</v>
      </c>
    </row>
    <row r="83" spans="1:6" ht="14.5" thickBot="1">
      <c r="A83" s="715" t="s">
        <v>480</v>
      </c>
      <c r="B83" s="709" t="s">
        <v>214</v>
      </c>
      <c r="C83" s="845">
        <v>9.8000000000000004E-2</v>
      </c>
      <c r="D83" s="845">
        <v>9.8000000000000004E-2</v>
      </c>
      <c r="E83" s="845">
        <v>9.8000000000000004E-2</v>
      </c>
      <c r="F83" s="846">
        <v>0.1</v>
      </c>
    </row>
    <row r="84" spans="1:6" ht="14.5" thickBot="1">
      <c r="A84" s="715" t="s">
        <v>480</v>
      </c>
      <c r="B84" s="709" t="s">
        <v>227</v>
      </c>
      <c r="C84" s="845">
        <v>9.9000000000000005E-2</v>
      </c>
      <c r="D84" s="845">
        <v>9.9000000000000005E-2</v>
      </c>
      <c r="E84" s="845">
        <v>9.9000000000000005E-2</v>
      </c>
      <c r="F84" s="846">
        <v>0.1</v>
      </c>
    </row>
    <row r="85" spans="1:6" ht="14.5" thickBot="1">
      <c r="A85" s="715" t="s">
        <v>480</v>
      </c>
      <c r="B85" s="709" t="s">
        <v>238</v>
      </c>
      <c r="C85" s="845">
        <v>9.9000000000000005E-2</v>
      </c>
      <c r="D85" s="845">
        <v>9.9000000000000005E-2</v>
      </c>
      <c r="E85" s="845">
        <v>9.9000000000000005E-2</v>
      </c>
      <c r="F85" s="846">
        <v>0.1</v>
      </c>
    </row>
    <row r="86" spans="1:6" ht="14.5" thickBot="1">
      <c r="A86" s="715" t="s">
        <v>480</v>
      </c>
      <c r="B86" s="709" t="s">
        <v>249</v>
      </c>
      <c r="C86" s="845">
        <v>0.1</v>
      </c>
      <c r="D86" s="845">
        <v>0.1</v>
      </c>
      <c r="E86" s="845">
        <v>7.6999999999999999E-2</v>
      </c>
      <c r="F86" s="846">
        <v>0.1</v>
      </c>
    </row>
    <row r="87" spans="1:6" ht="14.5" thickBot="1">
      <c r="A87" s="715" t="s">
        <v>480</v>
      </c>
      <c r="B87" s="709" t="s">
        <v>260</v>
      </c>
      <c r="C87" s="845">
        <v>0.1</v>
      </c>
      <c r="D87" s="845">
        <v>0.1</v>
      </c>
      <c r="E87" s="845">
        <v>9.8000000000000004E-2</v>
      </c>
      <c r="F87" s="850"/>
    </row>
    <row r="88" spans="1:6" ht="14.5" thickBot="1">
      <c r="A88" s="715" t="s">
        <v>480</v>
      </c>
      <c r="B88" s="709" t="s">
        <v>271</v>
      </c>
      <c r="C88" s="845">
        <v>9.1999999999999998E-2</v>
      </c>
      <c r="D88" s="845">
        <v>8.5000000000000006E-2</v>
      </c>
      <c r="E88" s="845">
        <v>9.6000000000000002E-2</v>
      </c>
      <c r="F88" s="850"/>
    </row>
    <row r="89" spans="1:6" ht="14.5" thickBot="1">
      <c r="A89" s="715" t="s">
        <v>480</v>
      </c>
      <c r="B89" s="709" t="s">
        <v>282</v>
      </c>
      <c r="C89" s="845">
        <v>0.1</v>
      </c>
      <c r="D89" s="845">
        <v>0.1</v>
      </c>
      <c r="E89" s="845">
        <v>9.7000000000000003E-2</v>
      </c>
      <c r="F89" s="850"/>
    </row>
    <row r="90" spans="1:6" ht="14.5" thickBot="1">
      <c r="A90" s="715" t="s">
        <v>480</v>
      </c>
      <c r="B90" s="709" t="s">
        <v>293</v>
      </c>
      <c r="C90" s="845">
        <v>9.8000000000000004E-2</v>
      </c>
      <c r="D90" s="845">
        <v>9.8000000000000004E-2</v>
      </c>
      <c r="E90" s="845">
        <v>8.7999999999999995E-2</v>
      </c>
      <c r="F90" s="850"/>
    </row>
    <row r="91" spans="1:6" ht="14.5" thickBot="1">
      <c r="A91" s="715" t="s">
        <v>480</v>
      </c>
      <c r="B91" s="709" t="s">
        <v>303</v>
      </c>
      <c r="C91" s="845">
        <v>9.9000000000000005E-2</v>
      </c>
      <c r="D91" s="845">
        <v>9.9000000000000005E-2</v>
      </c>
      <c r="E91" s="845">
        <v>9.0999999999999998E-2</v>
      </c>
      <c r="F91" s="850"/>
    </row>
    <row r="92" spans="1:6" ht="14.5" thickBot="1">
      <c r="A92" s="715" t="s">
        <v>480</v>
      </c>
      <c r="B92" s="709" t="s">
        <v>313</v>
      </c>
      <c r="C92" s="845">
        <v>9.6000000000000002E-2</v>
      </c>
      <c r="D92" s="845">
        <v>9.6000000000000002E-2</v>
      </c>
      <c r="E92" s="845">
        <v>7.2999999999999995E-2</v>
      </c>
      <c r="F92" s="850"/>
    </row>
    <row r="93" spans="1:6" ht="14.5" thickBot="1">
      <c r="A93" s="715" t="s">
        <v>480</v>
      </c>
      <c r="B93" s="709" t="s">
        <v>323</v>
      </c>
      <c r="C93" s="845">
        <v>9.6000000000000002E-2</v>
      </c>
      <c r="D93" s="845">
        <v>9.6000000000000002E-2</v>
      </c>
      <c r="E93" s="845">
        <v>9.9000000000000005E-2</v>
      </c>
      <c r="F93" s="850"/>
    </row>
    <row r="94" spans="1:6" ht="14.5" thickBot="1">
      <c r="A94" s="715" t="s">
        <v>480</v>
      </c>
      <c r="B94" s="709" t="s">
        <v>333</v>
      </c>
      <c r="C94" s="845">
        <v>7.5999999999999998E-2</v>
      </c>
      <c r="D94" s="845">
        <v>7.3999999999999996E-2</v>
      </c>
      <c r="E94" s="845">
        <v>9.7000000000000003E-2</v>
      </c>
      <c r="F94" s="850"/>
    </row>
    <row r="95" spans="1:6" ht="14.5" thickBot="1">
      <c r="A95" s="715" t="s">
        <v>480</v>
      </c>
      <c r="B95" s="709" t="s">
        <v>342</v>
      </c>
      <c r="C95" s="845">
        <v>9.9000000000000005E-2</v>
      </c>
      <c r="D95" s="845">
        <v>9.4E-2</v>
      </c>
      <c r="E95" s="845">
        <v>9.6000000000000002E-2</v>
      </c>
      <c r="F95" s="850"/>
    </row>
    <row r="96" spans="1:6" ht="14.5" thickBot="1">
      <c r="A96" s="715" t="s">
        <v>480</v>
      </c>
      <c r="B96" s="709" t="s">
        <v>351</v>
      </c>
      <c r="C96" s="845">
        <v>9.9000000000000005E-2</v>
      </c>
      <c r="D96" s="845">
        <v>9.9000000000000005E-2</v>
      </c>
      <c r="E96" s="845">
        <v>9.9000000000000005E-2</v>
      </c>
      <c r="F96" s="850"/>
    </row>
    <row r="97" spans="1:6" ht="14.5" thickBot="1">
      <c r="A97" s="715" t="s">
        <v>480</v>
      </c>
      <c r="B97" s="709" t="s">
        <v>359</v>
      </c>
      <c r="C97" s="845">
        <v>9.8000000000000004E-2</v>
      </c>
      <c r="D97" s="845">
        <v>9.8000000000000004E-2</v>
      </c>
      <c r="E97" s="845">
        <v>9.7000000000000003E-2</v>
      </c>
      <c r="F97" s="850"/>
    </row>
    <row r="98" spans="1:6" ht="14.5" thickBot="1">
      <c r="A98" s="715" t="s">
        <v>480</v>
      </c>
      <c r="B98" s="709" t="s">
        <v>366</v>
      </c>
      <c r="C98" s="845">
        <v>0.1</v>
      </c>
      <c r="D98" s="845">
        <v>0.1</v>
      </c>
      <c r="E98" s="845">
        <v>9.7000000000000003E-2</v>
      </c>
      <c r="F98" s="850"/>
    </row>
    <row r="99" spans="1:6" ht="14.5" thickBot="1">
      <c r="A99" s="715" t="s">
        <v>480</v>
      </c>
      <c r="B99" s="709" t="s">
        <v>373</v>
      </c>
      <c r="C99" s="845">
        <v>0.1</v>
      </c>
      <c r="D99" s="845">
        <v>0.1</v>
      </c>
      <c r="E99" s="851"/>
      <c r="F99" s="850"/>
    </row>
    <row r="100" spans="1:6" ht="14.5" thickBot="1">
      <c r="A100" s="715" t="s">
        <v>480</v>
      </c>
      <c r="B100" s="709" t="s">
        <v>380</v>
      </c>
      <c r="C100" s="845">
        <v>0.09</v>
      </c>
      <c r="D100" s="845">
        <v>8.8999999999999996E-2</v>
      </c>
      <c r="E100" s="851"/>
      <c r="F100" s="850"/>
    </row>
    <row r="101" spans="1:6" ht="14.5" thickBot="1">
      <c r="A101" s="715" t="s">
        <v>480</v>
      </c>
      <c r="B101" s="709" t="s">
        <v>387</v>
      </c>
      <c r="C101" s="845">
        <v>9.8000000000000004E-2</v>
      </c>
      <c r="D101" s="845">
        <v>9.7000000000000003E-2</v>
      </c>
      <c r="E101" s="851"/>
      <c r="F101" s="850"/>
    </row>
    <row r="102" spans="1:6" ht="26.5" thickBot="1">
      <c r="A102" s="715" t="s">
        <v>480</v>
      </c>
      <c r="B102" s="709" t="s">
        <v>798</v>
      </c>
      <c r="C102" s="851"/>
      <c r="D102" s="851"/>
      <c r="E102" s="851"/>
      <c r="F102" s="846">
        <v>0.05</v>
      </c>
    </row>
    <row r="103" spans="1:6" ht="26.5" thickBot="1">
      <c r="A103" s="715" t="s">
        <v>480</v>
      </c>
      <c r="B103" s="709" t="s">
        <v>799</v>
      </c>
      <c r="C103" s="851"/>
      <c r="D103" s="851"/>
      <c r="E103" s="851"/>
      <c r="F103" s="846">
        <v>0.05</v>
      </c>
    </row>
    <row r="104" spans="1:6" ht="14.5" thickBot="1">
      <c r="A104" s="715" t="s">
        <v>480</v>
      </c>
      <c r="B104" s="709" t="s">
        <v>800</v>
      </c>
      <c r="C104" s="851"/>
      <c r="D104" s="851"/>
      <c r="E104" s="851"/>
      <c r="F104" s="846">
        <v>0.05</v>
      </c>
    </row>
    <row r="105" spans="1:6" ht="26.5" thickBot="1">
      <c r="A105" s="715" t="s">
        <v>480</v>
      </c>
      <c r="B105" s="709" t="s">
        <v>801</v>
      </c>
      <c r="C105" s="851"/>
      <c r="D105" s="851"/>
      <c r="E105" s="851"/>
      <c r="F105" s="846">
        <v>0.05</v>
      </c>
    </row>
    <row r="106" spans="1:6" ht="26.5" thickBot="1">
      <c r="A106" s="715" t="s">
        <v>480</v>
      </c>
      <c r="B106" s="709" t="s">
        <v>802</v>
      </c>
      <c r="C106" s="851"/>
      <c r="D106" s="851"/>
      <c r="E106" s="851"/>
      <c r="F106" s="846">
        <v>0.05</v>
      </c>
    </row>
    <row r="107" spans="1:6" ht="26.5" thickBot="1">
      <c r="A107" s="715" t="s">
        <v>480</v>
      </c>
      <c r="B107" s="709" t="s">
        <v>803</v>
      </c>
      <c r="C107" s="851"/>
      <c r="D107" s="851"/>
      <c r="E107" s="851"/>
      <c r="F107" s="846">
        <v>0.05</v>
      </c>
    </row>
    <row r="108" spans="1:6" ht="26.5" thickBot="1">
      <c r="A108" s="715" t="s">
        <v>480</v>
      </c>
      <c r="B108" s="709" t="s">
        <v>804</v>
      </c>
      <c r="C108" s="851"/>
      <c r="D108" s="851"/>
      <c r="E108" s="851"/>
      <c r="F108" s="846">
        <v>0.05</v>
      </c>
    </row>
    <row r="109" spans="1:6" ht="26.5" thickBot="1">
      <c r="A109" s="732" t="s">
        <v>480</v>
      </c>
      <c r="B109" s="725" t="s">
        <v>805</v>
      </c>
      <c r="C109" s="848"/>
      <c r="D109" s="848"/>
      <c r="E109" s="848"/>
      <c r="F109" s="852">
        <v>0.05</v>
      </c>
    </row>
    <row r="110" spans="1:6" ht="14.5" thickBot="1">
      <c r="A110" s="715" t="s">
        <v>70</v>
      </c>
      <c r="B110" s="716" t="s">
        <v>806</v>
      </c>
      <c r="C110" s="843">
        <v>0.129</v>
      </c>
      <c r="D110" s="843">
        <v>0.129</v>
      </c>
      <c r="E110" s="843">
        <v>0.126</v>
      </c>
      <c r="F110" s="844">
        <v>0.13</v>
      </c>
    </row>
    <row r="111" spans="1:6" ht="14.5" thickBot="1">
      <c r="A111" s="715" t="s">
        <v>70</v>
      </c>
      <c r="B111" s="709" t="s">
        <v>141</v>
      </c>
      <c r="C111" s="845">
        <v>0.11</v>
      </c>
      <c r="D111" s="845">
        <v>0.11</v>
      </c>
      <c r="E111" s="845">
        <v>9.9000000000000005E-2</v>
      </c>
      <c r="F111" s="846">
        <v>0.128</v>
      </c>
    </row>
    <row r="112" spans="1:6" ht="14.5" thickBot="1">
      <c r="A112" s="715" t="s">
        <v>70</v>
      </c>
      <c r="B112" s="709" t="s">
        <v>154</v>
      </c>
      <c r="C112" s="845">
        <v>0.125</v>
      </c>
      <c r="D112" s="845">
        <v>0.125</v>
      </c>
      <c r="E112" s="845">
        <v>0.12</v>
      </c>
      <c r="F112" s="846">
        <v>0.125</v>
      </c>
    </row>
    <row r="113" spans="1:6" ht="14.5" thickBot="1">
      <c r="A113" s="715" t="s">
        <v>70</v>
      </c>
      <c r="B113" s="709" t="s">
        <v>167</v>
      </c>
      <c r="C113" s="845">
        <v>0.13</v>
      </c>
      <c r="D113" s="845">
        <v>0.13</v>
      </c>
      <c r="E113" s="845">
        <v>0.13</v>
      </c>
      <c r="F113" s="846">
        <v>0.13</v>
      </c>
    </row>
    <row r="114" spans="1:6" ht="14.5" thickBot="1">
      <c r="A114" s="715" t="s">
        <v>70</v>
      </c>
      <c r="B114" s="709" t="s">
        <v>179</v>
      </c>
      <c r="C114" s="845">
        <v>0.123</v>
      </c>
      <c r="D114" s="845">
        <v>0.123</v>
      </c>
      <c r="E114" s="845">
        <v>0.12</v>
      </c>
      <c r="F114" s="846">
        <v>0.13</v>
      </c>
    </row>
    <row r="115" spans="1:6" ht="14.5" thickBot="1">
      <c r="A115" s="715" t="s">
        <v>70</v>
      </c>
      <c r="B115" s="709" t="s">
        <v>191</v>
      </c>
      <c r="C115" s="845">
        <v>0.125</v>
      </c>
      <c r="D115" s="845">
        <v>0.125</v>
      </c>
      <c r="E115" s="845">
        <v>0.11700000000000001</v>
      </c>
      <c r="F115" s="846">
        <v>0.13</v>
      </c>
    </row>
    <row r="116" spans="1:6" ht="14.5" thickBot="1">
      <c r="A116" s="715" t="s">
        <v>70</v>
      </c>
      <c r="B116" s="709" t="s">
        <v>203</v>
      </c>
      <c r="C116" s="845">
        <v>0.11700000000000001</v>
      </c>
      <c r="D116" s="845">
        <v>0.11700000000000001</v>
      </c>
      <c r="E116" s="845">
        <v>8.7999999999999995E-2</v>
      </c>
      <c r="F116" s="846">
        <v>0.13</v>
      </c>
    </row>
    <row r="117" spans="1:6" ht="14.5" thickBot="1">
      <c r="A117" s="715" t="s">
        <v>70</v>
      </c>
      <c r="B117" s="709" t="s">
        <v>215</v>
      </c>
      <c r="C117" s="845">
        <v>0.13</v>
      </c>
      <c r="D117" s="845">
        <v>0.13</v>
      </c>
      <c r="E117" s="845">
        <v>0.129</v>
      </c>
      <c r="F117" s="846">
        <v>0.13</v>
      </c>
    </row>
    <row r="118" spans="1:6" ht="14.5" thickBot="1">
      <c r="A118" s="715" t="s">
        <v>70</v>
      </c>
      <c r="B118" s="709" t="s">
        <v>228</v>
      </c>
      <c r="C118" s="845">
        <v>0.123</v>
      </c>
      <c r="D118" s="845">
        <v>0.123</v>
      </c>
      <c r="E118" s="845">
        <v>0.11600000000000001</v>
      </c>
      <c r="F118" s="846">
        <v>0.13</v>
      </c>
    </row>
    <row r="119" spans="1:6" ht="14.5" thickBot="1">
      <c r="A119" s="715" t="s">
        <v>70</v>
      </c>
      <c r="B119" s="709" t="s">
        <v>239</v>
      </c>
      <c r="C119" s="845">
        <v>0.127</v>
      </c>
      <c r="D119" s="845">
        <v>0.127</v>
      </c>
      <c r="E119" s="845">
        <v>0.124</v>
      </c>
      <c r="F119" s="846">
        <v>0.13</v>
      </c>
    </row>
    <row r="120" spans="1:6" ht="14.5" thickBot="1">
      <c r="A120" s="715" t="s">
        <v>70</v>
      </c>
      <c r="B120" s="709" t="s">
        <v>250</v>
      </c>
      <c r="C120" s="845">
        <v>0.125</v>
      </c>
      <c r="D120" s="845">
        <v>0.125</v>
      </c>
      <c r="E120" s="845">
        <v>0.122</v>
      </c>
      <c r="F120" s="846">
        <v>0.13</v>
      </c>
    </row>
    <row r="121" spans="1:6" ht="14.5" thickBot="1">
      <c r="A121" s="715" t="s">
        <v>70</v>
      </c>
      <c r="B121" s="709" t="s">
        <v>261</v>
      </c>
      <c r="C121" s="845">
        <v>0.13</v>
      </c>
      <c r="D121" s="845">
        <v>0.13</v>
      </c>
      <c r="E121" s="845">
        <v>0.13</v>
      </c>
      <c r="F121" s="846">
        <v>0.13</v>
      </c>
    </row>
    <row r="122" spans="1:6" ht="14.5" thickBot="1">
      <c r="A122" s="715" t="s">
        <v>70</v>
      </c>
      <c r="B122" s="709" t="s">
        <v>272</v>
      </c>
      <c r="C122" s="845">
        <v>0.13</v>
      </c>
      <c r="D122" s="845">
        <v>0.13</v>
      </c>
      <c r="E122" s="845">
        <v>0.125</v>
      </c>
      <c r="F122" s="846">
        <v>0.13</v>
      </c>
    </row>
    <row r="123" spans="1:6" ht="14.5" thickBot="1">
      <c r="A123" s="715" t="s">
        <v>70</v>
      </c>
      <c r="B123" s="709" t="s">
        <v>283</v>
      </c>
      <c r="C123" s="845">
        <v>0.129</v>
      </c>
      <c r="D123" s="845">
        <v>0.129</v>
      </c>
      <c r="E123" s="845">
        <v>0.123</v>
      </c>
      <c r="F123" s="846">
        <v>0.13</v>
      </c>
    </row>
    <row r="124" spans="1:6" ht="14.5" thickBot="1">
      <c r="A124" s="715" t="s">
        <v>70</v>
      </c>
      <c r="B124" s="709" t="s">
        <v>294</v>
      </c>
      <c r="C124" s="845">
        <v>0.10199999999999999</v>
      </c>
      <c r="D124" s="845">
        <v>0.10100000000000001</v>
      </c>
      <c r="E124" s="845">
        <v>0.08</v>
      </c>
      <c r="F124" s="850"/>
    </row>
    <row r="125" spans="1:6" ht="14.5" thickBot="1">
      <c r="A125" s="715" t="s">
        <v>70</v>
      </c>
      <c r="B125" s="709" t="s">
        <v>304</v>
      </c>
      <c r="C125" s="845">
        <v>0.13</v>
      </c>
      <c r="D125" s="845">
        <v>0.13</v>
      </c>
      <c r="E125" s="845">
        <v>0.129</v>
      </c>
      <c r="F125" s="850"/>
    </row>
    <row r="126" spans="1:6" ht="14.5" thickBot="1">
      <c r="A126" s="715" t="s">
        <v>70</v>
      </c>
      <c r="B126" s="709" t="s">
        <v>314</v>
      </c>
      <c r="C126" s="845">
        <v>0.13</v>
      </c>
      <c r="D126" s="845">
        <v>0.13</v>
      </c>
      <c r="E126" s="845">
        <v>0.126</v>
      </c>
      <c r="F126" s="850"/>
    </row>
    <row r="127" spans="1:6" ht="14.5" thickBot="1">
      <c r="A127" s="715" t="s">
        <v>70</v>
      </c>
      <c r="B127" s="709" t="s">
        <v>324</v>
      </c>
      <c r="C127" s="845">
        <v>0.125</v>
      </c>
      <c r="D127" s="845">
        <v>0.125</v>
      </c>
      <c r="E127" s="845">
        <v>0.121</v>
      </c>
      <c r="F127" s="850"/>
    </row>
    <row r="128" spans="1:6" ht="14.5" thickBot="1">
      <c r="A128" s="715" t="s">
        <v>70</v>
      </c>
      <c r="B128" s="709" t="s">
        <v>334</v>
      </c>
      <c r="C128" s="845">
        <v>0.12</v>
      </c>
      <c r="D128" s="845">
        <v>0.12</v>
      </c>
      <c r="E128" s="845">
        <v>0.105</v>
      </c>
      <c r="F128" s="850"/>
    </row>
    <row r="129" spans="1:6" ht="14.5" thickBot="1">
      <c r="A129" s="715" t="s">
        <v>70</v>
      </c>
      <c r="B129" s="709" t="s">
        <v>343</v>
      </c>
      <c r="C129" s="845">
        <v>0.13</v>
      </c>
      <c r="D129" s="845">
        <v>0.13</v>
      </c>
      <c r="E129" s="845">
        <v>0.126</v>
      </c>
      <c r="F129" s="850"/>
    </row>
    <row r="130" spans="1:6" ht="14.5" thickBot="1">
      <c r="A130" s="715" t="s">
        <v>70</v>
      </c>
      <c r="B130" s="709" t="s">
        <v>352</v>
      </c>
      <c r="C130" s="845">
        <v>0.125</v>
      </c>
      <c r="D130" s="845">
        <v>0.125</v>
      </c>
      <c r="E130" s="845">
        <v>0.122</v>
      </c>
      <c r="F130" s="850"/>
    </row>
    <row r="131" spans="1:6" ht="14.5" thickBot="1">
      <c r="A131" s="715" t="s">
        <v>70</v>
      </c>
      <c r="B131" s="709" t="s">
        <v>360</v>
      </c>
      <c r="C131" s="845">
        <v>0.127</v>
      </c>
      <c r="D131" s="845">
        <v>0.126</v>
      </c>
      <c r="E131" s="845">
        <v>0.123</v>
      </c>
      <c r="F131" s="850"/>
    </row>
    <row r="132" spans="1:6" ht="14.5" thickBot="1">
      <c r="A132" s="715" t="s">
        <v>70</v>
      </c>
      <c r="B132" s="709" t="s">
        <v>367</v>
      </c>
      <c r="C132" s="845">
        <v>9.0999999999999998E-2</v>
      </c>
      <c r="D132" s="845">
        <v>0.121</v>
      </c>
      <c r="E132" s="845">
        <v>9.9000000000000005E-2</v>
      </c>
      <c r="F132" s="850"/>
    </row>
    <row r="133" spans="1:6" ht="14.5" thickBot="1">
      <c r="A133" s="715" t="s">
        <v>70</v>
      </c>
      <c r="B133" s="709" t="s">
        <v>374</v>
      </c>
      <c r="C133" s="845">
        <v>0.13</v>
      </c>
      <c r="D133" s="845">
        <v>0.13</v>
      </c>
      <c r="E133" s="845">
        <v>0.129</v>
      </c>
      <c r="F133" s="850"/>
    </row>
    <row r="134" spans="1:6" ht="14.5" thickBot="1">
      <c r="A134" s="715" t="s">
        <v>70</v>
      </c>
      <c r="B134" s="709" t="s">
        <v>807</v>
      </c>
      <c r="C134" s="845">
        <v>6.8000000000000005E-2</v>
      </c>
      <c r="D134" s="845">
        <v>6.5000000000000002E-2</v>
      </c>
      <c r="E134" s="845">
        <v>6.5000000000000002E-2</v>
      </c>
      <c r="F134" s="846">
        <v>0.13</v>
      </c>
    </row>
    <row r="135" spans="1:6" ht="14.5" thickBot="1">
      <c r="A135" s="715" t="s">
        <v>70</v>
      </c>
      <c r="B135" s="709" t="s">
        <v>388</v>
      </c>
      <c r="C135" s="845">
        <v>0.123</v>
      </c>
      <c r="D135" s="845">
        <v>0.123</v>
      </c>
      <c r="E135" s="845">
        <v>0.11</v>
      </c>
      <c r="F135" s="850"/>
    </row>
    <row r="136" spans="1:6" ht="14.5" thickBot="1">
      <c r="A136" s="715" t="s">
        <v>70</v>
      </c>
      <c r="B136" s="709" t="s">
        <v>395</v>
      </c>
      <c r="C136" s="845">
        <v>0.13</v>
      </c>
      <c r="D136" s="845">
        <v>0.13</v>
      </c>
      <c r="E136" s="845">
        <v>0.125</v>
      </c>
      <c r="F136" s="850"/>
    </row>
    <row r="137" spans="1:6" ht="14.5" thickBot="1">
      <c r="A137" s="715" t="s">
        <v>70</v>
      </c>
      <c r="B137" s="709" t="s">
        <v>402</v>
      </c>
      <c r="C137" s="845">
        <v>0.121</v>
      </c>
      <c r="D137" s="845">
        <v>0.122</v>
      </c>
      <c r="E137" s="845">
        <v>0.115</v>
      </c>
      <c r="F137" s="850"/>
    </row>
    <row r="138" spans="1:6" ht="14.5" thickBot="1">
      <c r="A138" s="715" t="s">
        <v>70</v>
      </c>
      <c r="B138" s="709" t="s">
        <v>808</v>
      </c>
      <c r="C138" s="845">
        <v>0.105</v>
      </c>
      <c r="D138" s="845">
        <v>0.125</v>
      </c>
      <c r="E138" s="845">
        <v>0.112</v>
      </c>
      <c r="F138" s="850"/>
    </row>
    <row r="139" spans="1:6" ht="14.5" thickBot="1">
      <c r="A139" s="715" t="s">
        <v>70</v>
      </c>
      <c r="B139" s="709" t="s">
        <v>809</v>
      </c>
      <c r="C139" s="845">
        <v>0.127</v>
      </c>
      <c r="D139" s="845">
        <v>0.127</v>
      </c>
      <c r="E139" s="845">
        <v>0.122</v>
      </c>
      <c r="F139" s="846">
        <v>0.13</v>
      </c>
    </row>
    <row r="140" spans="1:6" ht="14.5" thickBot="1">
      <c r="A140" s="715" t="s">
        <v>70</v>
      </c>
      <c r="B140" s="709" t="s">
        <v>810</v>
      </c>
      <c r="C140" s="845">
        <v>0.125</v>
      </c>
      <c r="D140" s="845">
        <v>0.125</v>
      </c>
      <c r="E140" s="845">
        <v>0.11899999999999999</v>
      </c>
      <c r="F140" s="846">
        <v>0.13</v>
      </c>
    </row>
    <row r="141" spans="1:6" ht="14.5" thickBot="1">
      <c r="A141" s="715" t="s">
        <v>70</v>
      </c>
      <c r="B141" s="709" t="s">
        <v>421</v>
      </c>
      <c r="C141" s="845">
        <v>0.125</v>
      </c>
      <c r="D141" s="845">
        <v>0.125</v>
      </c>
      <c r="E141" s="845">
        <v>0.11700000000000001</v>
      </c>
      <c r="F141" s="850"/>
    </row>
    <row r="142" spans="1:6" ht="14.5" thickBot="1">
      <c r="A142" s="715" t="s">
        <v>70</v>
      </c>
      <c r="B142" s="709" t="s">
        <v>426</v>
      </c>
      <c r="C142" s="845">
        <v>0.125</v>
      </c>
      <c r="D142" s="845">
        <v>0.125</v>
      </c>
      <c r="E142" s="845">
        <v>0.115</v>
      </c>
      <c r="F142" s="850"/>
    </row>
    <row r="143" spans="1:6" ht="14.5" thickBot="1">
      <c r="A143" s="715" t="s">
        <v>70</v>
      </c>
      <c r="B143" s="709" t="s">
        <v>431</v>
      </c>
      <c r="C143" s="845">
        <v>0.121</v>
      </c>
      <c r="D143" s="845">
        <v>0.121</v>
      </c>
      <c r="E143" s="845">
        <v>0.108</v>
      </c>
      <c r="F143" s="850"/>
    </row>
    <row r="144" spans="1:6" ht="14.5" thickBot="1">
      <c r="A144" s="715" t="s">
        <v>70</v>
      </c>
      <c r="B144" s="853" t="s">
        <v>811</v>
      </c>
      <c r="C144" s="854">
        <v>0.126</v>
      </c>
      <c r="D144" s="854">
        <v>0.126</v>
      </c>
      <c r="E144" s="854">
        <v>0.121</v>
      </c>
      <c r="F144" s="850"/>
    </row>
    <row r="145" spans="1:6" ht="14.5" thickBot="1">
      <c r="A145" s="732" t="s">
        <v>70</v>
      </c>
      <c r="B145" s="855" t="s">
        <v>812</v>
      </c>
      <c r="C145" s="856"/>
      <c r="D145" s="856"/>
      <c r="E145" s="856"/>
      <c r="F145" s="857">
        <v>0.05</v>
      </c>
    </row>
    <row r="146" spans="1:6" ht="26.5" thickBot="1">
      <c r="A146" s="858" t="s">
        <v>70</v>
      </c>
      <c r="B146" s="723" t="s">
        <v>813</v>
      </c>
      <c r="C146" s="851"/>
      <c r="D146" s="851"/>
      <c r="E146" s="851"/>
      <c r="F146" s="859">
        <v>0.05</v>
      </c>
    </row>
    <row r="147" spans="1:6" ht="26.5" thickBot="1">
      <c r="A147" s="715" t="s">
        <v>70</v>
      </c>
      <c r="B147" s="709" t="s">
        <v>814</v>
      </c>
      <c r="C147" s="851"/>
      <c r="D147" s="851"/>
      <c r="E147" s="851"/>
      <c r="F147" s="846">
        <v>0.05</v>
      </c>
    </row>
    <row r="148" spans="1:6" ht="26.5" thickBot="1">
      <c r="A148" s="715" t="s">
        <v>70</v>
      </c>
      <c r="B148" s="709" t="s">
        <v>815</v>
      </c>
      <c r="C148" s="851"/>
      <c r="D148" s="851"/>
      <c r="E148" s="851"/>
      <c r="F148" s="846">
        <v>0.05</v>
      </c>
    </row>
    <row r="149" spans="1:6" ht="26.5" thickBot="1">
      <c r="A149" s="715" t="s">
        <v>70</v>
      </c>
      <c r="B149" s="709" t="s">
        <v>816</v>
      </c>
      <c r="C149" s="851"/>
      <c r="D149" s="851"/>
      <c r="E149" s="851"/>
      <c r="F149" s="846">
        <v>0.05</v>
      </c>
    </row>
    <row r="150" spans="1:6" ht="26.5" thickBot="1">
      <c r="A150" s="715" t="s">
        <v>70</v>
      </c>
      <c r="B150" s="709" t="s">
        <v>817</v>
      </c>
      <c r="C150" s="851"/>
      <c r="D150" s="851"/>
      <c r="E150" s="851"/>
      <c r="F150" s="846">
        <v>0.05</v>
      </c>
    </row>
    <row r="151" spans="1:6" ht="26.5" thickBot="1">
      <c r="A151" s="715" t="s">
        <v>70</v>
      </c>
      <c r="B151" s="709" t="s">
        <v>818</v>
      </c>
      <c r="C151" s="851"/>
      <c r="D151" s="851"/>
      <c r="E151" s="851"/>
      <c r="F151" s="846">
        <v>0.05</v>
      </c>
    </row>
    <row r="152" spans="1:6" ht="26.5" thickBot="1">
      <c r="A152" s="715" t="s">
        <v>70</v>
      </c>
      <c r="B152" s="709" t="s">
        <v>464</v>
      </c>
      <c r="C152" s="851"/>
      <c r="D152" s="851"/>
      <c r="E152" s="851"/>
      <c r="F152" s="846">
        <v>0.05</v>
      </c>
    </row>
    <row r="153" spans="1:6" ht="14.5" thickBot="1">
      <c r="A153" s="715" t="s">
        <v>70</v>
      </c>
      <c r="B153" s="709" t="s">
        <v>819</v>
      </c>
      <c r="C153" s="851"/>
      <c r="D153" s="851"/>
      <c r="E153" s="851"/>
      <c r="F153" s="846">
        <v>0.05</v>
      </c>
    </row>
    <row r="154" spans="1:6" ht="14.5" thickBot="1">
      <c r="A154" s="715" t="s">
        <v>70</v>
      </c>
      <c r="B154" s="709" t="s">
        <v>820</v>
      </c>
      <c r="C154" s="851"/>
      <c r="D154" s="851"/>
      <c r="E154" s="851"/>
      <c r="F154" s="846">
        <v>0.05</v>
      </c>
    </row>
    <row r="155" spans="1:6" ht="26.5" thickBot="1">
      <c r="A155" s="715" t="s">
        <v>70</v>
      </c>
      <c r="B155" s="709" t="s">
        <v>821</v>
      </c>
      <c r="C155" s="851"/>
      <c r="D155" s="851"/>
      <c r="E155" s="851"/>
      <c r="F155" s="846">
        <v>0.05</v>
      </c>
    </row>
    <row r="156" spans="1:6" ht="26.5" thickBot="1">
      <c r="A156" s="715" t="s">
        <v>70</v>
      </c>
      <c r="B156" s="709" t="s">
        <v>822</v>
      </c>
      <c r="C156" s="851"/>
      <c r="D156" s="851"/>
      <c r="E156" s="851"/>
      <c r="F156" s="846">
        <v>0.05</v>
      </c>
    </row>
    <row r="157" spans="1:6" ht="14.5" thickBot="1">
      <c r="A157" s="732" t="s">
        <v>70</v>
      </c>
      <c r="B157" s="725" t="s">
        <v>823</v>
      </c>
      <c r="C157" s="848"/>
      <c r="D157" s="848"/>
      <c r="E157" s="848"/>
      <c r="F157" s="852">
        <v>0.05</v>
      </c>
    </row>
    <row r="158" spans="1:6" ht="14.5" thickBot="1">
      <c r="A158" s="715" t="s">
        <v>483</v>
      </c>
      <c r="B158" s="716" t="s">
        <v>824</v>
      </c>
      <c r="C158" s="843">
        <v>0.13</v>
      </c>
      <c r="D158" s="843">
        <v>0.13</v>
      </c>
      <c r="E158" s="843">
        <v>0.13</v>
      </c>
      <c r="F158" s="844">
        <v>0.13</v>
      </c>
    </row>
    <row r="159" spans="1:6" ht="14.5" thickBot="1">
      <c r="A159" s="715" t="s">
        <v>483</v>
      </c>
      <c r="B159" s="709" t="s">
        <v>142</v>
      </c>
      <c r="C159" s="845">
        <v>0.13</v>
      </c>
      <c r="D159" s="845">
        <v>0.13</v>
      </c>
      <c r="E159" s="845">
        <v>0.13</v>
      </c>
      <c r="F159" s="846">
        <v>0.13</v>
      </c>
    </row>
    <row r="160" spans="1:6" ht="14.5" thickBot="1">
      <c r="A160" s="715" t="s">
        <v>483</v>
      </c>
      <c r="B160" s="709" t="s">
        <v>155</v>
      </c>
      <c r="C160" s="845">
        <v>0.13</v>
      </c>
      <c r="D160" s="845">
        <v>0.13</v>
      </c>
      <c r="E160" s="845">
        <v>0.129</v>
      </c>
      <c r="F160" s="846">
        <v>0.13</v>
      </c>
    </row>
    <row r="161" spans="1:6" ht="14.5" thickBot="1">
      <c r="A161" s="715" t="s">
        <v>483</v>
      </c>
      <c r="B161" s="709" t="s">
        <v>168</v>
      </c>
      <c r="C161" s="845">
        <v>0.128</v>
      </c>
      <c r="D161" s="845">
        <v>0.128</v>
      </c>
      <c r="E161" s="845">
        <v>0.125</v>
      </c>
      <c r="F161" s="846">
        <v>0.13</v>
      </c>
    </row>
    <row r="162" spans="1:6" ht="14.5" thickBot="1">
      <c r="A162" s="715" t="s">
        <v>483</v>
      </c>
      <c r="B162" s="709" t="s">
        <v>180</v>
      </c>
      <c r="C162" s="845">
        <v>0.122</v>
      </c>
      <c r="D162" s="845">
        <v>0.122</v>
      </c>
      <c r="E162" s="845">
        <v>0.126</v>
      </c>
      <c r="F162" s="846">
        <v>0.122</v>
      </c>
    </row>
    <row r="163" spans="1:6" ht="14.5" thickBot="1">
      <c r="A163" s="715" t="s">
        <v>483</v>
      </c>
      <c r="B163" s="709" t="s">
        <v>192</v>
      </c>
      <c r="C163" s="845">
        <v>0.13</v>
      </c>
      <c r="D163" s="845">
        <v>0.13</v>
      </c>
      <c r="E163" s="845">
        <v>0.125</v>
      </c>
      <c r="F163" s="846">
        <v>0.13</v>
      </c>
    </row>
    <row r="164" spans="1:6" ht="14.5" thickBot="1">
      <c r="A164" s="715" t="s">
        <v>483</v>
      </c>
      <c r="B164" s="709" t="s">
        <v>204</v>
      </c>
      <c r="C164" s="845">
        <v>0.13</v>
      </c>
      <c r="D164" s="845">
        <v>0.13</v>
      </c>
      <c r="E164" s="845">
        <v>0.13</v>
      </c>
      <c r="F164" s="846">
        <v>0.13</v>
      </c>
    </row>
    <row r="165" spans="1:6" ht="14.5" thickBot="1">
      <c r="A165" s="715" t="s">
        <v>483</v>
      </c>
      <c r="B165" s="709" t="s">
        <v>216</v>
      </c>
      <c r="C165" s="845">
        <v>0.13</v>
      </c>
      <c r="D165" s="845">
        <v>0.13</v>
      </c>
      <c r="E165" s="845">
        <v>0.124</v>
      </c>
      <c r="F165" s="846">
        <v>0.13</v>
      </c>
    </row>
    <row r="166" spans="1:6" ht="14.5" thickBot="1">
      <c r="A166" s="715" t="s">
        <v>483</v>
      </c>
      <c r="B166" s="709" t="s">
        <v>229</v>
      </c>
      <c r="C166" s="845">
        <v>0.13</v>
      </c>
      <c r="D166" s="845">
        <v>0.13</v>
      </c>
      <c r="E166" s="845">
        <v>0.13</v>
      </c>
      <c r="F166" s="846">
        <v>0.13</v>
      </c>
    </row>
    <row r="167" spans="1:6" ht="14.5" thickBot="1">
      <c r="A167" s="715" t="s">
        <v>483</v>
      </c>
      <c r="B167" s="709" t="s">
        <v>240</v>
      </c>
      <c r="C167" s="845">
        <v>0.125</v>
      </c>
      <c r="D167" s="845">
        <v>0.125</v>
      </c>
      <c r="E167" s="845">
        <v>0.121</v>
      </c>
      <c r="F167" s="850"/>
    </row>
    <row r="168" spans="1:6" ht="14.5" thickBot="1">
      <c r="A168" s="715" t="s">
        <v>483</v>
      </c>
      <c r="B168" s="709" t="s">
        <v>251</v>
      </c>
      <c r="C168" s="845">
        <v>0.13</v>
      </c>
      <c r="D168" s="845">
        <v>0.13</v>
      </c>
      <c r="E168" s="845">
        <v>0.126</v>
      </c>
      <c r="F168" s="850"/>
    </row>
    <row r="169" spans="1:6" ht="14.5" thickBot="1">
      <c r="A169" s="715" t="s">
        <v>483</v>
      </c>
      <c r="B169" s="709" t="s">
        <v>262</v>
      </c>
      <c r="C169" s="845">
        <v>0.128</v>
      </c>
      <c r="D169" s="845">
        <v>0.129</v>
      </c>
      <c r="E169" s="845">
        <v>0.13</v>
      </c>
      <c r="F169" s="850"/>
    </row>
    <row r="170" spans="1:6" ht="14.5" thickBot="1">
      <c r="A170" s="715" t="s">
        <v>483</v>
      </c>
      <c r="B170" s="709" t="s">
        <v>273</v>
      </c>
      <c r="C170" s="845">
        <v>0.14099999999999999</v>
      </c>
      <c r="D170" s="845">
        <v>0.13</v>
      </c>
      <c r="E170" s="845">
        <v>0.125</v>
      </c>
      <c r="F170" s="850"/>
    </row>
    <row r="171" spans="1:6" ht="14.5" thickBot="1">
      <c r="A171" s="715" t="s">
        <v>483</v>
      </c>
      <c r="B171" s="709" t="s">
        <v>825</v>
      </c>
      <c r="C171" s="845">
        <v>0.127</v>
      </c>
      <c r="D171" s="845">
        <v>0.126</v>
      </c>
      <c r="E171" s="845">
        <v>0.126</v>
      </c>
      <c r="F171" s="846">
        <v>0.11799999999999999</v>
      </c>
    </row>
    <row r="172" spans="1:6" ht="14.5" thickBot="1">
      <c r="A172" s="715" t="s">
        <v>483</v>
      </c>
      <c r="B172" s="709" t="s">
        <v>826</v>
      </c>
      <c r="C172" s="845">
        <v>0.13</v>
      </c>
      <c r="D172" s="845">
        <v>0.13</v>
      </c>
      <c r="E172" s="845">
        <v>0.13</v>
      </c>
      <c r="F172" s="850"/>
    </row>
    <row r="173" spans="1:6" ht="14.5" thickBot="1">
      <c r="A173" s="715" t="s">
        <v>483</v>
      </c>
      <c r="B173" s="709" t="s">
        <v>305</v>
      </c>
      <c r="C173" s="845">
        <v>0.13</v>
      </c>
      <c r="D173" s="845">
        <v>0.13</v>
      </c>
      <c r="E173" s="845">
        <v>0.13</v>
      </c>
      <c r="F173" s="850"/>
    </row>
    <row r="174" spans="1:6" ht="14.5" thickBot="1">
      <c r="A174" s="715" t="s">
        <v>483</v>
      </c>
      <c r="B174" s="709" t="s">
        <v>827</v>
      </c>
      <c r="C174" s="845">
        <v>0.13</v>
      </c>
      <c r="D174" s="845">
        <v>0.13</v>
      </c>
      <c r="E174" s="845">
        <v>0.13</v>
      </c>
      <c r="F174" s="846">
        <v>0.13</v>
      </c>
    </row>
    <row r="175" spans="1:6" ht="14.5" thickBot="1">
      <c r="A175" s="715" t="s">
        <v>483</v>
      </c>
      <c r="B175" s="709" t="s">
        <v>828</v>
      </c>
      <c r="C175" s="845">
        <v>0.13</v>
      </c>
      <c r="D175" s="845">
        <v>0.13</v>
      </c>
      <c r="E175" s="845">
        <v>0.13</v>
      </c>
      <c r="F175" s="846">
        <v>0.13</v>
      </c>
    </row>
    <row r="176" spans="1:6" ht="14.5" thickBot="1">
      <c r="A176" s="715" t="s">
        <v>483</v>
      </c>
      <c r="B176" s="709" t="s">
        <v>335</v>
      </c>
      <c r="C176" s="845">
        <v>0.13</v>
      </c>
      <c r="D176" s="845">
        <v>0.13</v>
      </c>
      <c r="E176" s="845">
        <v>0.13</v>
      </c>
      <c r="F176" s="846">
        <v>0.13</v>
      </c>
    </row>
    <row r="177" spans="1:6" ht="14.5" thickBot="1">
      <c r="A177" s="715" t="s">
        <v>483</v>
      </c>
      <c r="B177" s="709" t="s">
        <v>829</v>
      </c>
      <c r="C177" s="845">
        <v>0.13</v>
      </c>
      <c r="D177" s="845">
        <v>0.13</v>
      </c>
      <c r="E177" s="845">
        <v>0.13</v>
      </c>
      <c r="F177" s="846">
        <v>0.13</v>
      </c>
    </row>
    <row r="178" spans="1:6" ht="14.5" thickBot="1">
      <c r="A178" s="715" t="s">
        <v>483</v>
      </c>
      <c r="B178" s="709" t="s">
        <v>353</v>
      </c>
      <c r="C178" s="845">
        <v>0.13</v>
      </c>
      <c r="D178" s="845">
        <v>0.13</v>
      </c>
      <c r="E178" s="845">
        <v>0.13</v>
      </c>
      <c r="F178" s="846">
        <v>0.127</v>
      </c>
    </row>
    <row r="179" spans="1:6" ht="14.5" thickBot="1">
      <c r="A179" s="715" t="s">
        <v>483</v>
      </c>
      <c r="B179" s="709" t="s">
        <v>361</v>
      </c>
      <c r="C179" s="845">
        <v>0.13</v>
      </c>
      <c r="D179" s="845">
        <v>0.13</v>
      </c>
      <c r="E179" s="845">
        <v>0.13</v>
      </c>
      <c r="F179" s="850"/>
    </row>
    <row r="180" spans="1:6" ht="14.5" thickBot="1">
      <c r="A180" s="715" t="s">
        <v>483</v>
      </c>
      <c r="B180" s="709" t="s">
        <v>830</v>
      </c>
      <c r="C180" s="845">
        <v>0.13</v>
      </c>
      <c r="D180" s="845">
        <v>0.13</v>
      </c>
      <c r="E180" s="845">
        <v>0.125</v>
      </c>
      <c r="F180" s="846">
        <v>0.13</v>
      </c>
    </row>
    <row r="181" spans="1:6" ht="14.5" thickBot="1">
      <c r="A181" s="715" t="s">
        <v>483</v>
      </c>
      <c r="B181" s="709" t="s">
        <v>375</v>
      </c>
      <c r="C181" s="845">
        <v>0.122</v>
      </c>
      <c r="D181" s="845">
        <v>0.123</v>
      </c>
      <c r="E181" s="845">
        <v>0.126</v>
      </c>
      <c r="F181" s="846">
        <v>0.121</v>
      </c>
    </row>
    <row r="182" spans="1:6" ht="14.5" thickBot="1">
      <c r="A182" s="715" t="s">
        <v>483</v>
      </c>
      <c r="B182" s="709" t="s">
        <v>382</v>
      </c>
      <c r="C182" s="845">
        <v>0.125</v>
      </c>
      <c r="D182" s="845">
        <v>0.125</v>
      </c>
      <c r="E182" s="845">
        <v>0.11700000000000001</v>
      </c>
      <c r="F182" s="846">
        <v>0.13</v>
      </c>
    </row>
    <row r="183" spans="1:6" ht="14.5" thickBot="1">
      <c r="A183" s="715" t="s">
        <v>483</v>
      </c>
      <c r="B183" s="709" t="s">
        <v>389</v>
      </c>
      <c r="C183" s="845">
        <v>0.127</v>
      </c>
      <c r="D183" s="845">
        <v>0.127</v>
      </c>
      <c r="E183" s="845">
        <v>0.128</v>
      </c>
      <c r="F183" s="850"/>
    </row>
    <row r="184" spans="1:6" ht="14.5" thickBot="1">
      <c r="A184" s="715" t="s">
        <v>483</v>
      </c>
      <c r="B184" s="709" t="s">
        <v>396</v>
      </c>
      <c r="C184" s="845">
        <v>0.125</v>
      </c>
      <c r="D184" s="845">
        <v>0.125</v>
      </c>
      <c r="E184" s="845">
        <v>0.127</v>
      </c>
      <c r="F184" s="850"/>
    </row>
    <row r="185" spans="1:6" ht="14.5" thickBot="1">
      <c r="A185" s="715" t="s">
        <v>483</v>
      </c>
      <c r="B185" s="709" t="s">
        <v>831</v>
      </c>
      <c r="C185" s="845">
        <v>0.127</v>
      </c>
      <c r="D185" s="845">
        <v>0.127</v>
      </c>
      <c r="E185" s="845">
        <v>0.128</v>
      </c>
      <c r="F185" s="846">
        <v>0.13</v>
      </c>
    </row>
    <row r="186" spans="1:6" ht="26.5" thickBot="1">
      <c r="A186" s="715" t="s">
        <v>483</v>
      </c>
      <c r="B186" s="709" t="s">
        <v>832</v>
      </c>
      <c r="C186" s="851"/>
      <c r="D186" s="851"/>
      <c r="E186" s="851"/>
      <c r="F186" s="846">
        <v>0.05</v>
      </c>
    </row>
    <row r="187" spans="1:6" ht="14.5" thickBot="1">
      <c r="A187" s="715" t="s">
        <v>483</v>
      </c>
      <c r="B187" s="709" t="s">
        <v>833</v>
      </c>
      <c r="C187" s="851"/>
      <c r="D187" s="851"/>
      <c r="E187" s="851"/>
      <c r="F187" s="846">
        <v>0.05</v>
      </c>
    </row>
    <row r="188" spans="1:6" ht="26.5" thickBot="1">
      <c r="A188" s="715" t="s">
        <v>483</v>
      </c>
      <c r="B188" s="709" t="s">
        <v>834</v>
      </c>
      <c r="C188" s="851"/>
      <c r="D188" s="851"/>
      <c r="E188" s="851"/>
      <c r="F188" s="846">
        <v>0.05</v>
      </c>
    </row>
    <row r="189" spans="1:6" ht="26.5" thickBot="1">
      <c r="A189" s="715" t="s">
        <v>483</v>
      </c>
      <c r="B189" s="709" t="s">
        <v>835</v>
      </c>
      <c r="C189" s="851"/>
      <c r="D189" s="851"/>
      <c r="E189" s="851"/>
      <c r="F189" s="846">
        <v>0.05</v>
      </c>
    </row>
    <row r="190" spans="1:6" ht="26.5" thickBot="1">
      <c r="A190" s="715" t="s">
        <v>483</v>
      </c>
      <c r="B190" s="709" t="s">
        <v>836</v>
      </c>
      <c r="C190" s="851"/>
      <c r="D190" s="851"/>
      <c r="E190" s="851"/>
      <c r="F190" s="846">
        <v>0.05</v>
      </c>
    </row>
    <row r="191" spans="1:6" ht="26.5" thickBot="1">
      <c r="A191" s="715" t="s">
        <v>483</v>
      </c>
      <c r="B191" s="709" t="s">
        <v>837</v>
      </c>
      <c r="C191" s="851"/>
      <c r="D191" s="851"/>
      <c r="E191" s="851"/>
      <c r="F191" s="846">
        <v>0.05</v>
      </c>
    </row>
    <row r="192" spans="1:6" ht="26.5" thickBot="1">
      <c r="A192" s="715" t="s">
        <v>483</v>
      </c>
      <c r="B192" s="709" t="s">
        <v>838</v>
      </c>
      <c r="C192" s="851"/>
      <c r="D192" s="851"/>
      <c r="E192" s="851"/>
      <c r="F192" s="846">
        <v>0.05</v>
      </c>
    </row>
    <row r="193" spans="1:6" ht="26.5" thickBot="1">
      <c r="A193" s="715" t="s">
        <v>483</v>
      </c>
      <c r="B193" s="709" t="s">
        <v>839</v>
      </c>
      <c r="C193" s="851"/>
      <c r="D193" s="851"/>
      <c r="E193" s="851"/>
      <c r="F193" s="846">
        <v>0.05</v>
      </c>
    </row>
    <row r="194" spans="1:6" ht="26.5" thickBot="1">
      <c r="A194" s="715" t="s">
        <v>483</v>
      </c>
      <c r="B194" s="709" t="s">
        <v>840</v>
      </c>
      <c r="C194" s="851"/>
      <c r="D194" s="851"/>
      <c r="E194" s="851"/>
      <c r="F194" s="846">
        <v>0.05</v>
      </c>
    </row>
    <row r="195" spans="1:6" ht="14.5" thickBot="1">
      <c r="A195" s="715" t="s">
        <v>483</v>
      </c>
      <c r="B195" s="709" t="s">
        <v>841</v>
      </c>
      <c r="C195" s="851"/>
      <c r="D195" s="851"/>
      <c r="E195" s="851"/>
      <c r="F195" s="846">
        <v>0.05</v>
      </c>
    </row>
    <row r="196" spans="1:6" ht="26.5" thickBot="1">
      <c r="A196" s="715" t="s">
        <v>483</v>
      </c>
      <c r="B196" s="709" t="s">
        <v>842</v>
      </c>
      <c r="C196" s="851"/>
      <c r="D196" s="851"/>
      <c r="E196" s="851"/>
      <c r="F196" s="846">
        <v>0.05</v>
      </c>
    </row>
    <row r="197" spans="1:6" ht="26.5" thickBot="1">
      <c r="A197" s="715" t="s">
        <v>483</v>
      </c>
      <c r="B197" s="709" t="s">
        <v>843</v>
      </c>
      <c r="C197" s="851"/>
      <c r="D197" s="851"/>
      <c r="E197" s="851"/>
      <c r="F197" s="846">
        <v>0.05</v>
      </c>
    </row>
    <row r="198" spans="1:6" ht="26.5" thickBot="1">
      <c r="A198" s="715" t="s">
        <v>483</v>
      </c>
      <c r="B198" s="709" t="s">
        <v>844</v>
      </c>
      <c r="C198" s="851"/>
      <c r="D198" s="851"/>
      <c r="E198" s="851"/>
      <c r="F198" s="846">
        <v>0.05</v>
      </c>
    </row>
    <row r="199" spans="1:6" ht="26.5" thickBot="1">
      <c r="A199" s="715" t="s">
        <v>483</v>
      </c>
      <c r="B199" s="709" t="s">
        <v>845</v>
      </c>
      <c r="C199" s="851"/>
      <c r="D199" s="851"/>
      <c r="E199" s="851"/>
      <c r="F199" s="846">
        <v>0.05</v>
      </c>
    </row>
    <row r="200" spans="1:6" ht="26.5" thickBot="1">
      <c r="A200" s="715" t="s">
        <v>483</v>
      </c>
      <c r="B200" s="709" t="s">
        <v>846</v>
      </c>
      <c r="C200" s="851"/>
      <c r="D200" s="851"/>
      <c r="E200" s="851"/>
      <c r="F200" s="846">
        <v>0.05</v>
      </c>
    </row>
    <row r="201" spans="1:6" ht="26.5" thickBot="1">
      <c r="A201" s="715" t="s">
        <v>483</v>
      </c>
      <c r="B201" s="709" t="s">
        <v>847</v>
      </c>
      <c r="C201" s="851"/>
      <c r="D201" s="851"/>
      <c r="E201" s="851"/>
      <c r="F201" s="846">
        <v>0.05</v>
      </c>
    </row>
    <row r="202" spans="1:6" ht="26.5" thickBot="1">
      <c r="A202" s="715" t="s">
        <v>483</v>
      </c>
      <c r="B202" s="709" t="s">
        <v>848</v>
      </c>
      <c r="C202" s="851"/>
      <c r="D202" s="851"/>
      <c r="E202" s="851"/>
      <c r="F202" s="846">
        <v>0.05</v>
      </c>
    </row>
    <row r="203" spans="1:6" ht="26.5" thickBot="1">
      <c r="A203" s="715" t="s">
        <v>483</v>
      </c>
      <c r="B203" s="709" t="s">
        <v>849</v>
      </c>
      <c r="C203" s="851"/>
      <c r="D203" s="851"/>
      <c r="E203" s="851"/>
      <c r="F203" s="846">
        <v>0.05</v>
      </c>
    </row>
    <row r="204" spans="1:6" ht="14.5" thickBot="1">
      <c r="A204" s="715" t="s">
        <v>483</v>
      </c>
      <c r="B204" s="709" t="s">
        <v>850</v>
      </c>
      <c r="C204" s="851"/>
      <c r="D204" s="851"/>
      <c r="E204" s="851"/>
      <c r="F204" s="846">
        <v>0.05</v>
      </c>
    </row>
    <row r="205" spans="1:6" ht="14.5" thickBot="1">
      <c r="A205" s="732" t="s">
        <v>483</v>
      </c>
      <c r="B205" s="725" t="s">
        <v>851</v>
      </c>
      <c r="C205" s="848"/>
      <c r="D205" s="848"/>
      <c r="E205" s="848"/>
      <c r="F205" s="852">
        <v>0.05</v>
      </c>
    </row>
    <row r="206" spans="1:6" ht="14.5" thickBot="1">
      <c r="A206" s="715" t="s">
        <v>485</v>
      </c>
      <c r="B206" s="716" t="s">
        <v>852</v>
      </c>
      <c r="C206" s="843">
        <v>0.15</v>
      </c>
      <c r="D206" s="843">
        <v>0.15</v>
      </c>
      <c r="E206" s="843">
        <v>0.15</v>
      </c>
      <c r="F206" s="844">
        <v>0.15</v>
      </c>
    </row>
    <row r="207" spans="1:6" ht="14.5" thickBot="1">
      <c r="A207" s="715" t="s">
        <v>485</v>
      </c>
      <c r="B207" s="709" t="s">
        <v>143</v>
      </c>
      <c r="C207" s="845">
        <v>0.15</v>
      </c>
      <c r="D207" s="845">
        <v>0.15</v>
      </c>
      <c r="E207" s="845">
        <v>0.15</v>
      </c>
      <c r="F207" s="846">
        <v>0.14399999999999999</v>
      </c>
    </row>
    <row r="208" spans="1:6" ht="14.5" thickBot="1">
      <c r="A208" s="715" t="s">
        <v>485</v>
      </c>
      <c r="B208" s="709" t="s">
        <v>156</v>
      </c>
      <c r="C208" s="845">
        <v>0.15</v>
      </c>
      <c r="D208" s="845">
        <v>0.15</v>
      </c>
      <c r="E208" s="845">
        <v>0.15</v>
      </c>
      <c r="F208" s="846">
        <v>0.15</v>
      </c>
    </row>
    <row r="209" spans="1:6" ht="14.5" thickBot="1">
      <c r="A209" s="715" t="s">
        <v>485</v>
      </c>
      <c r="B209" s="709" t="s">
        <v>169</v>
      </c>
      <c r="C209" s="845">
        <v>0.13700000000000001</v>
      </c>
      <c r="D209" s="845">
        <v>0.13700000000000001</v>
      </c>
      <c r="E209" s="845">
        <v>0.14000000000000001</v>
      </c>
      <c r="F209" s="846">
        <v>0.11700000000000001</v>
      </c>
    </row>
    <row r="210" spans="1:6" ht="14.5" thickBot="1">
      <c r="A210" s="715" t="s">
        <v>485</v>
      </c>
      <c r="B210" s="709" t="s">
        <v>853</v>
      </c>
      <c r="C210" s="845">
        <v>0.15</v>
      </c>
      <c r="D210" s="845">
        <v>0.15</v>
      </c>
      <c r="E210" s="845">
        <v>0.15</v>
      </c>
      <c r="F210" s="846">
        <v>0.13800000000000001</v>
      </c>
    </row>
    <row r="211" spans="1:6" ht="14.5" thickBot="1">
      <c r="A211" s="715" t="s">
        <v>485</v>
      </c>
      <c r="B211" s="709" t="s">
        <v>854</v>
      </c>
      <c r="C211" s="845">
        <v>0.13700000000000001</v>
      </c>
      <c r="D211" s="845">
        <v>0.13500000000000001</v>
      </c>
      <c r="E211" s="845">
        <v>0.13600000000000001</v>
      </c>
      <c r="F211" s="846">
        <v>0.1</v>
      </c>
    </row>
    <row r="212" spans="1:6" ht="14.5" thickBot="1">
      <c r="A212" s="715" t="s">
        <v>485</v>
      </c>
      <c r="B212" s="709" t="s">
        <v>855</v>
      </c>
      <c r="C212" s="845">
        <v>0.15</v>
      </c>
      <c r="D212" s="845">
        <v>0.15</v>
      </c>
      <c r="E212" s="845">
        <v>0.14799999999999999</v>
      </c>
      <c r="F212" s="846">
        <v>0.13600000000000001</v>
      </c>
    </row>
    <row r="213" spans="1:6" ht="14.5" thickBot="1">
      <c r="A213" s="715" t="s">
        <v>485</v>
      </c>
      <c r="B213" s="709" t="s">
        <v>217</v>
      </c>
      <c r="C213" s="845">
        <v>0.15</v>
      </c>
      <c r="D213" s="845">
        <v>0.15</v>
      </c>
      <c r="E213" s="845">
        <v>0.15</v>
      </c>
      <c r="F213" s="846">
        <v>0.13800000000000001</v>
      </c>
    </row>
    <row r="214" spans="1:6" ht="14.5" thickBot="1">
      <c r="A214" s="715" t="s">
        <v>485</v>
      </c>
      <c r="B214" s="709" t="s">
        <v>230</v>
      </c>
      <c r="C214" s="845">
        <v>9.0999999999999998E-2</v>
      </c>
      <c r="D214" s="845">
        <v>0.09</v>
      </c>
      <c r="E214" s="845">
        <v>9.1999999999999998E-2</v>
      </c>
      <c r="F214" s="850"/>
    </row>
    <row r="215" spans="1:6" ht="14.5" thickBot="1">
      <c r="A215" s="715" t="s">
        <v>485</v>
      </c>
      <c r="B215" s="709" t="s">
        <v>856</v>
      </c>
      <c r="C215" s="845">
        <v>0.15</v>
      </c>
      <c r="D215" s="845">
        <v>0.15</v>
      </c>
      <c r="E215" s="845">
        <v>0.15</v>
      </c>
      <c r="F215" s="846">
        <v>0.15</v>
      </c>
    </row>
    <row r="216" spans="1:6" ht="14.5" thickBot="1">
      <c r="A216" s="715" t="s">
        <v>485</v>
      </c>
      <c r="B216" s="709" t="s">
        <v>252</v>
      </c>
      <c r="C216" s="845">
        <v>0.14699999999999999</v>
      </c>
      <c r="D216" s="845">
        <v>0.14699999999999999</v>
      </c>
      <c r="E216" s="845">
        <v>0.15</v>
      </c>
      <c r="F216" s="846">
        <v>0.14000000000000001</v>
      </c>
    </row>
    <row r="217" spans="1:6" ht="14.5" thickBot="1">
      <c r="A217" s="715" t="s">
        <v>485</v>
      </c>
      <c r="B217" s="709" t="s">
        <v>263</v>
      </c>
      <c r="C217" s="845">
        <v>0.15</v>
      </c>
      <c r="D217" s="845">
        <v>0.15</v>
      </c>
      <c r="E217" s="845">
        <v>0.15</v>
      </c>
      <c r="F217" s="846">
        <v>0.15</v>
      </c>
    </row>
    <row r="218" spans="1:6" ht="14.5" thickBot="1">
      <c r="A218" s="715" t="s">
        <v>485</v>
      </c>
      <c r="B218" s="709" t="s">
        <v>857</v>
      </c>
      <c r="C218" s="845">
        <v>0.15</v>
      </c>
      <c r="D218" s="845">
        <v>0.15</v>
      </c>
      <c r="E218" s="845">
        <v>0.15</v>
      </c>
      <c r="F218" s="846">
        <v>0.15</v>
      </c>
    </row>
    <row r="219" spans="1:6" ht="14.5" thickBot="1">
      <c r="A219" s="715" t="s">
        <v>485</v>
      </c>
      <c r="B219" s="709" t="s">
        <v>285</v>
      </c>
      <c r="C219" s="845">
        <v>0.15</v>
      </c>
      <c r="D219" s="845">
        <v>0.15</v>
      </c>
      <c r="E219" s="845">
        <v>0.15</v>
      </c>
      <c r="F219" s="846">
        <v>0.14799999999999999</v>
      </c>
    </row>
    <row r="220" spans="1:6" ht="14.5" thickBot="1">
      <c r="A220" s="715" t="s">
        <v>485</v>
      </c>
      <c r="B220" s="709" t="s">
        <v>858</v>
      </c>
      <c r="C220" s="845">
        <v>0.15</v>
      </c>
      <c r="D220" s="845">
        <v>0.15</v>
      </c>
      <c r="E220" s="845">
        <v>0.15</v>
      </c>
      <c r="F220" s="846">
        <v>0.15</v>
      </c>
    </row>
    <row r="221" spans="1:6" ht="14.5" thickBot="1">
      <c r="A221" s="715" t="s">
        <v>485</v>
      </c>
      <c r="B221" s="709" t="s">
        <v>306</v>
      </c>
      <c r="C221" s="845"/>
      <c r="D221" s="851"/>
      <c r="E221" s="851"/>
      <c r="F221" s="846">
        <v>0.14799999999999999</v>
      </c>
    </row>
    <row r="222" spans="1:6" ht="14.5" thickBot="1">
      <c r="A222" s="715" t="s">
        <v>485</v>
      </c>
      <c r="B222" s="709" t="s">
        <v>316</v>
      </c>
      <c r="C222" s="845"/>
      <c r="D222" s="851"/>
      <c r="E222" s="851"/>
      <c r="F222" s="846">
        <v>0.1</v>
      </c>
    </row>
    <row r="223" spans="1:6" ht="14.5" thickBot="1">
      <c r="A223" s="715" t="s">
        <v>485</v>
      </c>
      <c r="B223" s="709" t="s">
        <v>326</v>
      </c>
      <c r="C223" s="845"/>
      <c r="D223" s="851"/>
      <c r="E223" s="851"/>
      <c r="F223" s="846">
        <v>0.15</v>
      </c>
    </row>
    <row r="224" spans="1:6" ht="14.5" thickBot="1">
      <c r="A224" s="715" t="s">
        <v>485</v>
      </c>
      <c r="B224" s="709" t="s">
        <v>336</v>
      </c>
      <c r="C224" s="845"/>
      <c r="D224" s="851"/>
      <c r="E224" s="851"/>
      <c r="F224" s="846">
        <v>0.15</v>
      </c>
    </row>
    <row r="225" spans="1:6" ht="14.5" thickBot="1">
      <c r="A225" s="715" t="s">
        <v>485</v>
      </c>
      <c r="B225" s="709" t="s">
        <v>859</v>
      </c>
      <c r="C225" s="845">
        <v>0.15</v>
      </c>
      <c r="D225" s="845">
        <v>0.15</v>
      </c>
      <c r="E225" s="845">
        <v>0.15</v>
      </c>
      <c r="F225" s="846">
        <v>0.15</v>
      </c>
    </row>
    <row r="226" spans="1:6" ht="14.5" thickBot="1">
      <c r="A226" s="715" t="s">
        <v>485</v>
      </c>
      <c r="B226" s="709" t="s">
        <v>354</v>
      </c>
      <c r="C226" s="845">
        <v>0.15</v>
      </c>
      <c r="D226" s="845">
        <v>0.15</v>
      </c>
      <c r="E226" s="845">
        <v>0.15</v>
      </c>
      <c r="F226" s="846">
        <v>0.14799999999999999</v>
      </c>
    </row>
    <row r="227" spans="1:6" ht="14.5" thickBot="1">
      <c r="A227" s="715" t="s">
        <v>485</v>
      </c>
      <c r="B227" s="709" t="s">
        <v>860</v>
      </c>
      <c r="C227" s="845">
        <v>0.15</v>
      </c>
      <c r="D227" s="845">
        <v>0.15</v>
      </c>
      <c r="E227" s="845">
        <v>0.15</v>
      </c>
      <c r="F227" s="846">
        <v>0.15</v>
      </c>
    </row>
    <row r="228" spans="1:6" ht="14.5" thickBot="1">
      <c r="A228" s="715" t="s">
        <v>485</v>
      </c>
      <c r="B228" s="709" t="s">
        <v>369</v>
      </c>
      <c r="C228" s="845">
        <v>0.15</v>
      </c>
      <c r="D228" s="845">
        <v>0.15</v>
      </c>
      <c r="E228" s="845">
        <v>0.15</v>
      </c>
      <c r="F228" s="846">
        <v>0.15</v>
      </c>
    </row>
    <row r="229" spans="1:6" ht="14.5" thickBot="1">
      <c r="A229" s="715" t="s">
        <v>485</v>
      </c>
      <c r="B229" s="709" t="s">
        <v>376</v>
      </c>
      <c r="C229" s="845">
        <v>0.15</v>
      </c>
      <c r="D229" s="845">
        <v>0.15</v>
      </c>
      <c r="E229" s="845">
        <v>0.15</v>
      </c>
      <c r="F229" s="850"/>
    </row>
    <row r="230" spans="1:6" ht="14.5" thickBot="1">
      <c r="A230" s="715" t="s">
        <v>485</v>
      </c>
      <c r="B230" s="709" t="s">
        <v>383</v>
      </c>
      <c r="C230" s="845">
        <v>0.14499999999999999</v>
      </c>
      <c r="D230" s="845">
        <v>0.14499999999999999</v>
      </c>
      <c r="E230" s="845">
        <v>0.14399999999999999</v>
      </c>
      <c r="F230" s="850"/>
    </row>
    <row r="231" spans="1:6" ht="14.5" thickBot="1">
      <c r="A231" s="715" t="s">
        <v>485</v>
      </c>
      <c r="B231" s="709" t="s">
        <v>861</v>
      </c>
      <c r="C231" s="845">
        <v>0.128</v>
      </c>
      <c r="D231" s="845">
        <v>0.125</v>
      </c>
      <c r="E231" s="845">
        <v>0.13200000000000001</v>
      </c>
      <c r="F231" s="850"/>
    </row>
    <row r="232" spans="1:6" ht="14.5" thickBot="1">
      <c r="A232" s="715" t="s">
        <v>485</v>
      </c>
      <c r="B232" s="709" t="s">
        <v>862</v>
      </c>
      <c r="C232" s="845">
        <v>0.14499999999999999</v>
      </c>
      <c r="D232" s="845">
        <v>0.14399999999999999</v>
      </c>
      <c r="E232" s="845">
        <v>0.14599999999999999</v>
      </c>
      <c r="F232" s="846">
        <v>0.13800000000000001</v>
      </c>
    </row>
    <row r="233" spans="1:6" ht="14.5" thickBot="1">
      <c r="A233" s="715" t="s">
        <v>485</v>
      </c>
      <c r="B233" s="709" t="s">
        <v>863</v>
      </c>
      <c r="C233" s="845">
        <v>0.14499999999999999</v>
      </c>
      <c r="D233" s="845">
        <v>0.14299999999999999</v>
      </c>
      <c r="E233" s="845">
        <v>0.14199999999999999</v>
      </c>
      <c r="F233" s="850"/>
    </row>
    <row r="234" spans="1:6" ht="14.5" thickBot="1">
      <c r="A234" s="715" t="s">
        <v>485</v>
      </c>
      <c r="B234" s="709" t="s">
        <v>864</v>
      </c>
      <c r="C234" s="845">
        <v>0.14000000000000001</v>
      </c>
      <c r="D234" s="845">
        <v>0.14000000000000001</v>
      </c>
      <c r="E234" s="845">
        <v>0.14399999999999999</v>
      </c>
      <c r="F234" s="850"/>
    </row>
    <row r="235" spans="1:6" ht="14.5" thickBot="1">
      <c r="A235" s="715" t="s">
        <v>485</v>
      </c>
      <c r="B235" s="709" t="s">
        <v>865</v>
      </c>
      <c r="C235" s="845">
        <v>0.14099999999999999</v>
      </c>
      <c r="D235" s="845">
        <v>0.14199999999999999</v>
      </c>
      <c r="E235" s="845">
        <v>0.14499999999999999</v>
      </c>
      <c r="F235" s="846">
        <v>0.15</v>
      </c>
    </row>
    <row r="236" spans="1:6" ht="14.5" thickBot="1">
      <c r="A236" s="715" t="s">
        <v>485</v>
      </c>
      <c r="B236" s="709" t="s">
        <v>418</v>
      </c>
      <c r="C236" s="851"/>
      <c r="D236" s="851"/>
      <c r="E236" s="851"/>
      <c r="F236" s="846">
        <v>0.14299999999999999</v>
      </c>
    </row>
    <row r="237" spans="1:6" ht="26.5" thickBot="1">
      <c r="A237" s="715" t="s">
        <v>485</v>
      </c>
      <c r="B237" s="709" t="s">
        <v>866</v>
      </c>
      <c r="C237" s="851"/>
      <c r="D237" s="851"/>
      <c r="E237" s="851"/>
      <c r="F237" s="846">
        <v>0.05</v>
      </c>
    </row>
    <row r="238" spans="1:6" ht="26.5" thickBot="1">
      <c r="A238" s="715" t="s">
        <v>485</v>
      </c>
      <c r="B238" s="709" t="s">
        <v>867</v>
      </c>
      <c r="C238" s="851"/>
      <c r="D238" s="851"/>
      <c r="E238" s="851"/>
      <c r="F238" s="846">
        <v>0.05</v>
      </c>
    </row>
    <row r="239" spans="1:6" ht="26.5" thickBot="1">
      <c r="A239" s="715" t="s">
        <v>485</v>
      </c>
      <c r="B239" s="709" t="s">
        <v>868</v>
      </c>
      <c r="C239" s="851"/>
      <c r="D239" s="851"/>
      <c r="E239" s="851"/>
      <c r="F239" s="846">
        <v>0.05</v>
      </c>
    </row>
    <row r="240" spans="1:6" ht="26.5" thickBot="1">
      <c r="A240" s="715" t="s">
        <v>485</v>
      </c>
      <c r="B240" s="709" t="s">
        <v>869</v>
      </c>
      <c r="C240" s="851"/>
      <c r="D240" s="851"/>
      <c r="E240" s="851"/>
      <c r="F240" s="846">
        <v>0.05</v>
      </c>
    </row>
    <row r="241" spans="1:6" ht="26.5" thickBot="1">
      <c r="A241" s="715" t="s">
        <v>485</v>
      </c>
      <c r="B241" s="709" t="s">
        <v>870</v>
      </c>
      <c r="C241" s="851"/>
      <c r="D241" s="851"/>
      <c r="E241" s="851"/>
      <c r="F241" s="846">
        <v>0.05</v>
      </c>
    </row>
    <row r="242" spans="1:6" ht="26.5" thickBot="1">
      <c r="A242" s="715" t="s">
        <v>485</v>
      </c>
      <c r="B242" s="709" t="s">
        <v>871</v>
      </c>
      <c r="C242" s="851"/>
      <c r="D242" s="851"/>
      <c r="E242" s="851"/>
      <c r="F242" s="846">
        <v>0.05</v>
      </c>
    </row>
    <row r="243" spans="1:6" ht="26.5" thickBot="1">
      <c r="A243" s="715" t="s">
        <v>485</v>
      </c>
      <c r="B243" s="709" t="s">
        <v>872</v>
      </c>
      <c r="C243" s="851"/>
      <c r="D243" s="851"/>
      <c r="E243" s="851"/>
      <c r="F243" s="846">
        <v>0.05</v>
      </c>
    </row>
    <row r="244" spans="1:6" ht="26.5" thickBot="1">
      <c r="A244" s="732" t="s">
        <v>485</v>
      </c>
      <c r="B244" s="725" t="s">
        <v>873</v>
      </c>
      <c r="C244" s="848"/>
      <c r="D244" s="848"/>
      <c r="E244" s="848"/>
      <c r="F244" s="852">
        <v>0.05</v>
      </c>
    </row>
    <row r="245" spans="1:6" ht="14.5" thickBot="1">
      <c r="A245" s="715" t="s">
        <v>487</v>
      </c>
      <c r="B245" s="716" t="s">
        <v>874</v>
      </c>
      <c r="C245" s="843">
        <v>0.15</v>
      </c>
      <c r="D245" s="843">
        <v>0.15</v>
      </c>
      <c r="E245" s="843">
        <v>0.15</v>
      </c>
      <c r="F245" s="844">
        <v>0.14299999999999999</v>
      </c>
    </row>
    <row r="246" spans="1:6" ht="14.5" thickBot="1">
      <c r="A246" s="715" t="s">
        <v>487</v>
      </c>
      <c r="B246" s="709" t="s">
        <v>144</v>
      </c>
      <c r="C246" s="845">
        <v>0.15</v>
      </c>
      <c r="D246" s="845">
        <v>0.15</v>
      </c>
      <c r="E246" s="845">
        <v>0.15</v>
      </c>
      <c r="F246" s="846">
        <v>0.114</v>
      </c>
    </row>
    <row r="247" spans="1:6" ht="14.5" thickBot="1">
      <c r="A247" s="715" t="s">
        <v>487</v>
      </c>
      <c r="B247" s="709" t="s">
        <v>875</v>
      </c>
      <c r="C247" s="845">
        <v>0.15</v>
      </c>
      <c r="D247" s="845">
        <v>0.15</v>
      </c>
      <c r="E247" s="845">
        <v>0.15</v>
      </c>
      <c r="F247" s="846">
        <v>0.15</v>
      </c>
    </row>
    <row r="248" spans="1:6" ht="14.5" thickBot="1">
      <c r="A248" s="715" t="s">
        <v>487</v>
      </c>
      <c r="B248" s="709" t="s">
        <v>876</v>
      </c>
      <c r="C248" s="845">
        <v>0.15</v>
      </c>
      <c r="D248" s="845">
        <v>0.15</v>
      </c>
      <c r="E248" s="845">
        <v>0.15</v>
      </c>
      <c r="F248" s="846">
        <v>0.14000000000000001</v>
      </c>
    </row>
    <row r="249" spans="1:6" ht="14.5" thickBot="1">
      <c r="A249" s="715" t="s">
        <v>487</v>
      </c>
      <c r="B249" s="709" t="s">
        <v>877</v>
      </c>
      <c r="C249" s="845">
        <v>0.15</v>
      </c>
      <c r="D249" s="845">
        <v>0.14899999999999999</v>
      </c>
      <c r="E249" s="845">
        <v>0.15</v>
      </c>
      <c r="F249" s="846">
        <v>0.1</v>
      </c>
    </row>
    <row r="250" spans="1:6" ht="14.5" thickBot="1">
      <c r="A250" s="715" t="s">
        <v>487</v>
      </c>
      <c r="B250" s="709" t="s">
        <v>878</v>
      </c>
      <c r="C250" s="845">
        <v>0.15</v>
      </c>
      <c r="D250" s="845">
        <v>0.15</v>
      </c>
      <c r="E250" s="845">
        <v>0.15</v>
      </c>
      <c r="F250" s="846">
        <v>0.14399999999999999</v>
      </c>
    </row>
    <row r="251" spans="1:6" ht="14.5" thickBot="1">
      <c r="A251" s="715" t="s">
        <v>487</v>
      </c>
      <c r="B251" s="709" t="s">
        <v>206</v>
      </c>
      <c r="C251" s="845">
        <v>0.15</v>
      </c>
      <c r="D251" s="845">
        <v>0.15</v>
      </c>
      <c r="E251" s="845">
        <v>0.15</v>
      </c>
      <c r="F251" s="846">
        <v>0.14299999999999999</v>
      </c>
    </row>
    <row r="252" spans="1:6" ht="14.5" thickBot="1">
      <c r="A252" s="715" t="s">
        <v>487</v>
      </c>
      <c r="B252" s="709" t="s">
        <v>218</v>
      </c>
      <c r="C252" s="845">
        <v>0.15</v>
      </c>
      <c r="D252" s="845">
        <v>0.15</v>
      </c>
      <c r="E252" s="845">
        <v>0.15</v>
      </c>
      <c r="F252" s="846">
        <v>0.1</v>
      </c>
    </row>
    <row r="253" spans="1:6" ht="14.5" thickBot="1">
      <c r="A253" s="715" t="s">
        <v>487</v>
      </c>
      <c r="B253" s="709" t="s">
        <v>231</v>
      </c>
      <c r="C253" s="845">
        <v>0.15</v>
      </c>
      <c r="D253" s="845">
        <v>0.15</v>
      </c>
      <c r="E253" s="845">
        <v>0.15</v>
      </c>
      <c r="F253" s="846">
        <v>0.1</v>
      </c>
    </row>
    <row r="254" spans="1:6" ht="14.5" thickBot="1">
      <c r="A254" s="715" t="s">
        <v>487</v>
      </c>
      <c r="B254" s="709" t="s">
        <v>242</v>
      </c>
      <c r="C254" s="851"/>
      <c r="D254" s="851"/>
      <c r="E254" s="851"/>
      <c r="F254" s="846">
        <v>0.15</v>
      </c>
    </row>
    <row r="255" spans="1:6" ht="14.5" thickBot="1">
      <c r="A255" s="715" t="s">
        <v>487</v>
      </c>
      <c r="B255" s="709" t="s">
        <v>253</v>
      </c>
      <c r="C255" s="851"/>
      <c r="D255" s="851"/>
      <c r="E255" s="851"/>
      <c r="F255" s="846">
        <v>0.14299999999999999</v>
      </c>
    </row>
    <row r="256" spans="1:6" ht="14.5" thickBot="1">
      <c r="A256" s="715" t="s">
        <v>487</v>
      </c>
      <c r="B256" s="709" t="s">
        <v>879</v>
      </c>
      <c r="C256" s="845">
        <v>0.14599999999999999</v>
      </c>
      <c r="D256" s="845">
        <v>0.14699999999999999</v>
      </c>
      <c r="E256" s="845">
        <v>0.15</v>
      </c>
      <c r="F256" s="846">
        <v>0.13200000000000001</v>
      </c>
    </row>
    <row r="257" spans="1:6" ht="14.5" thickBot="1">
      <c r="A257" s="715" t="s">
        <v>487</v>
      </c>
      <c r="B257" s="709" t="s">
        <v>275</v>
      </c>
      <c r="C257" s="845">
        <v>0.15</v>
      </c>
      <c r="D257" s="845">
        <v>0.15</v>
      </c>
      <c r="E257" s="845">
        <v>0.15</v>
      </c>
      <c r="F257" s="846">
        <v>0.13900000000000001</v>
      </c>
    </row>
    <row r="258" spans="1:6" ht="14.5" thickBot="1">
      <c r="A258" s="715" t="s">
        <v>487</v>
      </c>
      <c r="B258" s="709" t="s">
        <v>286</v>
      </c>
      <c r="C258" s="845">
        <v>0.15</v>
      </c>
      <c r="D258" s="845">
        <v>0.15</v>
      </c>
      <c r="E258" s="845">
        <v>0.15</v>
      </c>
      <c r="F258" s="846">
        <v>0.13</v>
      </c>
    </row>
    <row r="259" spans="1:6" ht="14.5" thickBot="1">
      <c r="A259" s="715" t="s">
        <v>487</v>
      </c>
      <c r="B259" s="709" t="s">
        <v>880</v>
      </c>
      <c r="C259" s="845">
        <v>0.14799999999999999</v>
      </c>
      <c r="D259" s="845">
        <v>0.14899999999999999</v>
      </c>
      <c r="E259" s="845">
        <v>0.15</v>
      </c>
      <c r="F259" s="846">
        <v>0.13700000000000001</v>
      </c>
    </row>
    <row r="260" spans="1:6" ht="14.5" thickBot="1">
      <c r="A260" s="715" t="s">
        <v>487</v>
      </c>
      <c r="B260" s="709" t="s">
        <v>307</v>
      </c>
      <c r="C260" s="845">
        <v>0.15</v>
      </c>
      <c r="D260" s="845">
        <v>0.15</v>
      </c>
      <c r="E260" s="845">
        <v>0.15</v>
      </c>
      <c r="F260" s="846">
        <v>0.14199999999999999</v>
      </c>
    </row>
    <row r="261" spans="1:6" ht="14.5" thickBot="1">
      <c r="A261" s="715" t="s">
        <v>487</v>
      </c>
      <c r="B261" s="709" t="s">
        <v>317</v>
      </c>
      <c r="C261" s="845">
        <v>0.15</v>
      </c>
      <c r="D261" s="845">
        <v>0.15</v>
      </c>
      <c r="E261" s="845">
        <v>0.14899999999999999</v>
      </c>
      <c r="F261" s="846">
        <v>0.14799999999999999</v>
      </c>
    </row>
    <row r="262" spans="1:6" ht="14.5" thickBot="1">
      <c r="A262" s="715" t="s">
        <v>487</v>
      </c>
      <c r="B262" s="709" t="s">
        <v>327</v>
      </c>
      <c r="C262" s="845">
        <v>0.15</v>
      </c>
      <c r="D262" s="845">
        <v>0.15</v>
      </c>
      <c r="E262" s="845">
        <v>0.15</v>
      </c>
      <c r="F262" s="850"/>
    </row>
    <row r="263" spans="1:6" ht="14.5" thickBot="1">
      <c r="A263" s="715" t="s">
        <v>487</v>
      </c>
      <c r="B263" s="709" t="s">
        <v>881</v>
      </c>
      <c r="C263" s="845">
        <v>0.14899999999999999</v>
      </c>
      <c r="D263" s="845">
        <v>0.14899999999999999</v>
      </c>
      <c r="E263" s="845">
        <v>0.15</v>
      </c>
      <c r="F263" s="846">
        <v>0.13</v>
      </c>
    </row>
    <row r="264" spans="1:6" ht="14.5" thickBot="1">
      <c r="A264" s="715" t="s">
        <v>487</v>
      </c>
      <c r="B264" s="709" t="s">
        <v>346</v>
      </c>
      <c r="C264" s="845">
        <v>0.14799999999999999</v>
      </c>
      <c r="D264" s="845">
        <v>0.14699999999999999</v>
      </c>
      <c r="E264" s="845">
        <v>0.15</v>
      </c>
      <c r="F264" s="846">
        <v>7.8E-2</v>
      </c>
    </row>
    <row r="265" spans="1:6" ht="14.5" thickBot="1">
      <c r="A265" s="715" t="s">
        <v>487</v>
      </c>
      <c r="B265" s="709" t="s">
        <v>355</v>
      </c>
      <c r="C265" s="845">
        <v>0.15</v>
      </c>
      <c r="D265" s="845">
        <v>0.15</v>
      </c>
      <c r="E265" s="845">
        <v>0.15</v>
      </c>
      <c r="F265" s="846">
        <v>7.3999999999999996E-2</v>
      </c>
    </row>
    <row r="266" spans="1:6" ht="14.5" thickBot="1">
      <c r="A266" s="715" t="s">
        <v>487</v>
      </c>
      <c r="B266" s="709" t="s">
        <v>363</v>
      </c>
      <c r="C266" s="845">
        <v>0.14699999999999999</v>
      </c>
      <c r="D266" s="845">
        <v>0.14699999999999999</v>
      </c>
      <c r="E266" s="845">
        <v>0.15</v>
      </c>
      <c r="F266" s="846">
        <v>0.14299999999999999</v>
      </c>
    </row>
    <row r="267" spans="1:6" ht="14.5" thickBot="1">
      <c r="A267" s="715" t="s">
        <v>487</v>
      </c>
      <c r="B267" s="709" t="s">
        <v>370</v>
      </c>
      <c r="C267" s="845">
        <v>0.14199999999999999</v>
      </c>
      <c r="D267" s="845">
        <v>0.14299999999999999</v>
      </c>
      <c r="E267" s="845">
        <v>0.15</v>
      </c>
      <c r="F267" s="850"/>
    </row>
    <row r="268" spans="1:6" ht="14.5" thickBot="1">
      <c r="A268" s="715" t="s">
        <v>487</v>
      </c>
      <c r="B268" s="709" t="s">
        <v>882</v>
      </c>
      <c r="C268" s="845">
        <v>0.15</v>
      </c>
      <c r="D268" s="845">
        <v>0.15</v>
      </c>
      <c r="E268" s="845">
        <v>0.15</v>
      </c>
      <c r="F268" s="846">
        <v>0.13</v>
      </c>
    </row>
    <row r="269" spans="1:6" ht="14.5" thickBot="1">
      <c r="A269" s="715" t="s">
        <v>487</v>
      </c>
      <c r="B269" s="709" t="s">
        <v>384</v>
      </c>
      <c r="C269" s="845">
        <v>0.15</v>
      </c>
      <c r="D269" s="845">
        <v>0.15</v>
      </c>
      <c r="E269" s="845">
        <v>0.15</v>
      </c>
      <c r="F269" s="846">
        <v>0.14299999999999999</v>
      </c>
    </row>
    <row r="270" spans="1:6" ht="14.5" thickBot="1">
      <c r="A270" s="715" t="s">
        <v>487</v>
      </c>
      <c r="B270" s="709" t="s">
        <v>391</v>
      </c>
      <c r="C270" s="845">
        <v>0.14499999999999999</v>
      </c>
      <c r="D270" s="845">
        <v>0.14499999999999999</v>
      </c>
      <c r="E270" s="845">
        <v>0.15</v>
      </c>
      <c r="F270" s="846">
        <v>0.14699999999999999</v>
      </c>
    </row>
    <row r="271" spans="1:6" ht="14.5" thickBot="1">
      <c r="A271" s="715" t="s">
        <v>487</v>
      </c>
      <c r="B271" s="709" t="s">
        <v>398</v>
      </c>
      <c r="C271" s="845">
        <v>0.15</v>
      </c>
      <c r="D271" s="845">
        <v>0.15</v>
      </c>
      <c r="E271" s="845">
        <v>0.15</v>
      </c>
      <c r="F271" s="846">
        <v>0.13800000000000001</v>
      </c>
    </row>
    <row r="272" spans="1:6" ht="14.5" thickBot="1">
      <c r="A272" s="715" t="s">
        <v>487</v>
      </c>
      <c r="B272" s="709" t="s">
        <v>405</v>
      </c>
      <c r="C272" s="851"/>
      <c r="D272" s="851"/>
      <c r="E272" s="851"/>
      <c r="F272" s="846">
        <v>0.14000000000000001</v>
      </c>
    </row>
    <row r="273" spans="1:6" ht="14.5" thickBot="1">
      <c r="A273" s="715" t="s">
        <v>487</v>
      </c>
      <c r="B273" s="709" t="s">
        <v>883</v>
      </c>
      <c r="C273" s="845">
        <v>0.14199999999999999</v>
      </c>
      <c r="D273" s="845">
        <v>0.14299999999999999</v>
      </c>
      <c r="E273" s="845">
        <v>0.15</v>
      </c>
      <c r="F273" s="846">
        <v>0.1</v>
      </c>
    </row>
    <row r="274" spans="1:6" ht="14.5" thickBot="1">
      <c r="A274" s="715" t="s">
        <v>487</v>
      </c>
      <c r="B274" s="709" t="s">
        <v>884</v>
      </c>
      <c r="C274" s="845">
        <v>0.14799999999999999</v>
      </c>
      <c r="D274" s="845">
        <v>0.14799999999999999</v>
      </c>
      <c r="E274" s="845">
        <v>0.15</v>
      </c>
      <c r="F274" s="846">
        <v>6.7000000000000004E-2</v>
      </c>
    </row>
    <row r="275" spans="1:6" ht="14.5" thickBot="1">
      <c r="A275" s="715" t="s">
        <v>487</v>
      </c>
      <c r="B275" s="709" t="s">
        <v>885</v>
      </c>
      <c r="C275" s="845">
        <v>0.15</v>
      </c>
      <c r="D275" s="845">
        <v>0.15</v>
      </c>
      <c r="E275" s="845">
        <v>0.15</v>
      </c>
      <c r="F275" s="846">
        <v>0.15</v>
      </c>
    </row>
    <row r="276" spans="1:6" ht="14.5" thickBot="1">
      <c r="A276" s="715" t="s">
        <v>487</v>
      </c>
      <c r="B276" s="709" t="s">
        <v>886</v>
      </c>
      <c r="C276" s="845">
        <v>0.14499999999999999</v>
      </c>
      <c r="D276" s="845">
        <v>0.14299999999999999</v>
      </c>
      <c r="E276" s="845">
        <v>0.15</v>
      </c>
      <c r="F276" s="846">
        <v>5.8999999999999997E-2</v>
      </c>
    </row>
    <row r="277" spans="1:6" ht="14.5" thickBot="1">
      <c r="A277" s="715" t="s">
        <v>487</v>
      </c>
      <c r="B277" s="709" t="s">
        <v>887</v>
      </c>
      <c r="C277" s="845">
        <v>0.15</v>
      </c>
      <c r="D277" s="845">
        <v>0.15</v>
      </c>
      <c r="E277" s="845">
        <v>0.15</v>
      </c>
      <c r="F277" s="846">
        <v>0.121</v>
      </c>
    </row>
    <row r="278" spans="1:6" ht="14.5" thickBot="1">
      <c r="A278" s="715" t="s">
        <v>487</v>
      </c>
      <c r="B278" s="709" t="s">
        <v>888</v>
      </c>
      <c r="C278" s="845">
        <v>0.15</v>
      </c>
      <c r="D278" s="845">
        <v>0.15</v>
      </c>
      <c r="E278" s="845">
        <v>0.15</v>
      </c>
      <c r="F278" s="846">
        <v>0.13800000000000001</v>
      </c>
    </row>
    <row r="279" spans="1:6" ht="26.5" thickBot="1">
      <c r="A279" s="715" t="s">
        <v>487</v>
      </c>
      <c r="B279" s="709" t="s">
        <v>889</v>
      </c>
      <c r="C279" s="851"/>
      <c r="D279" s="851"/>
      <c r="E279" s="851"/>
      <c r="F279" s="846">
        <v>0.05</v>
      </c>
    </row>
    <row r="280" spans="1:6" ht="26.5" thickBot="1">
      <c r="A280" s="715" t="s">
        <v>487</v>
      </c>
      <c r="B280" s="709" t="s">
        <v>890</v>
      </c>
      <c r="C280" s="851"/>
      <c r="D280" s="851"/>
      <c r="E280" s="851"/>
      <c r="F280" s="846">
        <v>0.05</v>
      </c>
    </row>
    <row r="281" spans="1:6" ht="26.5" thickBot="1">
      <c r="A281" s="715" t="s">
        <v>487</v>
      </c>
      <c r="B281" s="709" t="s">
        <v>891</v>
      </c>
      <c r="C281" s="851"/>
      <c r="D281" s="851"/>
      <c r="E281" s="851"/>
      <c r="F281" s="846">
        <v>0.05</v>
      </c>
    </row>
    <row r="282" spans="1:6" ht="26.5" thickBot="1">
      <c r="A282" s="715" t="s">
        <v>487</v>
      </c>
      <c r="B282" s="709" t="s">
        <v>892</v>
      </c>
      <c r="C282" s="851"/>
      <c r="D282" s="851"/>
      <c r="E282" s="851"/>
      <c r="F282" s="846">
        <v>0.05</v>
      </c>
    </row>
    <row r="283" spans="1:6" ht="26.5" thickBot="1">
      <c r="A283" s="715" t="s">
        <v>487</v>
      </c>
      <c r="B283" s="709" t="s">
        <v>893</v>
      </c>
      <c r="C283" s="851"/>
      <c r="D283" s="851"/>
      <c r="E283" s="851"/>
      <c r="F283" s="846">
        <v>0.05</v>
      </c>
    </row>
    <row r="284" spans="1:6" ht="26.5" thickBot="1">
      <c r="A284" s="715" t="s">
        <v>487</v>
      </c>
      <c r="B284" s="709" t="s">
        <v>894</v>
      </c>
      <c r="C284" s="851"/>
      <c r="D284" s="851"/>
      <c r="E284" s="851"/>
      <c r="F284" s="846">
        <v>0.05</v>
      </c>
    </row>
    <row r="285" spans="1:6" ht="26.5" thickBot="1">
      <c r="A285" s="715" t="s">
        <v>487</v>
      </c>
      <c r="B285" s="709" t="s">
        <v>895</v>
      </c>
      <c r="C285" s="851"/>
      <c r="D285" s="851"/>
      <c r="E285" s="851"/>
      <c r="F285" s="846">
        <v>0.05</v>
      </c>
    </row>
    <row r="286" spans="1:6" ht="26.5" thickBot="1">
      <c r="A286" s="715" t="s">
        <v>487</v>
      </c>
      <c r="B286" s="709" t="s">
        <v>896</v>
      </c>
      <c r="C286" s="851"/>
      <c r="D286" s="851"/>
      <c r="E286" s="851"/>
      <c r="F286" s="846">
        <v>0.05</v>
      </c>
    </row>
    <row r="287" spans="1:6" ht="26.5" thickBot="1">
      <c r="A287" s="715" t="s">
        <v>487</v>
      </c>
      <c r="B287" s="709" t="s">
        <v>897</v>
      </c>
      <c r="C287" s="851"/>
      <c r="D287" s="851"/>
      <c r="E287" s="851"/>
      <c r="F287" s="846">
        <v>0.05</v>
      </c>
    </row>
    <row r="288" spans="1:6" ht="26.5" thickBot="1">
      <c r="A288" s="715" t="s">
        <v>487</v>
      </c>
      <c r="B288" s="709" t="s">
        <v>898</v>
      </c>
      <c r="C288" s="851"/>
      <c r="D288" s="851"/>
      <c r="E288" s="851"/>
      <c r="F288" s="846">
        <v>0.05</v>
      </c>
    </row>
    <row r="289" spans="1:6" ht="26.5" thickBot="1">
      <c r="A289" s="732" t="s">
        <v>487</v>
      </c>
      <c r="B289" s="725" t="s">
        <v>899</v>
      </c>
      <c r="C289" s="848"/>
      <c r="D289" s="848"/>
      <c r="E289" s="848"/>
      <c r="F289" s="852">
        <v>0.05</v>
      </c>
    </row>
    <row r="290" spans="1:6" ht="14.5" thickBot="1">
      <c r="A290" s="715" t="s">
        <v>491</v>
      </c>
      <c r="B290" s="716" t="s">
        <v>900</v>
      </c>
      <c r="C290" s="843">
        <v>0.15</v>
      </c>
      <c r="D290" s="843">
        <v>0.15</v>
      </c>
      <c r="E290" s="843">
        <v>0.15</v>
      </c>
      <c r="F290" s="860"/>
    </row>
    <row r="291" spans="1:6" ht="14.5" thickBot="1">
      <c r="A291" s="715" t="s">
        <v>491</v>
      </c>
      <c r="B291" s="709" t="s">
        <v>145</v>
      </c>
      <c r="C291" s="845">
        <v>0.15</v>
      </c>
      <c r="D291" s="845">
        <v>0.15</v>
      </c>
      <c r="E291" s="845">
        <v>0.15</v>
      </c>
      <c r="F291" s="850"/>
    </row>
    <row r="292" spans="1:6" ht="14.5" thickBot="1">
      <c r="A292" s="715" t="s">
        <v>491</v>
      </c>
      <c r="B292" s="709" t="s">
        <v>901</v>
      </c>
      <c r="C292" s="845">
        <v>0.15</v>
      </c>
      <c r="D292" s="845">
        <v>0.15</v>
      </c>
      <c r="E292" s="845">
        <v>0.15</v>
      </c>
      <c r="F292" s="846">
        <v>0.14699999999999999</v>
      </c>
    </row>
    <row r="293" spans="1:6" ht="14.5" thickBot="1">
      <c r="A293" s="715" t="s">
        <v>491</v>
      </c>
      <c r="B293" s="709" t="s">
        <v>902</v>
      </c>
      <c r="C293" s="851"/>
      <c r="D293" s="851"/>
      <c r="E293" s="851"/>
      <c r="F293" s="846">
        <v>0.1</v>
      </c>
    </row>
    <row r="294" spans="1:6" ht="14.5" thickBot="1">
      <c r="A294" s="715" t="s">
        <v>491</v>
      </c>
      <c r="B294" s="709" t="s">
        <v>903</v>
      </c>
      <c r="C294" s="845">
        <v>0.15</v>
      </c>
      <c r="D294" s="845">
        <v>0.15</v>
      </c>
      <c r="E294" s="845">
        <v>0.15</v>
      </c>
      <c r="F294" s="846">
        <v>0.15</v>
      </c>
    </row>
    <row r="295" spans="1:6" ht="14.5" thickBot="1">
      <c r="A295" s="715" t="s">
        <v>491</v>
      </c>
      <c r="B295" s="709" t="s">
        <v>183</v>
      </c>
      <c r="C295" s="845">
        <v>0.15</v>
      </c>
      <c r="D295" s="845">
        <v>0.15</v>
      </c>
      <c r="E295" s="845">
        <v>0.15</v>
      </c>
      <c r="F295" s="846">
        <v>0.15</v>
      </c>
    </row>
    <row r="296" spans="1:6" ht="14.5" thickBot="1">
      <c r="A296" s="715" t="s">
        <v>491</v>
      </c>
      <c r="B296" s="709" t="s">
        <v>904</v>
      </c>
      <c r="C296" s="845">
        <v>0.15</v>
      </c>
      <c r="D296" s="845">
        <v>0.15</v>
      </c>
      <c r="E296" s="845">
        <v>0.15</v>
      </c>
      <c r="F296" s="846">
        <v>0.15</v>
      </c>
    </row>
    <row r="297" spans="1:6" ht="14.5" thickBot="1">
      <c r="A297" s="715" t="s">
        <v>491</v>
      </c>
      <c r="B297" s="709" t="s">
        <v>905</v>
      </c>
      <c r="C297" s="845">
        <v>0.14799999999999999</v>
      </c>
      <c r="D297" s="845">
        <v>0.14899999999999999</v>
      </c>
      <c r="E297" s="845">
        <v>0.15</v>
      </c>
      <c r="F297" s="846">
        <v>0.13700000000000001</v>
      </c>
    </row>
    <row r="298" spans="1:6" ht="14.5" thickBot="1">
      <c r="A298" s="715" t="s">
        <v>491</v>
      </c>
      <c r="B298" s="709" t="s">
        <v>219</v>
      </c>
      <c r="C298" s="845">
        <v>0.13400000000000001</v>
      </c>
      <c r="D298" s="845">
        <v>0.13400000000000001</v>
      </c>
      <c r="E298" s="845">
        <v>0.14499999999999999</v>
      </c>
      <c r="F298" s="846">
        <v>0.14799999999999999</v>
      </c>
    </row>
    <row r="299" spans="1:6" ht="14.5" thickBot="1">
      <c r="A299" s="715" t="s">
        <v>491</v>
      </c>
      <c r="B299" s="709" t="s">
        <v>232</v>
      </c>
      <c r="C299" s="845">
        <v>0.15</v>
      </c>
      <c r="D299" s="845">
        <v>0.15</v>
      </c>
      <c r="E299" s="845">
        <v>0.15</v>
      </c>
      <c r="F299" s="850"/>
    </row>
    <row r="300" spans="1:6" ht="14.5" thickBot="1">
      <c r="A300" s="715" t="s">
        <v>491</v>
      </c>
      <c r="B300" s="709" t="s">
        <v>906</v>
      </c>
      <c r="C300" s="845">
        <v>0.15</v>
      </c>
      <c r="D300" s="845">
        <v>0.15</v>
      </c>
      <c r="E300" s="845">
        <v>0.15</v>
      </c>
      <c r="F300" s="846">
        <v>0.15</v>
      </c>
    </row>
    <row r="301" spans="1:6" ht="14.5" thickBot="1">
      <c r="A301" s="715" t="s">
        <v>491</v>
      </c>
      <c r="B301" s="709" t="s">
        <v>254</v>
      </c>
      <c r="C301" s="845">
        <v>0.15</v>
      </c>
      <c r="D301" s="845">
        <v>0.15</v>
      </c>
      <c r="E301" s="845">
        <v>0.15</v>
      </c>
      <c r="F301" s="850"/>
    </row>
    <row r="302" spans="1:6" ht="14.5" thickBot="1">
      <c r="A302" s="715" t="s">
        <v>491</v>
      </c>
      <c r="B302" s="709" t="s">
        <v>907</v>
      </c>
      <c r="C302" s="845">
        <v>0.15</v>
      </c>
      <c r="D302" s="845">
        <v>0.15</v>
      </c>
      <c r="E302" s="845">
        <v>0.15</v>
      </c>
      <c r="F302" s="846">
        <v>0.15</v>
      </c>
    </row>
    <row r="303" spans="1:6" ht="14.5" thickBot="1">
      <c r="A303" s="715" t="s">
        <v>491</v>
      </c>
      <c r="B303" s="709" t="s">
        <v>276</v>
      </c>
      <c r="C303" s="845">
        <v>0.15</v>
      </c>
      <c r="D303" s="845">
        <v>0.15</v>
      </c>
      <c r="E303" s="845">
        <v>0.15</v>
      </c>
      <c r="F303" s="846">
        <v>0.15</v>
      </c>
    </row>
    <row r="304" spans="1:6" ht="14.5" thickBot="1">
      <c r="A304" s="715" t="s">
        <v>491</v>
      </c>
      <c r="B304" s="709" t="s">
        <v>287</v>
      </c>
      <c r="C304" s="845">
        <v>0.15</v>
      </c>
      <c r="D304" s="845">
        <v>0.15</v>
      </c>
      <c r="E304" s="845">
        <v>0.15</v>
      </c>
      <c r="F304" s="850"/>
    </row>
    <row r="305" spans="1:6" ht="14.5" thickBot="1">
      <c r="A305" s="715" t="s">
        <v>491</v>
      </c>
      <c r="B305" s="709" t="s">
        <v>908</v>
      </c>
      <c r="C305" s="845">
        <v>0.15</v>
      </c>
      <c r="D305" s="845">
        <v>0.15</v>
      </c>
      <c r="E305" s="845">
        <v>0.15</v>
      </c>
      <c r="F305" s="846">
        <v>0.14000000000000001</v>
      </c>
    </row>
    <row r="306" spans="1:6" ht="14.5" thickBot="1">
      <c r="A306" s="715" t="s">
        <v>491</v>
      </c>
      <c r="B306" s="709" t="s">
        <v>308</v>
      </c>
      <c r="C306" s="845">
        <v>0.15</v>
      </c>
      <c r="D306" s="845">
        <v>0.15</v>
      </c>
      <c r="E306" s="845">
        <v>0.15</v>
      </c>
      <c r="F306" s="850"/>
    </row>
    <row r="307" spans="1:6" ht="14.5" thickBot="1">
      <c r="A307" s="715" t="s">
        <v>491</v>
      </c>
      <c r="B307" s="709" t="s">
        <v>909</v>
      </c>
      <c r="C307" s="845">
        <v>0.15</v>
      </c>
      <c r="D307" s="845">
        <v>0.15</v>
      </c>
      <c r="E307" s="845">
        <v>0.15</v>
      </c>
      <c r="F307" s="846">
        <v>0.14299999999999999</v>
      </c>
    </row>
    <row r="308" spans="1:6" ht="14.5" thickBot="1">
      <c r="A308" s="715" t="s">
        <v>491</v>
      </c>
      <c r="B308" s="709" t="s">
        <v>328</v>
      </c>
      <c r="C308" s="845">
        <v>0.15</v>
      </c>
      <c r="D308" s="845">
        <v>0.15</v>
      </c>
      <c r="E308" s="845">
        <v>0.15</v>
      </c>
      <c r="F308" s="846">
        <v>0.15</v>
      </c>
    </row>
    <row r="309" spans="1:6" ht="14.5" thickBot="1">
      <c r="A309" s="715" t="s">
        <v>491</v>
      </c>
      <c r="B309" s="709" t="s">
        <v>338</v>
      </c>
      <c r="C309" s="845">
        <v>0.15</v>
      </c>
      <c r="D309" s="845">
        <v>0.15</v>
      </c>
      <c r="E309" s="845">
        <v>0.15</v>
      </c>
      <c r="F309" s="850"/>
    </row>
    <row r="310" spans="1:6" ht="14.5" thickBot="1">
      <c r="A310" s="715" t="s">
        <v>491</v>
      </c>
      <c r="B310" s="709" t="s">
        <v>910</v>
      </c>
      <c r="C310" s="845">
        <v>0.15</v>
      </c>
      <c r="D310" s="845">
        <v>0.15</v>
      </c>
      <c r="E310" s="845">
        <v>0.15</v>
      </c>
      <c r="F310" s="846">
        <v>0.13700000000000001</v>
      </c>
    </row>
    <row r="311" spans="1:6" ht="14.5" thickBot="1">
      <c r="A311" s="715" t="s">
        <v>491</v>
      </c>
      <c r="B311" s="709" t="s">
        <v>911</v>
      </c>
      <c r="C311" s="845">
        <v>0.15</v>
      </c>
      <c r="D311" s="845">
        <v>0.15</v>
      </c>
      <c r="E311" s="845">
        <v>0.15</v>
      </c>
      <c r="F311" s="846">
        <v>0.15</v>
      </c>
    </row>
    <row r="312" spans="1:6" ht="14.5" thickBot="1">
      <c r="A312" s="715" t="s">
        <v>491</v>
      </c>
      <c r="B312" s="709" t="s">
        <v>364</v>
      </c>
      <c r="C312" s="845">
        <v>0.15</v>
      </c>
      <c r="D312" s="845">
        <v>0.15</v>
      </c>
      <c r="E312" s="845">
        <v>0.15</v>
      </c>
      <c r="F312" s="846">
        <v>0.1</v>
      </c>
    </row>
    <row r="313" spans="1:6" ht="14.5" thickBot="1">
      <c r="A313" s="715" t="s">
        <v>491</v>
      </c>
      <c r="B313" s="709" t="s">
        <v>912</v>
      </c>
      <c r="C313" s="845">
        <v>0.15</v>
      </c>
      <c r="D313" s="845">
        <v>0.15</v>
      </c>
      <c r="E313" s="845">
        <v>0.15</v>
      </c>
      <c r="F313" s="846">
        <v>0.15</v>
      </c>
    </row>
    <row r="314" spans="1:6" ht="26.5" thickBot="1">
      <c r="A314" s="715" t="s">
        <v>491</v>
      </c>
      <c r="B314" s="709" t="s">
        <v>913</v>
      </c>
      <c r="C314" s="851"/>
      <c r="D314" s="851"/>
      <c r="E314" s="851"/>
      <c r="F314" s="846">
        <v>0.05</v>
      </c>
    </row>
    <row r="315" spans="1:6" ht="26.5" thickBot="1">
      <c r="A315" s="715" t="s">
        <v>491</v>
      </c>
      <c r="B315" s="709" t="s">
        <v>914</v>
      </c>
      <c r="C315" s="851"/>
      <c r="D315" s="851"/>
      <c r="E315" s="851"/>
      <c r="F315" s="846">
        <v>0.05</v>
      </c>
    </row>
    <row r="316" spans="1:6" ht="26.5" thickBot="1">
      <c r="A316" s="732" t="s">
        <v>491</v>
      </c>
      <c r="B316" s="725" t="s">
        <v>915</v>
      </c>
      <c r="C316" s="848"/>
      <c r="D316" s="848"/>
      <c r="E316" s="848"/>
      <c r="F316" s="852">
        <v>0.05</v>
      </c>
    </row>
    <row r="317" spans="1:6" ht="14.5" thickBot="1">
      <c r="A317" s="715" t="s">
        <v>916</v>
      </c>
      <c r="B317" s="716" t="s">
        <v>917</v>
      </c>
      <c r="C317" s="843">
        <v>0.15</v>
      </c>
      <c r="D317" s="843">
        <v>0.15</v>
      </c>
      <c r="E317" s="843">
        <v>0.15</v>
      </c>
      <c r="F317" s="844">
        <v>0.15</v>
      </c>
    </row>
    <row r="318" spans="1:6" ht="14.5" thickBot="1">
      <c r="A318" s="715" t="s">
        <v>916</v>
      </c>
      <c r="B318" s="709" t="s">
        <v>918</v>
      </c>
      <c r="C318" s="845">
        <v>0.107</v>
      </c>
      <c r="D318" s="845">
        <v>0.11</v>
      </c>
      <c r="E318" s="845">
        <v>0.112</v>
      </c>
      <c r="F318" s="850"/>
    </row>
    <row r="319" spans="1:6" ht="14.5" thickBot="1">
      <c r="A319" s="715" t="s">
        <v>916</v>
      </c>
      <c r="B319" s="709" t="s">
        <v>919</v>
      </c>
      <c r="C319" s="845">
        <v>0.15</v>
      </c>
      <c r="D319" s="845">
        <v>0.15</v>
      </c>
      <c r="E319" s="845">
        <v>0.15</v>
      </c>
      <c r="F319" s="846">
        <v>0.15</v>
      </c>
    </row>
    <row r="320" spans="1:6" ht="14.5" thickBot="1">
      <c r="A320" s="715" t="s">
        <v>916</v>
      </c>
      <c r="B320" s="709" t="s">
        <v>172</v>
      </c>
      <c r="C320" s="845">
        <v>0.15</v>
      </c>
      <c r="D320" s="845">
        <v>0.15</v>
      </c>
      <c r="E320" s="845">
        <v>0.15</v>
      </c>
      <c r="F320" s="850"/>
    </row>
    <row r="321" spans="1:6" ht="14.5" thickBot="1">
      <c r="A321" s="715" t="s">
        <v>916</v>
      </c>
      <c r="B321" s="709" t="s">
        <v>920</v>
      </c>
      <c r="C321" s="845">
        <v>0.15</v>
      </c>
      <c r="D321" s="845">
        <v>0.15</v>
      </c>
      <c r="E321" s="845">
        <v>0.15</v>
      </c>
      <c r="F321" s="850"/>
    </row>
    <row r="322" spans="1:6" ht="14.5" thickBot="1">
      <c r="A322" s="715" t="s">
        <v>916</v>
      </c>
      <c r="B322" s="709" t="s">
        <v>921</v>
      </c>
      <c r="C322" s="845">
        <v>0.15</v>
      </c>
      <c r="D322" s="845">
        <v>0.15</v>
      </c>
      <c r="E322" s="845">
        <v>0.15</v>
      </c>
      <c r="F322" s="846">
        <v>0.15</v>
      </c>
    </row>
    <row r="323" spans="1:6" ht="14.5" thickBot="1">
      <c r="A323" s="715" t="s">
        <v>916</v>
      </c>
      <c r="B323" s="709" t="s">
        <v>922</v>
      </c>
      <c r="C323" s="845">
        <v>0.15</v>
      </c>
      <c r="D323" s="845">
        <v>0.15</v>
      </c>
      <c r="E323" s="845">
        <v>0.15</v>
      </c>
      <c r="F323" s="850"/>
    </row>
    <row r="324" spans="1:6" ht="14.5" thickBot="1">
      <c r="A324" s="715" t="s">
        <v>916</v>
      </c>
      <c r="B324" s="709" t="s">
        <v>923</v>
      </c>
      <c r="C324" s="845">
        <v>0.15</v>
      </c>
      <c r="D324" s="845">
        <v>0.15</v>
      </c>
      <c r="E324" s="845">
        <v>0.15</v>
      </c>
      <c r="F324" s="850"/>
    </row>
    <row r="325" spans="1:6" ht="14.5" thickBot="1">
      <c r="A325" s="715" t="s">
        <v>916</v>
      </c>
      <c r="B325" s="709" t="s">
        <v>924</v>
      </c>
      <c r="C325" s="845">
        <v>0.15</v>
      </c>
      <c r="D325" s="845">
        <v>0.15</v>
      </c>
      <c r="E325" s="845">
        <v>0.15</v>
      </c>
      <c r="F325" s="846">
        <v>0.14699999999999999</v>
      </c>
    </row>
    <row r="326" spans="1:6" ht="14.5" thickBot="1">
      <c r="A326" s="715" t="s">
        <v>916</v>
      </c>
      <c r="B326" s="709" t="s">
        <v>244</v>
      </c>
      <c r="C326" s="845">
        <v>0.15</v>
      </c>
      <c r="D326" s="845">
        <v>0.15</v>
      </c>
      <c r="E326" s="845">
        <v>0.15</v>
      </c>
      <c r="F326" s="850"/>
    </row>
    <row r="327" spans="1:6" ht="14.5" thickBot="1">
      <c r="A327" s="715" t="s">
        <v>916</v>
      </c>
      <c r="B327" s="709" t="s">
        <v>925</v>
      </c>
      <c r="C327" s="845">
        <v>0.15</v>
      </c>
      <c r="D327" s="845">
        <v>0.15</v>
      </c>
      <c r="E327" s="845">
        <v>0.15</v>
      </c>
      <c r="F327" s="846">
        <v>0.15</v>
      </c>
    </row>
    <row r="328" spans="1:6" ht="14.5" thickBot="1">
      <c r="A328" s="715" t="s">
        <v>916</v>
      </c>
      <c r="B328" s="709" t="s">
        <v>266</v>
      </c>
      <c r="C328" s="845">
        <v>0.15</v>
      </c>
      <c r="D328" s="845">
        <v>0.15</v>
      </c>
      <c r="E328" s="845">
        <v>0.15</v>
      </c>
      <c r="F328" s="846">
        <v>0.14099999999999999</v>
      </c>
    </row>
    <row r="329" spans="1:6" ht="14.5" thickBot="1">
      <c r="A329" s="715" t="s">
        <v>916</v>
      </c>
      <c r="B329" s="709" t="s">
        <v>277</v>
      </c>
      <c r="C329" s="845">
        <v>0.15</v>
      </c>
      <c r="D329" s="845">
        <v>0.15</v>
      </c>
      <c r="E329" s="845">
        <v>0.15</v>
      </c>
      <c r="F329" s="846">
        <v>0.15</v>
      </c>
    </row>
    <row r="330" spans="1:6" ht="14.5" thickBot="1">
      <c r="A330" s="715" t="s">
        <v>916</v>
      </c>
      <c r="B330" s="709" t="s">
        <v>288</v>
      </c>
      <c r="C330" s="845">
        <v>0.15</v>
      </c>
      <c r="D330" s="845">
        <v>0.15</v>
      </c>
      <c r="E330" s="845">
        <v>0.15</v>
      </c>
      <c r="F330" s="850"/>
    </row>
    <row r="331" spans="1:6" ht="14.5" thickBot="1">
      <c r="A331" s="715" t="s">
        <v>916</v>
      </c>
      <c r="B331" s="709" t="s">
        <v>926</v>
      </c>
      <c r="C331" s="845">
        <v>0.15</v>
      </c>
      <c r="D331" s="845">
        <v>0.15</v>
      </c>
      <c r="E331" s="845">
        <v>0.15</v>
      </c>
      <c r="F331" s="846">
        <v>0.15</v>
      </c>
    </row>
    <row r="332" spans="1:6" ht="14.5" thickBot="1">
      <c r="A332" s="715" t="s">
        <v>916</v>
      </c>
      <c r="B332" s="709" t="s">
        <v>309</v>
      </c>
      <c r="C332" s="845">
        <v>0.15</v>
      </c>
      <c r="D332" s="845">
        <v>0.15</v>
      </c>
      <c r="E332" s="845">
        <v>0.15</v>
      </c>
      <c r="F332" s="846">
        <v>0.15</v>
      </c>
    </row>
    <row r="333" spans="1:6" ht="14.5" thickBot="1">
      <c r="A333" s="715" t="s">
        <v>916</v>
      </c>
      <c r="B333" s="709" t="s">
        <v>927</v>
      </c>
      <c r="C333" s="845">
        <v>0.15</v>
      </c>
      <c r="D333" s="845">
        <v>0.15</v>
      </c>
      <c r="E333" s="845">
        <v>0.15</v>
      </c>
      <c r="F333" s="846">
        <v>0.14099999999999999</v>
      </c>
    </row>
    <row r="334" spans="1:6" ht="14.5" thickBot="1">
      <c r="A334" s="715" t="s">
        <v>916</v>
      </c>
      <c r="B334" s="709" t="s">
        <v>329</v>
      </c>
      <c r="C334" s="845">
        <v>0.15</v>
      </c>
      <c r="D334" s="845">
        <v>0.15</v>
      </c>
      <c r="E334" s="845">
        <v>0.15</v>
      </c>
      <c r="F334" s="846">
        <v>0.15</v>
      </c>
    </row>
    <row r="335" spans="1:6" ht="14.5" thickBot="1">
      <c r="A335" s="715" t="s">
        <v>916</v>
      </c>
      <c r="B335" s="709" t="s">
        <v>339</v>
      </c>
      <c r="C335" s="845">
        <v>0.15</v>
      </c>
      <c r="D335" s="845">
        <v>0.15</v>
      </c>
      <c r="E335" s="845">
        <v>0.15</v>
      </c>
      <c r="F335" s="850"/>
    </row>
    <row r="336" spans="1:6" ht="14.5" thickBot="1">
      <c r="A336" s="715" t="s">
        <v>916</v>
      </c>
      <c r="B336" s="709" t="s">
        <v>928</v>
      </c>
      <c r="C336" s="845">
        <v>0.15</v>
      </c>
      <c r="D336" s="845">
        <v>0.15</v>
      </c>
      <c r="E336" s="845">
        <v>0.15</v>
      </c>
      <c r="F336" s="846">
        <v>0.11799999999999999</v>
      </c>
    </row>
    <row r="337" spans="1:6" ht="14.5" thickBot="1">
      <c r="A337" s="732" t="s">
        <v>916</v>
      </c>
      <c r="B337" s="725" t="s">
        <v>357</v>
      </c>
      <c r="C337" s="848"/>
      <c r="D337" s="848"/>
      <c r="E337" s="848"/>
      <c r="F337" s="852">
        <v>0.14299999999999999</v>
      </c>
    </row>
    <row r="338" spans="1:6" ht="14.5" thickBot="1">
      <c r="A338" s="715" t="s">
        <v>929</v>
      </c>
      <c r="B338" s="716" t="s">
        <v>930</v>
      </c>
      <c r="C338" s="843">
        <v>0.15</v>
      </c>
      <c r="D338" s="843">
        <v>0.15</v>
      </c>
      <c r="E338" s="843">
        <v>0.15</v>
      </c>
      <c r="F338" s="860"/>
    </row>
    <row r="339" spans="1:6" ht="14.5" thickBot="1">
      <c r="A339" s="715" t="s">
        <v>929</v>
      </c>
      <c r="B339" s="709" t="s">
        <v>931</v>
      </c>
      <c r="C339" s="845">
        <v>0.15</v>
      </c>
      <c r="D339" s="845">
        <v>0.15</v>
      </c>
      <c r="E339" s="845">
        <v>0.15</v>
      </c>
      <c r="F339" s="850"/>
    </row>
    <row r="340" spans="1:6" ht="14.5" thickBot="1">
      <c r="A340" s="715" t="s">
        <v>929</v>
      </c>
      <c r="B340" s="709" t="s">
        <v>932</v>
      </c>
      <c r="C340" s="845">
        <v>0.15</v>
      </c>
      <c r="D340" s="845">
        <v>0.15</v>
      </c>
      <c r="E340" s="845">
        <v>0.15</v>
      </c>
      <c r="F340" s="850"/>
    </row>
    <row r="341" spans="1:6" ht="14.5" thickBot="1">
      <c r="A341" s="715" t="s">
        <v>929</v>
      </c>
      <c r="B341" s="709" t="s">
        <v>933</v>
      </c>
      <c r="C341" s="845">
        <v>0.15</v>
      </c>
      <c r="D341" s="845">
        <v>0.15</v>
      </c>
      <c r="E341" s="845">
        <v>0.15</v>
      </c>
      <c r="F341" s="846">
        <v>0.15</v>
      </c>
    </row>
    <row r="342" spans="1:6" ht="14.5" thickBot="1">
      <c r="A342" s="715" t="s">
        <v>929</v>
      </c>
      <c r="B342" s="709" t="s">
        <v>934</v>
      </c>
      <c r="C342" s="845">
        <v>0.15</v>
      </c>
      <c r="D342" s="845">
        <v>0.15</v>
      </c>
      <c r="E342" s="845">
        <v>0.15</v>
      </c>
      <c r="F342" s="846">
        <v>0.15</v>
      </c>
    </row>
    <row r="343" spans="1:6" ht="14.5" thickBot="1">
      <c r="A343" s="715" t="s">
        <v>929</v>
      </c>
      <c r="B343" s="709" t="s">
        <v>935</v>
      </c>
      <c r="C343" s="845">
        <v>0.15</v>
      </c>
      <c r="D343" s="845">
        <v>0.15</v>
      </c>
      <c r="E343" s="845">
        <v>0.15</v>
      </c>
      <c r="F343" s="846">
        <v>0.15</v>
      </c>
    </row>
    <row r="344" spans="1:6" ht="14.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3" customWidth="1"/>
    <col min="2" max="2" width="40.6328125" style="976" customWidth="1"/>
    <col min="3" max="3" width="9" style="977"/>
    <col min="4" max="5" width="9" style="978"/>
    <col min="6" max="6" width="9" style="979"/>
    <col min="7" max="7" width="11.9062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6">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39">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6">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6">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6.5"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39">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6">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6">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6.5"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6">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39">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6">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6">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6.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
      <c r="A35" s="673" t="s">
        <v>135</v>
      </c>
      <c r="B35" s="674">
        <f>1+F37</f>
        <v>1.0127999999999999</v>
      </c>
      <c r="C35" s="971"/>
      <c r="D35" s="676"/>
      <c r="E35" s="676"/>
      <c r="F35" s="677"/>
      <c r="G35" s="969"/>
      <c r="H35" s="965"/>
      <c r="I35" s="672"/>
      <c r="J35" s="672"/>
      <c r="K35" s="672"/>
      <c r="L35" s="672"/>
      <c r="M35" s="672"/>
    </row>
    <row r="36" spans="1:13" ht="1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6">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6">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6">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6.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
  <cols>
    <col min="1" max="1" width="12.6328125" style="739" customWidth="1"/>
    <col min="2" max="5" width="10.26953125" style="672" customWidth="1"/>
    <col min="6" max="6" width="9" style="672"/>
    <col min="7" max="7" width="9" style="703"/>
    <col min="8" max="8" width="9" style="672"/>
    <col min="9" max="9" width="9" style="703"/>
    <col min="10" max="16384" width="9" style="672"/>
  </cols>
  <sheetData>
    <row r="1" spans="1:20">
      <c r="A1" s="3743" t="s">
        <v>105</v>
      </c>
      <c r="B1" s="3743"/>
      <c r="C1" s="3743"/>
      <c r="D1" s="3743"/>
      <c r="E1" s="3743"/>
      <c r="F1" s="374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44" t="s">
        <v>118</v>
      </c>
      <c r="B2" s="3744"/>
      <c r="C2" s="3744"/>
      <c r="D2" s="3744"/>
      <c r="E2" s="3744"/>
      <c r="F2" s="374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5"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6"/>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style="678" customWidth="1"/>
    <col min="2" max="9" width="8.26953125" style="762" customWidth="1"/>
    <col min="10" max="13" width="8.26953125" style="678"/>
    <col min="14" max="14" width="10" style="678" customWidth="1"/>
    <col min="15" max="16" width="8.26953125" style="678"/>
    <col min="17" max="17" width="34.08984375" style="678" customWidth="1"/>
    <col min="18" max="18" width="8.26953125" style="678" customWidth="1"/>
    <col min="19" max="19" width="8.26953125" style="678"/>
    <col min="20" max="20" width="11.6328125" style="678" customWidth="1"/>
    <col min="21" max="16384" width="8.26953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7" t="s">
        <v>132</v>
      </c>
      <c r="B18" s="766" t="s">
        <v>517</v>
      </c>
      <c r="C18" s="767" t="s">
        <v>518</v>
      </c>
      <c r="D18" s="768"/>
      <c r="E18" s="766">
        <v>1</v>
      </c>
      <c r="F18" s="769" t="s">
        <v>519</v>
      </c>
      <c r="G18" s="770"/>
      <c r="H18" s="762"/>
      <c r="I18" s="762"/>
    </row>
    <row r="19" spans="1:9" s="771" customFormat="1" ht="19.5" customHeight="1">
      <c r="A19" s="3747"/>
      <c r="B19" s="3747" t="s">
        <v>520</v>
      </c>
      <c r="C19" s="767" t="s">
        <v>521</v>
      </c>
      <c r="D19" s="768"/>
      <c r="E19" s="766">
        <v>0.9</v>
      </c>
      <c r="F19" s="769" t="s">
        <v>522</v>
      </c>
      <c r="G19" s="770"/>
      <c r="H19" s="762"/>
      <c r="I19" s="762"/>
    </row>
    <row r="20" spans="1:9" s="771" customFormat="1" ht="19.5" customHeight="1">
      <c r="A20" s="3747"/>
      <c r="B20" s="3747"/>
      <c r="C20" s="767" t="s">
        <v>523</v>
      </c>
      <c r="D20" s="768"/>
      <c r="E20" s="766">
        <v>1.1000000000000001</v>
      </c>
      <c r="F20" s="769" t="s">
        <v>524</v>
      </c>
      <c r="G20" s="770"/>
      <c r="H20" s="762"/>
      <c r="I20" s="762"/>
    </row>
    <row r="21" spans="1:9" s="771" customFormat="1" ht="19.5" customHeight="1">
      <c r="A21" s="3747"/>
      <c r="B21" s="3747"/>
      <c r="C21" s="767" t="s">
        <v>525</v>
      </c>
      <c r="D21" s="768"/>
      <c r="E21" s="766">
        <v>0.8</v>
      </c>
      <c r="F21" s="769" t="s">
        <v>526</v>
      </c>
      <c r="G21" s="770"/>
      <c r="H21" s="762"/>
      <c r="I21" s="762"/>
    </row>
    <row r="22" spans="1:9" s="771" customFormat="1" ht="19.5" customHeight="1">
      <c r="A22" s="3747"/>
      <c r="B22" s="3747"/>
      <c r="C22" s="767" t="s">
        <v>527</v>
      </c>
      <c r="D22" s="768"/>
      <c r="E22" s="766">
        <v>0.5</v>
      </c>
      <c r="F22" s="769"/>
      <c r="G22" s="770"/>
      <c r="H22" s="762"/>
      <c r="I22" s="762"/>
    </row>
    <row r="23" spans="1:9" s="771" customFormat="1" ht="19.5" customHeight="1">
      <c r="A23" s="3747" t="s">
        <v>133</v>
      </c>
      <c r="B23" s="766" t="s">
        <v>517</v>
      </c>
      <c r="C23" s="767" t="s">
        <v>528</v>
      </c>
      <c r="D23" s="768"/>
      <c r="E23" s="766">
        <v>1</v>
      </c>
      <c r="F23" s="769" t="s">
        <v>529</v>
      </c>
      <c r="G23" s="770"/>
      <c r="H23" s="762"/>
      <c r="I23" s="762"/>
    </row>
    <row r="24" spans="1:9" s="771" customFormat="1" ht="19.5" customHeight="1">
      <c r="A24" s="3747"/>
      <c r="B24" s="3747" t="s">
        <v>520</v>
      </c>
      <c r="C24" s="767" t="s">
        <v>530</v>
      </c>
      <c r="D24" s="768"/>
      <c r="E24" s="766">
        <v>0.5</v>
      </c>
      <c r="F24" s="769"/>
      <c r="G24" s="770"/>
      <c r="H24" s="762"/>
      <c r="I24" s="762"/>
    </row>
    <row r="25" spans="1:9" s="771" customFormat="1" ht="19.5" customHeight="1">
      <c r="A25" s="3747"/>
      <c r="B25" s="3747"/>
      <c r="C25" s="767" t="s">
        <v>531</v>
      </c>
      <c r="D25" s="768"/>
      <c r="E25" s="766">
        <v>1.1000000000000001</v>
      </c>
      <c r="F25" s="769"/>
      <c r="G25" s="770"/>
      <c r="H25" s="762"/>
      <c r="I25" s="762"/>
    </row>
    <row r="26" spans="1:9" s="771" customFormat="1" ht="19.5" customHeight="1">
      <c r="A26" s="3747"/>
      <c r="B26" s="3747"/>
      <c r="C26" s="767" t="s">
        <v>532</v>
      </c>
      <c r="D26" s="768"/>
      <c r="E26" s="766">
        <v>1.1000000000000001</v>
      </c>
      <c r="F26" s="769"/>
      <c r="G26" s="770"/>
      <c r="H26" s="762"/>
      <c r="I26" s="762"/>
    </row>
    <row r="27" spans="1:9" s="771" customFormat="1" ht="19.5" customHeight="1">
      <c r="A27" s="3747"/>
      <c r="B27" s="3747"/>
      <c r="C27" s="767" t="s">
        <v>533</v>
      </c>
      <c r="D27" s="768"/>
      <c r="E27" s="766">
        <v>0.9</v>
      </c>
      <c r="F27" s="769" t="s">
        <v>534</v>
      </c>
      <c r="G27" s="770"/>
      <c r="H27" s="762"/>
      <c r="I27" s="762"/>
    </row>
    <row r="28" spans="1:9" s="771" customFormat="1" ht="19.5" customHeight="1">
      <c r="A28" s="3747"/>
      <c r="B28" s="3747"/>
      <c r="C28" s="767" t="s">
        <v>535</v>
      </c>
      <c r="D28" s="768"/>
      <c r="E28" s="766">
        <v>0.9</v>
      </c>
      <c r="F28" s="769" t="s">
        <v>536</v>
      </c>
      <c r="G28" s="770"/>
      <c r="H28" s="762"/>
      <c r="I28" s="762"/>
    </row>
    <row r="29" spans="1:9" s="771" customFormat="1" ht="19.5" customHeight="1">
      <c r="A29" s="3747"/>
      <c r="B29" s="3747"/>
      <c r="C29" s="767" t="s">
        <v>537</v>
      </c>
      <c r="D29" s="768"/>
      <c r="E29" s="766">
        <v>0.9</v>
      </c>
      <c r="F29" s="769" t="s">
        <v>538</v>
      </c>
      <c r="G29" s="770"/>
      <c r="H29" s="762"/>
      <c r="I29" s="762"/>
    </row>
    <row r="30" spans="1:9" s="771" customFormat="1" ht="19.5" customHeight="1">
      <c r="A30" s="3747"/>
      <c r="B30" s="3747"/>
      <c r="C30" s="767" t="s">
        <v>539</v>
      </c>
      <c r="D30" s="768"/>
      <c r="E30" s="766">
        <v>0.9</v>
      </c>
      <c r="F30" s="769" t="s">
        <v>540</v>
      </c>
      <c r="G30" s="770"/>
      <c r="H30" s="762"/>
      <c r="I30" s="762"/>
    </row>
    <row r="31" spans="1:9" s="771" customFormat="1" ht="19.5" customHeight="1">
      <c r="A31" s="3747"/>
      <c r="B31" s="3747"/>
      <c r="C31" s="767" t="s">
        <v>541</v>
      </c>
      <c r="D31" s="768"/>
      <c r="E31" s="766">
        <v>0.8</v>
      </c>
      <c r="F31" s="769" t="s">
        <v>542</v>
      </c>
      <c r="G31" s="770"/>
      <c r="H31" s="762"/>
      <c r="I31" s="762"/>
    </row>
    <row r="32" spans="1:9" s="771" customFormat="1" ht="19.5" customHeight="1">
      <c r="A32" s="3747"/>
      <c r="B32" s="3747"/>
      <c r="C32" s="767" t="s">
        <v>543</v>
      </c>
      <c r="D32" s="768"/>
      <c r="E32" s="766">
        <v>0.8</v>
      </c>
      <c r="F32" s="769" t="s">
        <v>544</v>
      </c>
      <c r="G32" s="770"/>
      <c r="H32" s="762"/>
      <c r="I32" s="762"/>
    </row>
    <row r="33" spans="1:9" s="771" customFormat="1" ht="19.5" customHeight="1">
      <c r="A33" s="3747" t="s">
        <v>134</v>
      </c>
      <c r="B33" s="766" t="s">
        <v>517</v>
      </c>
      <c r="C33" s="767" t="s">
        <v>545</v>
      </c>
      <c r="D33" s="768"/>
      <c r="E33" s="766">
        <v>1</v>
      </c>
      <c r="F33" s="769" t="s">
        <v>546</v>
      </c>
      <c r="G33" s="770"/>
      <c r="H33" s="762"/>
      <c r="I33" s="762"/>
    </row>
    <row r="34" spans="1:9" s="771" customFormat="1" ht="19.5" customHeight="1">
      <c r="A34" s="3747"/>
      <c r="B34" s="766" t="s">
        <v>520</v>
      </c>
      <c r="C34" s="767" t="s">
        <v>547</v>
      </c>
      <c r="D34" s="768"/>
      <c r="E34" s="766">
        <v>1.5</v>
      </c>
      <c r="F34" s="769" t="s">
        <v>548</v>
      </c>
      <c r="G34" s="770"/>
      <c r="H34" s="762"/>
      <c r="I34" s="762"/>
    </row>
    <row r="35" spans="1:9" s="771" customFormat="1" ht="19.5" customHeight="1">
      <c r="A35" s="3747" t="s">
        <v>135</v>
      </c>
      <c r="B35" s="766" t="s">
        <v>517</v>
      </c>
      <c r="C35" s="767" t="s">
        <v>549</v>
      </c>
      <c r="D35" s="768"/>
      <c r="E35" s="766">
        <v>1</v>
      </c>
      <c r="F35" s="769" t="s">
        <v>550</v>
      </c>
      <c r="G35" s="770"/>
      <c r="H35" s="762"/>
      <c r="I35" s="762"/>
    </row>
    <row r="36" spans="1:9" s="771" customFormat="1" ht="19.5" customHeight="1">
      <c r="A36" s="3747"/>
      <c r="B36" s="3747" t="s">
        <v>520</v>
      </c>
      <c r="C36" s="767" t="s">
        <v>551</v>
      </c>
      <c r="D36" s="768"/>
      <c r="E36" s="766">
        <v>1</v>
      </c>
      <c r="F36" s="769" t="s">
        <v>552</v>
      </c>
      <c r="G36" s="770"/>
      <c r="H36" s="762"/>
      <c r="I36" s="762"/>
    </row>
    <row r="37" spans="1:9" s="771" customFormat="1" ht="19.5" customHeight="1">
      <c r="A37" s="3747"/>
      <c r="B37" s="3747"/>
      <c r="C37" s="767" t="s">
        <v>553</v>
      </c>
      <c r="D37" s="768"/>
      <c r="E37" s="766">
        <v>1.5</v>
      </c>
      <c r="F37" s="769" t="s">
        <v>554</v>
      </c>
      <c r="G37" s="770"/>
      <c r="H37" s="762"/>
      <c r="I37" s="762"/>
    </row>
    <row r="38" spans="1:9" s="771" customFormat="1" ht="19.5" customHeight="1">
      <c r="A38" s="3747"/>
      <c r="B38" s="3747"/>
      <c r="C38" s="767" t="s">
        <v>555</v>
      </c>
      <c r="D38" s="768"/>
      <c r="E38" s="766">
        <v>1</v>
      </c>
      <c r="F38" s="769" t="s">
        <v>556</v>
      </c>
      <c r="G38" s="770"/>
      <c r="H38" s="762"/>
      <c r="I38" s="762"/>
    </row>
    <row r="39" spans="1:9" s="771" customFormat="1" ht="19.5" customHeight="1">
      <c r="A39" s="3747"/>
      <c r="B39" s="3747"/>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
      <c r="A60" s="793"/>
      <c r="B60" s="793"/>
      <c r="C60" s="793" t="s">
        <v>702</v>
      </c>
      <c r="D60" s="793"/>
      <c r="E60" s="779" t="s">
        <v>1</v>
      </c>
      <c r="F60" s="793" t="s">
        <v>1</v>
      </c>
    </row>
    <row r="61" spans="1:8" s="762" customFormat="1" ht="26">
      <c r="A61" s="766">
        <v>1</v>
      </c>
      <c r="B61" s="3747" t="s">
        <v>571</v>
      </c>
      <c r="C61" s="680" t="s">
        <v>572</v>
      </c>
      <c r="D61" s="680" t="s">
        <v>573</v>
      </c>
      <c r="E61" s="779">
        <v>0.5</v>
      </c>
      <c r="F61" s="766">
        <v>80</v>
      </c>
    </row>
    <row r="62" spans="1:8" s="762" customFormat="1" ht="26">
      <c r="A62" s="766">
        <v>2</v>
      </c>
      <c r="B62" s="3747"/>
      <c r="C62" s="680" t="s">
        <v>574</v>
      </c>
      <c r="D62" s="680" t="s">
        <v>575</v>
      </c>
      <c r="E62" s="779">
        <v>0.5</v>
      </c>
      <c r="F62" s="766">
        <v>80</v>
      </c>
    </row>
    <row r="63" spans="1:8" s="762" customFormat="1" ht="39">
      <c r="A63" s="766">
        <v>3</v>
      </c>
      <c r="B63" s="3747"/>
      <c r="C63" s="680" t="s">
        <v>576</v>
      </c>
      <c r="D63" s="680" t="s">
        <v>577</v>
      </c>
      <c r="E63" s="779">
        <v>0.5</v>
      </c>
      <c r="F63" s="766">
        <v>80</v>
      </c>
    </row>
    <row r="64" spans="1:8" s="762" customFormat="1" ht="39">
      <c r="A64" s="766">
        <v>4</v>
      </c>
      <c r="B64" s="3747"/>
      <c r="C64" s="680" t="s">
        <v>578</v>
      </c>
      <c r="D64" s="680" t="s">
        <v>579</v>
      </c>
      <c r="E64" s="779">
        <v>0.4</v>
      </c>
      <c r="F64" s="766">
        <v>60</v>
      </c>
    </row>
    <row r="65" spans="1:6" s="762" customFormat="1" ht="39">
      <c r="A65" s="766">
        <v>5</v>
      </c>
      <c r="B65" s="3747"/>
      <c r="C65" s="680" t="s">
        <v>580</v>
      </c>
      <c r="D65" s="680" t="s">
        <v>581</v>
      </c>
      <c r="E65" s="779">
        <v>0.2</v>
      </c>
      <c r="F65" s="766">
        <v>30</v>
      </c>
    </row>
    <row r="66" spans="1:6" s="762" customFormat="1" ht="39">
      <c r="A66" s="766">
        <v>6</v>
      </c>
      <c r="B66" s="3747"/>
      <c r="C66" s="680" t="s">
        <v>582</v>
      </c>
      <c r="D66" s="680" t="s">
        <v>583</v>
      </c>
      <c r="E66" s="779">
        <v>0.3</v>
      </c>
      <c r="F66" s="766">
        <v>50</v>
      </c>
    </row>
    <row r="67" spans="1:6" s="762" customFormat="1" ht="39">
      <c r="A67" s="766">
        <v>7</v>
      </c>
      <c r="B67" s="3747"/>
      <c r="C67" s="680" t="s">
        <v>584</v>
      </c>
      <c r="D67" s="680" t="s">
        <v>585</v>
      </c>
      <c r="E67" s="779">
        <v>0.2</v>
      </c>
      <c r="F67" s="766">
        <v>30</v>
      </c>
    </row>
    <row r="68" spans="1:6" s="762" customFormat="1" ht="39">
      <c r="A68" s="766">
        <v>8</v>
      </c>
      <c r="B68" s="3747"/>
      <c r="C68" s="680" t="s">
        <v>586</v>
      </c>
      <c r="D68" s="680" t="s">
        <v>587</v>
      </c>
      <c r="E68" s="779">
        <v>0.2</v>
      </c>
      <c r="F68" s="766">
        <v>30</v>
      </c>
    </row>
    <row r="69" spans="1:6" s="762" customFormat="1" ht="39">
      <c r="A69" s="766">
        <v>9</v>
      </c>
      <c r="B69" s="3747"/>
      <c r="C69" s="680" t="s">
        <v>588</v>
      </c>
      <c r="D69" s="680" t="s">
        <v>589</v>
      </c>
      <c r="E69" s="779">
        <v>0.2</v>
      </c>
      <c r="F69" s="766">
        <v>30</v>
      </c>
    </row>
    <row r="70" spans="1:6" s="762" customFormat="1" ht="52">
      <c r="A70" s="766">
        <v>10</v>
      </c>
      <c r="B70" s="3747"/>
      <c r="C70" s="680" t="s">
        <v>590</v>
      </c>
      <c r="D70" s="680" t="s">
        <v>591</v>
      </c>
      <c r="E70" s="779">
        <v>0.2</v>
      </c>
      <c r="F70" s="766">
        <v>30</v>
      </c>
    </row>
    <row r="71" spans="1:6" s="762" customFormat="1" ht="52">
      <c r="A71" s="766">
        <v>11</v>
      </c>
      <c r="B71" s="3747"/>
      <c r="C71" s="680" t="s">
        <v>592</v>
      </c>
      <c r="D71" s="680" t="s">
        <v>593</v>
      </c>
      <c r="E71" s="779">
        <v>0.2</v>
      </c>
      <c r="F71" s="766">
        <v>30</v>
      </c>
    </row>
    <row r="72" spans="1:6" s="762" customFormat="1" ht="39">
      <c r="A72" s="766">
        <v>12</v>
      </c>
      <c r="B72" s="3747"/>
      <c r="C72" s="680" t="s">
        <v>594</v>
      </c>
      <c r="D72" s="680" t="s">
        <v>595</v>
      </c>
      <c r="E72" s="779">
        <v>0.5</v>
      </c>
      <c r="F72" s="766">
        <v>80</v>
      </c>
    </row>
    <row r="73" spans="1:6" s="762" customFormat="1" ht="26">
      <c r="A73" s="766">
        <v>13</v>
      </c>
      <c r="B73" s="3747"/>
      <c r="C73" s="680" t="s">
        <v>596</v>
      </c>
      <c r="D73" s="680" t="s">
        <v>597</v>
      </c>
      <c r="E73" s="779">
        <v>0.4</v>
      </c>
      <c r="F73" s="766">
        <v>60</v>
      </c>
    </row>
    <row r="74" spans="1:6" s="762" customFormat="1" ht="26">
      <c r="A74" s="766">
        <v>14</v>
      </c>
      <c r="B74" s="3747"/>
      <c r="C74" s="680" t="s">
        <v>598</v>
      </c>
      <c r="D74" s="680" t="s">
        <v>599</v>
      </c>
      <c r="E74" s="779">
        <v>0.2</v>
      </c>
      <c r="F74" s="766">
        <v>30</v>
      </c>
    </row>
    <row r="75" spans="1:6" s="762" customFormat="1" ht="26">
      <c r="A75" s="766">
        <v>15</v>
      </c>
      <c r="B75" s="3747"/>
      <c r="C75" s="680" t="s">
        <v>600</v>
      </c>
      <c r="D75" s="680" t="s">
        <v>601</v>
      </c>
      <c r="E75" s="779">
        <v>0.2</v>
      </c>
      <c r="F75" s="766">
        <v>30</v>
      </c>
    </row>
    <row r="76" spans="1:6" s="762" customFormat="1" ht="26">
      <c r="A76" s="766">
        <v>16</v>
      </c>
      <c r="B76" s="3747" t="s">
        <v>602</v>
      </c>
      <c r="C76" s="680" t="s">
        <v>603</v>
      </c>
      <c r="D76" s="680" t="s">
        <v>604</v>
      </c>
      <c r="E76" s="779">
        <v>0.5</v>
      </c>
      <c r="F76" s="766">
        <v>80</v>
      </c>
    </row>
    <row r="77" spans="1:6" s="762" customFormat="1" ht="26">
      <c r="A77" s="766">
        <v>17</v>
      </c>
      <c r="B77" s="3747"/>
      <c r="C77" s="680" t="s">
        <v>605</v>
      </c>
      <c r="D77" s="680" t="s">
        <v>606</v>
      </c>
      <c r="E77" s="779">
        <v>0.5</v>
      </c>
      <c r="F77" s="766">
        <v>80</v>
      </c>
    </row>
    <row r="78" spans="1:6" s="762" customFormat="1" ht="26">
      <c r="A78" s="766">
        <v>18</v>
      </c>
      <c r="B78" s="3747"/>
      <c r="C78" s="680" t="s">
        <v>607</v>
      </c>
      <c r="D78" s="680" t="s">
        <v>608</v>
      </c>
      <c r="E78" s="779">
        <v>0.2</v>
      </c>
      <c r="F78" s="766">
        <v>30</v>
      </c>
    </row>
    <row r="79" spans="1:6" s="762" customFormat="1" ht="26">
      <c r="A79" s="766">
        <v>19</v>
      </c>
      <c r="B79" s="3747"/>
      <c r="C79" s="680" t="s">
        <v>609</v>
      </c>
      <c r="D79" s="680" t="s">
        <v>610</v>
      </c>
      <c r="E79" s="779">
        <v>0.5</v>
      </c>
      <c r="F79" s="766">
        <v>80</v>
      </c>
    </row>
    <row r="80" spans="1:6" s="762" customFormat="1" ht="39">
      <c r="A80" s="766">
        <v>20</v>
      </c>
      <c r="B80" s="3747"/>
      <c r="C80" s="680" t="s">
        <v>611</v>
      </c>
      <c r="D80" s="680" t="s">
        <v>612</v>
      </c>
      <c r="E80" s="779">
        <v>0.2</v>
      </c>
      <c r="F80" s="766">
        <v>30</v>
      </c>
    </row>
    <row r="81" spans="1:6" s="762" customFormat="1" ht="39">
      <c r="A81" s="766">
        <v>21</v>
      </c>
      <c r="B81" s="3747"/>
      <c r="C81" s="680" t="s">
        <v>613</v>
      </c>
      <c r="D81" s="680" t="s">
        <v>614</v>
      </c>
      <c r="E81" s="779">
        <v>0.2</v>
      </c>
      <c r="F81" s="766">
        <v>30</v>
      </c>
    </row>
    <row r="82" spans="1:6" s="762" customFormat="1" ht="52">
      <c r="A82" s="766">
        <v>22</v>
      </c>
      <c r="B82" s="3747"/>
      <c r="C82" s="680" t="s">
        <v>615</v>
      </c>
      <c r="D82" s="680" t="s">
        <v>616</v>
      </c>
      <c r="E82" s="779">
        <v>0.2</v>
      </c>
      <c r="F82" s="766">
        <v>30</v>
      </c>
    </row>
    <row r="83" spans="1:6" s="762" customFormat="1" ht="52">
      <c r="A83" s="766">
        <v>23</v>
      </c>
      <c r="B83" s="3747"/>
      <c r="C83" s="680" t="s">
        <v>617</v>
      </c>
      <c r="D83" s="680" t="s">
        <v>618</v>
      </c>
      <c r="E83" s="779">
        <v>0.2</v>
      </c>
      <c r="F83" s="766">
        <v>30</v>
      </c>
    </row>
    <row r="84" spans="1:6" s="762" customFormat="1" ht="39">
      <c r="A84" s="766">
        <v>24</v>
      </c>
      <c r="B84" s="3747"/>
      <c r="C84" s="680" t="s">
        <v>619</v>
      </c>
      <c r="D84" s="680" t="s">
        <v>620</v>
      </c>
      <c r="E84" s="779">
        <v>0.2</v>
      </c>
      <c r="F84" s="766">
        <v>30</v>
      </c>
    </row>
    <row r="85" spans="1:6" s="762" customFormat="1" ht="39">
      <c r="A85" s="766">
        <v>25</v>
      </c>
      <c r="B85" s="3747"/>
      <c r="C85" s="680" t="s">
        <v>621</v>
      </c>
      <c r="D85" s="680" t="s">
        <v>622</v>
      </c>
      <c r="E85" s="779">
        <v>0.5</v>
      </c>
      <c r="F85" s="766">
        <v>80</v>
      </c>
    </row>
    <row r="86" spans="1:6" s="762" customFormat="1" ht="39">
      <c r="A86" s="766">
        <v>26</v>
      </c>
      <c r="B86" s="3747"/>
      <c r="C86" s="680" t="s">
        <v>623</v>
      </c>
      <c r="D86" s="680" t="s">
        <v>624</v>
      </c>
      <c r="E86" s="779">
        <v>0.2</v>
      </c>
      <c r="F86" s="766">
        <v>30</v>
      </c>
    </row>
    <row r="87" spans="1:6" s="762" customFormat="1" ht="39">
      <c r="A87" s="766">
        <v>27</v>
      </c>
      <c r="B87" s="3747"/>
      <c r="C87" s="680" t="s">
        <v>625</v>
      </c>
      <c r="D87" s="680" t="s">
        <v>626</v>
      </c>
      <c r="E87" s="779">
        <v>0.2</v>
      </c>
      <c r="F87" s="766">
        <v>30</v>
      </c>
    </row>
    <row r="88" spans="1:6" s="762" customFormat="1" ht="39">
      <c r="A88" s="766">
        <v>28</v>
      </c>
      <c r="B88" s="3747"/>
      <c r="C88" s="680" t="s">
        <v>627</v>
      </c>
      <c r="D88" s="680" t="s">
        <v>628</v>
      </c>
      <c r="E88" s="779">
        <v>0.2</v>
      </c>
      <c r="F88" s="766">
        <v>30</v>
      </c>
    </row>
    <row r="89" spans="1:6" s="762" customFormat="1" ht="26">
      <c r="A89" s="766">
        <v>29</v>
      </c>
      <c r="B89" s="3747"/>
      <c r="C89" s="680" t="s">
        <v>629</v>
      </c>
      <c r="D89" s="680" t="s">
        <v>630</v>
      </c>
      <c r="E89" s="779">
        <v>0.2</v>
      </c>
      <c r="F89" s="766">
        <v>30</v>
      </c>
    </row>
    <row r="90" spans="1:6" s="762" customFormat="1" ht="26">
      <c r="A90" s="766">
        <v>30</v>
      </c>
      <c r="B90" s="3747"/>
      <c r="C90" s="680" t="s">
        <v>631</v>
      </c>
      <c r="D90" s="680" t="s">
        <v>632</v>
      </c>
      <c r="E90" s="779">
        <v>0.2</v>
      </c>
      <c r="F90" s="766">
        <v>30</v>
      </c>
    </row>
    <row r="91" spans="1:6" s="762" customFormat="1" ht="39">
      <c r="A91" s="766">
        <v>31</v>
      </c>
      <c r="B91" s="3747"/>
      <c r="C91" s="680" t="s">
        <v>633</v>
      </c>
      <c r="D91" s="680" t="s">
        <v>634</v>
      </c>
      <c r="E91" s="779">
        <v>0.2</v>
      </c>
      <c r="F91" s="766">
        <v>30</v>
      </c>
    </row>
    <row r="92" spans="1:6" s="762" customFormat="1" ht="26">
      <c r="A92" s="766">
        <v>32</v>
      </c>
      <c r="B92" s="3747" t="s">
        <v>635</v>
      </c>
      <c r="C92" s="766" t="s">
        <v>636</v>
      </c>
      <c r="D92" s="680" t="s">
        <v>637</v>
      </c>
      <c r="E92" s="779">
        <v>0.2</v>
      </c>
      <c r="F92" s="766">
        <v>30</v>
      </c>
    </row>
    <row r="93" spans="1:6" s="762" customFormat="1" ht="39">
      <c r="A93" s="766">
        <v>33</v>
      </c>
      <c r="B93" s="3747"/>
      <c r="C93" s="766" t="s">
        <v>638</v>
      </c>
      <c r="D93" s="680" t="s">
        <v>639</v>
      </c>
      <c r="E93" s="779">
        <v>0.2</v>
      </c>
      <c r="F93" s="766">
        <v>30</v>
      </c>
    </row>
    <row r="94" spans="1:6" s="762" customFormat="1" ht="52">
      <c r="A94" s="766">
        <v>34</v>
      </c>
      <c r="B94" s="3747"/>
      <c r="C94" s="766" t="s">
        <v>640</v>
      </c>
      <c r="D94" s="680" t="s">
        <v>641</v>
      </c>
      <c r="E94" s="779">
        <v>0.2</v>
      </c>
      <c r="F94" s="766">
        <v>30</v>
      </c>
    </row>
    <row r="95" spans="1:6" s="762" customFormat="1" ht="39">
      <c r="A95" s="766">
        <v>35</v>
      </c>
      <c r="B95" s="3747"/>
      <c r="C95" s="766" t="s">
        <v>642</v>
      </c>
      <c r="D95" s="680" t="s">
        <v>643</v>
      </c>
      <c r="E95" s="779">
        <v>0.2</v>
      </c>
      <c r="F95" s="766">
        <v>30</v>
      </c>
    </row>
    <row r="96" spans="1:6" s="762" customFormat="1" ht="52">
      <c r="A96" s="766">
        <v>36</v>
      </c>
      <c r="B96" s="3747"/>
      <c r="C96" s="680" t="s">
        <v>644</v>
      </c>
      <c r="D96" s="680" t="s">
        <v>645</v>
      </c>
      <c r="E96" s="779">
        <v>0.2</v>
      </c>
      <c r="F96" s="766">
        <v>30</v>
      </c>
    </row>
    <row r="97" spans="1:6" s="762" customFormat="1" ht="39">
      <c r="A97" s="766">
        <v>37</v>
      </c>
      <c r="B97" s="3747"/>
      <c r="C97" s="766" t="s">
        <v>646</v>
      </c>
      <c r="D97" s="680" t="s">
        <v>647</v>
      </c>
      <c r="E97" s="779">
        <v>0.2</v>
      </c>
      <c r="F97" s="766">
        <v>30</v>
      </c>
    </row>
    <row r="98" spans="1:6" s="762" customFormat="1" ht="39">
      <c r="A98" s="766">
        <v>38</v>
      </c>
      <c r="B98" s="3747"/>
      <c r="C98" s="766" t="s">
        <v>648</v>
      </c>
      <c r="D98" s="680" t="s">
        <v>649</v>
      </c>
      <c r="E98" s="779">
        <v>0.2</v>
      </c>
      <c r="F98" s="766">
        <v>30</v>
      </c>
    </row>
    <row r="99" spans="1:6" s="762" customFormat="1" ht="39">
      <c r="A99" s="766">
        <v>39</v>
      </c>
      <c r="B99" s="3747" t="s">
        <v>650</v>
      </c>
      <c r="C99" s="766" t="s">
        <v>651</v>
      </c>
      <c r="D99" s="680" t="s">
        <v>652</v>
      </c>
      <c r="E99" s="779">
        <v>0.3</v>
      </c>
      <c r="F99" s="766">
        <v>50</v>
      </c>
    </row>
    <row r="100" spans="1:6" s="762" customFormat="1" ht="26">
      <c r="A100" s="766">
        <v>40</v>
      </c>
      <c r="B100" s="3747"/>
      <c r="C100" s="766" t="s">
        <v>653</v>
      </c>
      <c r="D100" s="680" t="s">
        <v>654</v>
      </c>
      <c r="E100" s="779">
        <v>0.2</v>
      </c>
      <c r="F100" s="766">
        <v>30</v>
      </c>
    </row>
    <row r="101" spans="1:6" s="762" customFormat="1" ht="39">
      <c r="A101" s="766">
        <v>41</v>
      </c>
      <c r="B101" s="3747"/>
      <c r="C101" s="766" t="s">
        <v>655</v>
      </c>
      <c r="D101" s="680" t="s">
        <v>652</v>
      </c>
      <c r="E101" s="779">
        <v>0.2</v>
      </c>
      <c r="F101" s="766">
        <v>30</v>
      </c>
    </row>
    <row r="102" spans="1:6" s="762" customFormat="1" ht="52">
      <c r="A102" s="766">
        <v>42</v>
      </c>
      <c r="B102" s="766" t="s">
        <v>656</v>
      </c>
      <c r="C102" s="680" t="s">
        <v>657</v>
      </c>
      <c r="D102" s="680" t="s">
        <v>658</v>
      </c>
      <c r="E102" s="779">
        <v>0.2</v>
      </c>
      <c r="F102" s="766">
        <v>30</v>
      </c>
    </row>
    <row r="103" spans="1:6" s="762" customFormat="1" ht="26">
      <c r="A103" s="766">
        <v>43</v>
      </c>
      <c r="B103" s="766" t="s">
        <v>659</v>
      </c>
      <c r="C103" s="766" t="s">
        <v>660</v>
      </c>
      <c r="D103" s="680" t="s">
        <v>661</v>
      </c>
      <c r="E103" s="779">
        <v>0.2</v>
      </c>
      <c r="F103" s="766">
        <v>30</v>
      </c>
    </row>
    <row r="104" spans="1:6" s="762" customFormat="1" ht="39">
      <c r="A104" s="766">
        <v>44</v>
      </c>
      <c r="B104" s="766" t="s">
        <v>662</v>
      </c>
      <c r="C104" s="766" t="s">
        <v>663</v>
      </c>
      <c r="D104" s="680" t="s">
        <v>664</v>
      </c>
      <c r="E104" s="779">
        <v>0.2</v>
      </c>
      <c r="F104" s="766">
        <v>30</v>
      </c>
    </row>
    <row r="105" spans="1:6" s="762" customFormat="1" ht="39">
      <c r="A105" s="766">
        <v>45</v>
      </c>
      <c r="B105" s="3747" t="s">
        <v>665</v>
      </c>
      <c r="C105" s="766" t="s">
        <v>666</v>
      </c>
      <c r="D105" s="680" t="s">
        <v>667</v>
      </c>
      <c r="E105" s="779">
        <v>0.2</v>
      </c>
      <c r="F105" s="766">
        <v>30</v>
      </c>
    </row>
    <row r="106" spans="1:6" s="762" customFormat="1" ht="39">
      <c r="A106" s="766">
        <v>46</v>
      </c>
      <c r="B106" s="3747"/>
      <c r="C106" s="766" t="s">
        <v>668</v>
      </c>
      <c r="D106" s="680" t="s">
        <v>669</v>
      </c>
      <c r="E106" s="779">
        <v>0.2</v>
      </c>
      <c r="F106" s="766">
        <v>30</v>
      </c>
    </row>
    <row r="107" spans="1:6" s="762" customFormat="1" ht="39">
      <c r="A107" s="766">
        <v>47</v>
      </c>
      <c r="B107" s="3747" t="s">
        <v>670</v>
      </c>
      <c r="C107" s="766" t="s">
        <v>671</v>
      </c>
      <c r="D107" s="680" t="s">
        <v>672</v>
      </c>
      <c r="E107" s="779">
        <v>0.3</v>
      </c>
      <c r="F107" s="766">
        <v>50</v>
      </c>
    </row>
    <row r="108" spans="1:6" s="762" customFormat="1" ht="39">
      <c r="A108" s="766">
        <v>48</v>
      </c>
      <c r="B108" s="3747"/>
      <c r="C108" s="766" t="s">
        <v>673</v>
      </c>
      <c r="D108" s="680" t="s">
        <v>674</v>
      </c>
      <c r="E108" s="779">
        <v>0.2</v>
      </c>
      <c r="F108" s="766">
        <v>30</v>
      </c>
    </row>
    <row r="109" spans="1:6" s="762" customFormat="1" ht="39">
      <c r="A109" s="766">
        <v>49</v>
      </c>
      <c r="B109" s="766" t="s">
        <v>675</v>
      </c>
      <c r="C109" s="766" t="s">
        <v>676</v>
      </c>
      <c r="D109" s="680" t="s">
        <v>677</v>
      </c>
      <c r="E109" s="779">
        <v>0.2</v>
      </c>
      <c r="F109" s="766">
        <v>30</v>
      </c>
    </row>
    <row r="110" spans="1:6" s="762" customFormat="1" ht="39">
      <c r="A110" s="766">
        <v>50</v>
      </c>
      <c r="B110" s="766" t="s">
        <v>678</v>
      </c>
      <c r="C110" s="766" t="s">
        <v>679</v>
      </c>
      <c r="D110" s="680" t="s">
        <v>680</v>
      </c>
      <c r="E110" s="779">
        <v>0.2</v>
      </c>
      <c r="F110" s="766">
        <v>30</v>
      </c>
    </row>
    <row r="111" spans="1:6" s="762" customFormat="1" ht="39">
      <c r="A111" s="766">
        <v>51</v>
      </c>
      <c r="B111" s="3747" t="s">
        <v>681</v>
      </c>
      <c r="C111" s="766" t="s">
        <v>682</v>
      </c>
      <c r="D111" s="680" t="s">
        <v>683</v>
      </c>
      <c r="E111" s="779">
        <v>0.2</v>
      </c>
      <c r="F111" s="766">
        <v>30</v>
      </c>
    </row>
    <row r="112" spans="1:6" s="762" customFormat="1" ht="26">
      <c r="A112" s="766">
        <v>52</v>
      </c>
      <c r="B112" s="3747"/>
      <c r="C112" s="766" t="s">
        <v>684</v>
      </c>
      <c r="D112" s="680" t="s">
        <v>685</v>
      </c>
      <c r="E112" s="779">
        <v>0.2</v>
      </c>
      <c r="F112" s="766">
        <v>30</v>
      </c>
    </row>
    <row r="113" spans="1:6" s="762" customFormat="1" ht="26">
      <c r="A113" s="766">
        <v>53</v>
      </c>
      <c r="B113" s="3747"/>
      <c r="C113" s="766" t="s">
        <v>686</v>
      </c>
      <c r="D113" s="680" t="s">
        <v>687</v>
      </c>
      <c r="E113" s="779">
        <v>0.2</v>
      </c>
      <c r="F113" s="766">
        <v>30</v>
      </c>
    </row>
    <row r="114" spans="1:6" ht="39">
      <c r="A114" s="766">
        <v>54</v>
      </c>
      <c r="B114" s="766" t="s">
        <v>688</v>
      </c>
      <c r="C114" s="766" t="s">
        <v>689</v>
      </c>
      <c r="D114" s="680" t="s">
        <v>690</v>
      </c>
      <c r="E114" s="779">
        <v>0.2</v>
      </c>
      <c r="F114" s="766">
        <v>30</v>
      </c>
    </row>
    <row r="115" spans="1:6" ht="26">
      <c r="A115" s="766">
        <v>55</v>
      </c>
      <c r="B115" s="766" t="s">
        <v>691</v>
      </c>
      <c r="C115" s="766" t="s">
        <v>692</v>
      </c>
      <c r="D115" s="680" t="s">
        <v>693</v>
      </c>
      <c r="E115" s="779">
        <v>0.2</v>
      </c>
      <c r="F115" s="766">
        <v>30</v>
      </c>
    </row>
    <row r="116" spans="1:6" ht="26">
      <c r="A116" s="766">
        <v>56</v>
      </c>
      <c r="B116" s="3747" t="s">
        <v>694</v>
      </c>
      <c r="C116" s="766" t="s">
        <v>695</v>
      </c>
      <c r="D116" s="680" t="s">
        <v>696</v>
      </c>
      <c r="E116" s="779">
        <v>0.2</v>
      </c>
      <c r="F116" s="766">
        <v>30</v>
      </c>
    </row>
    <row r="117" spans="1:6" ht="39">
      <c r="A117" s="766">
        <v>57</v>
      </c>
      <c r="B117" s="3747"/>
      <c r="C117" s="766" t="s">
        <v>697</v>
      </c>
      <c r="D117" s="680" t="s">
        <v>698</v>
      </c>
      <c r="E117" s="779">
        <v>0.2</v>
      </c>
      <c r="F117" s="766">
        <v>30</v>
      </c>
    </row>
    <row r="118" spans="1:6" ht="39">
      <c r="A118" s="766">
        <v>58</v>
      </c>
      <c r="B118" s="766" t="s">
        <v>699</v>
      </c>
      <c r="C118" s="766" t="s">
        <v>700</v>
      </c>
      <c r="D118" s="680" t="s">
        <v>701</v>
      </c>
      <c r="E118" s="779">
        <v>0.2</v>
      </c>
      <c r="F118" s="766">
        <v>30</v>
      </c>
    </row>
    <row r="119" spans="1:6" ht="14">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
  <cols>
    <col min="1" max="1" width="9" style="790"/>
    <col min="2" max="16384" width="9" style="782"/>
  </cols>
  <sheetData>
    <row r="1" spans="1:14" ht="1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
      <c r="A103" s="780" t="s">
        <v>705</v>
      </c>
      <c r="B103" s="781"/>
      <c r="C103" s="781"/>
      <c r="D103" s="781"/>
      <c r="E103" s="781"/>
      <c r="F103" s="781"/>
      <c r="G103" s="781"/>
      <c r="H103" s="781"/>
      <c r="I103" s="781"/>
      <c r="J103" s="781"/>
      <c r="K103" s="781"/>
      <c r="L103" s="781"/>
      <c r="M103" s="781"/>
      <c r="N103" s="781"/>
    </row>
    <row r="104" spans="1:14" ht="1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5"/>
  <cols>
    <col min="1" max="1" width="9" style="2318"/>
    <col min="2" max="6" width="9" style="2318" customWidth="1"/>
    <col min="7" max="7" width="9" style="2361"/>
    <col min="8" max="8" width="9" style="2318"/>
    <col min="9" max="12" width="9" style="2318" customWidth="1"/>
    <col min="13" max="13" width="2.26953125" style="2318" customWidth="1"/>
    <col min="14" max="14" width="9" style="2361" customWidth="1"/>
    <col min="15" max="17" width="9" style="2318" customWidth="1"/>
    <col min="18" max="18" width="2.36328125" style="2318" customWidth="1"/>
    <col min="19" max="19" width="7.08984375" style="2361" customWidth="1"/>
    <col min="20" max="22" width="7.08984375" style="2318" customWidth="1"/>
    <col min="23" max="23" width="23.90625" style="2318" customWidth="1"/>
    <col min="24" max="25" width="9" style="2318"/>
    <col min="26" max="27" width="11.6328125" style="2318" customWidth="1"/>
    <col min="28" max="28" width="9" style="2318"/>
    <col min="29" max="29" width="2" style="2318" customWidth="1"/>
    <col min="30" max="16384" width="9" style="2318"/>
  </cols>
  <sheetData>
    <row r="1" spans="1:34" s="2296" customFormat="1" ht="13">
      <c r="B1" s="3753" t="s">
        <v>964</v>
      </c>
      <c r="C1" s="3753"/>
      <c r="D1" s="3753"/>
      <c r="E1" s="3753"/>
      <c r="F1" s="3753"/>
      <c r="G1" s="3752" t="s">
        <v>965</v>
      </c>
      <c r="H1" s="3752"/>
      <c r="I1" s="3752"/>
      <c r="J1" s="3752"/>
      <c r="K1" s="3752"/>
      <c r="L1" s="3752"/>
      <c r="N1" s="3752" t="s">
        <v>966</v>
      </c>
      <c r="O1" s="3752"/>
      <c r="P1" s="3752"/>
      <c r="Q1" s="3752"/>
      <c r="S1" s="3752" t="s">
        <v>967</v>
      </c>
      <c r="T1" s="3752"/>
      <c r="U1" s="3752"/>
      <c r="V1" s="3752"/>
      <c r="X1" s="3751" t="s">
        <v>968</v>
      </c>
      <c r="Y1" s="3752"/>
      <c r="Z1" s="3752"/>
      <c r="AA1" s="3752"/>
      <c r="AB1" s="3752"/>
      <c r="AD1" s="3751" t="s">
        <v>969</v>
      </c>
      <c r="AE1" s="3752"/>
      <c r="AF1" s="3752"/>
      <c r="AG1" s="3752"/>
      <c r="AH1" s="3752"/>
    </row>
    <row r="2" spans="1:34" s="2297" customFormat="1" ht="14.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ht="13">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ht="13">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49">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49"/>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49"/>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58"/>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ht="13">
      <c r="A22" s="2332" t="s">
        <v>2645</v>
      </c>
      <c r="B22" s="2342">
        <v>439</v>
      </c>
      <c r="C22" s="2342">
        <v>327</v>
      </c>
      <c r="D22" s="2342">
        <f t="shared" si="169"/>
        <v>327</v>
      </c>
      <c r="E22" s="2342">
        <v>627</v>
      </c>
      <c r="F22" s="2343">
        <v>283</v>
      </c>
      <c r="G22" s="3754">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49"/>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49"/>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58"/>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ht="13">
      <c r="A26" s="2332" t="s">
        <v>981</v>
      </c>
      <c r="B26" s="2342">
        <v>392</v>
      </c>
      <c r="C26" s="2342">
        <v>302</v>
      </c>
      <c r="D26" s="2342">
        <f t="shared" si="169"/>
        <v>302</v>
      </c>
      <c r="E26" s="2342">
        <v>553</v>
      </c>
      <c r="F26" s="2343">
        <v>266</v>
      </c>
      <c r="G26" s="3754">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49"/>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49"/>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50"/>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48">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49"/>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49"/>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50"/>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48">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49"/>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49"/>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50"/>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55">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56"/>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ht="13">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56"/>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57"/>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48">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49"/>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49"/>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 thickBot="1">
      <c r="A45" s="2332" t="s">
        <v>989</v>
      </c>
      <c r="B45" s="2349">
        <f>B44/(1+N44)</f>
        <v>275.19025476197027</v>
      </c>
      <c r="C45" s="2387">
        <v>232</v>
      </c>
      <c r="D45" s="2387">
        <f t="shared" si="194"/>
        <v>232</v>
      </c>
      <c r="E45" s="2349">
        <f t="shared" si="205"/>
        <v>375.65990977608692</v>
      </c>
      <c r="F45" s="2349">
        <f t="shared" si="205"/>
        <v>214.12518283971252</v>
      </c>
      <c r="G45" s="3750"/>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48">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49">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49">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50">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48">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49">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49">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50">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48">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49">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49">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50">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48">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49">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49">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50">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48">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49">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49">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50">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48">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49">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49">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50">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48">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49">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49">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50">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48">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49">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49">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50">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48">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49">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49">
        <v>2003</v>
      </c>
      <c r="H80" s="2352">
        <v>2</v>
      </c>
      <c r="I80" s="2407"/>
      <c r="J80" s="2407"/>
      <c r="K80" s="2407"/>
      <c r="L80" s="2407"/>
      <c r="X80" s="2399"/>
      <c r="Y80" s="2399"/>
      <c r="Z80" s="2399"/>
    </row>
    <row r="81" spans="1:26" ht="13" thickBot="1">
      <c r="A81" s="2332" t="s">
        <v>1025</v>
      </c>
      <c r="B81" s="2409">
        <f t="shared" si="230"/>
        <v>107.25</v>
      </c>
      <c r="C81" s="2409">
        <f t="shared" si="230"/>
        <v>108.75</v>
      </c>
      <c r="D81" s="2409">
        <f t="shared" si="194"/>
        <v>108.75</v>
      </c>
      <c r="E81" s="2409">
        <f t="shared" si="231"/>
        <v>105.75</v>
      </c>
      <c r="F81" s="2409">
        <f t="shared" si="231"/>
        <v>102.5</v>
      </c>
      <c r="G81" s="3750">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48">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49">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49">
        <v>2002</v>
      </c>
      <c r="H84" s="2352">
        <v>2</v>
      </c>
      <c r="I84" s="2407"/>
      <c r="J84" s="2407"/>
      <c r="K84" s="2407"/>
      <c r="L84" s="2407"/>
      <c r="X84" s="2399"/>
      <c r="Y84" s="2399"/>
      <c r="Z84" s="2399"/>
    </row>
    <row r="85" spans="1:26" s="2372" customFormat="1" ht="13" thickBot="1">
      <c r="A85" s="2368" t="s">
        <v>1029</v>
      </c>
      <c r="B85" s="2375">
        <f t="shared" si="232"/>
        <v>103</v>
      </c>
      <c r="C85" s="2375">
        <f t="shared" si="232"/>
        <v>104</v>
      </c>
      <c r="D85" s="2375">
        <f t="shared" si="194"/>
        <v>104</v>
      </c>
      <c r="E85" s="2375">
        <f t="shared" si="233"/>
        <v>103.5</v>
      </c>
      <c r="F85" s="2375">
        <f t="shared" si="233"/>
        <v>100.5</v>
      </c>
      <c r="G85" s="3750">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ht="13">
      <c r="A88" s="2420" t="s">
        <v>1030</v>
      </c>
      <c r="G88" s="2422"/>
      <c r="N88" s="2422"/>
      <c r="S88" s="2422"/>
    </row>
    <row r="89" spans="1:26" s="2421" customFormat="1" ht="13">
      <c r="A89" s="2421" t="s">
        <v>1031</v>
      </c>
      <c r="G89" s="2422"/>
      <c r="N89" s="2422"/>
      <c r="S89" s="2422"/>
    </row>
    <row r="90" spans="1:26" s="2421" customFormat="1" ht="13">
      <c r="A90" s="2421" t="s">
        <v>1032</v>
      </c>
      <c r="G90" s="2422"/>
      <c r="I90" s="2423"/>
      <c r="J90" s="2423"/>
      <c r="K90" s="2423"/>
      <c r="L90" s="2423"/>
      <c r="N90" s="2424"/>
      <c r="O90" s="2423"/>
      <c r="P90" s="2423"/>
      <c r="Q90" s="2423"/>
      <c r="S90" s="2424"/>
      <c r="T90" s="2423"/>
      <c r="U90" s="2423"/>
      <c r="V90" s="2423"/>
    </row>
    <row r="91" spans="1:26" s="2421" customFormat="1" ht="13">
      <c r="A91" s="2421" t="s">
        <v>1033</v>
      </c>
      <c r="G91" s="2422"/>
      <c r="N91" s="2422"/>
      <c r="S91" s="2422"/>
    </row>
    <row r="98" spans="7:22" ht="13" thickBot="1"/>
    <row r="99" spans="7:22" ht="13">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G53" sqref="G53"/>
    </sheetView>
  </sheetViews>
  <sheetFormatPr defaultRowHeight="14"/>
  <cols>
    <col min="1" max="1" width="4.90625" style="1205" customWidth="1"/>
    <col min="2" max="2" width="13.26953125" style="1211" customWidth="1"/>
    <col min="3" max="3" width="15.6328125" style="1211" customWidth="1"/>
    <col min="4" max="4" width="9.36328125" style="1211" bestFit="1" customWidth="1"/>
    <col min="5" max="5" width="13.453125" style="1211" customWidth="1"/>
    <col min="6" max="6" width="9" style="1211"/>
    <col min="7" max="7" width="9.36328125" style="1211" bestFit="1" customWidth="1"/>
    <col min="8" max="8" width="11.453125" style="1211" customWidth="1"/>
    <col min="9" max="9" width="9" style="1211"/>
    <col min="10" max="10" width="9.36328125" style="1211" bestFit="1" customWidth="1"/>
    <col min="11" max="11" width="4" style="1205" customWidth="1"/>
    <col min="12" max="12" width="5.08984375" style="1211" customWidth="1"/>
    <col min="13" max="13" width="13.7265625" style="1211" customWidth="1"/>
    <col min="14" max="256" width="9" style="1211"/>
    <col min="257" max="257" width="4.90625" style="1202" customWidth="1"/>
    <col min="258" max="258" width="13.26953125" style="1202" customWidth="1"/>
    <col min="259" max="259" width="15.6328125" style="1202" customWidth="1"/>
    <col min="260" max="260" width="9.36328125" style="1202" bestFit="1" customWidth="1"/>
    <col min="261" max="261" width="13.453125" style="1202" customWidth="1"/>
    <col min="262" max="262" width="9" style="1202"/>
    <col min="263" max="263" width="9.36328125" style="1202" bestFit="1" customWidth="1"/>
    <col min="264" max="265" width="9" style="1202"/>
    <col min="266" max="266" width="9.36328125" style="1202" bestFit="1" customWidth="1"/>
    <col min="267" max="267" width="4" style="1202" customWidth="1"/>
    <col min="268" max="268" width="5.08984375" style="1202" customWidth="1"/>
    <col min="269" max="269" width="13.7265625" style="1202" customWidth="1"/>
    <col min="270" max="512" width="9" style="1202"/>
    <col min="513" max="513" width="4.90625" style="1202" customWidth="1"/>
    <col min="514" max="514" width="13.26953125" style="1202" customWidth="1"/>
    <col min="515" max="515" width="15.6328125" style="1202" customWidth="1"/>
    <col min="516" max="516" width="9.36328125" style="1202" bestFit="1" customWidth="1"/>
    <col min="517" max="517" width="13.453125" style="1202" customWidth="1"/>
    <col min="518" max="518" width="9" style="1202"/>
    <col min="519" max="519" width="9.36328125" style="1202" bestFit="1" customWidth="1"/>
    <col min="520" max="521" width="9" style="1202"/>
    <col min="522" max="522" width="9.36328125" style="1202" bestFit="1" customWidth="1"/>
    <col min="523" max="523" width="4" style="1202" customWidth="1"/>
    <col min="524" max="524" width="5.08984375" style="1202" customWidth="1"/>
    <col min="525" max="525" width="13.7265625" style="1202" customWidth="1"/>
    <col min="526" max="768" width="9" style="1202"/>
    <col min="769" max="769" width="4.90625" style="1202" customWidth="1"/>
    <col min="770" max="770" width="13.26953125" style="1202" customWidth="1"/>
    <col min="771" max="771" width="15.6328125" style="1202" customWidth="1"/>
    <col min="772" max="772" width="9.36328125" style="1202" bestFit="1" customWidth="1"/>
    <col min="773" max="773" width="13.453125" style="1202" customWidth="1"/>
    <col min="774" max="774" width="9" style="1202"/>
    <col min="775" max="775" width="9.36328125" style="1202" bestFit="1" customWidth="1"/>
    <col min="776" max="777" width="9" style="1202"/>
    <col min="778" max="778" width="9.36328125" style="1202" bestFit="1" customWidth="1"/>
    <col min="779" max="779" width="4" style="1202" customWidth="1"/>
    <col min="780" max="780" width="5.08984375" style="1202" customWidth="1"/>
    <col min="781" max="781" width="13.7265625" style="1202" customWidth="1"/>
    <col min="782" max="1024" width="9" style="1202"/>
    <col min="1025" max="1025" width="4.90625" style="1202" customWidth="1"/>
    <col min="1026" max="1026" width="13.26953125" style="1202" customWidth="1"/>
    <col min="1027" max="1027" width="15.6328125" style="1202" customWidth="1"/>
    <col min="1028" max="1028" width="9.36328125" style="1202" bestFit="1" customWidth="1"/>
    <col min="1029" max="1029" width="13.453125" style="1202" customWidth="1"/>
    <col min="1030" max="1030" width="9" style="1202"/>
    <col min="1031" max="1031" width="9.36328125" style="1202" bestFit="1" customWidth="1"/>
    <col min="1032" max="1033" width="9" style="1202"/>
    <col min="1034" max="1034" width="9.36328125" style="1202" bestFit="1" customWidth="1"/>
    <col min="1035" max="1035" width="4" style="1202" customWidth="1"/>
    <col min="1036" max="1036" width="5.08984375" style="1202" customWidth="1"/>
    <col min="1037" max="1037" width="13.7265625" style="1202" customWidth="1"/>
    <col min="1038" max="1280" width="9" style="1202"/>
    <col min="1281" max="1281" width="4.90625" style="1202" customWidth="1"/>
    <col min="1282" max="1282" width="13.26953125" style="1202" customWidth="1"/>
    <col min="1283" max="1283" width="15.6328125" style="1202" customWidth="1"/>
    <col min="1284" max="1284" width="9.36328125" style="1202" bestFit="1" customWidth="1"/>
    <col min="1285" max="1285" width="13.453125" style="1202" customWidth="1"/>
    <col min="1286" max="1286" width="9" style="1202"/>
    <col min="1287" max="1287" width="9.36328125" style="1202" bestFit="1" customWidth="1"/>
    <col min="1288" max="1289" width="9" style="1202"/>
    <col min="1290" max="1290" width="9.36328125" style="1202" bestFit="1" customWidth="1"/>
    <col min="1291" max="1291" width="4" style="1202" customWidth="1"/>
    <col min="1292" max="1292" width="5.08984375" style="1202" customWidth="1"/>
    <col min="1293" max="1293" width="13.7265625" style="1202" customWidth="1"/>
    <col min="1294" max="1536" width="9" style="1202"/>
    <col min="1537" max="1537" width="4.90625" style="1202" customWidth="1"/>
    <col min="1538" max="1538" width="13.26953125" style="1202" customWidth="1"/>
    <col min="1539" max="1539" width="15.6328125" style="1202" customWidth="1"/>
    <col min="1540" max="1540" width="9.36328125" style="1202" bestFit="1" customWidth="1"/>
    <col min="1541" max="1541" width="13.453125" style="1202" customWidth="1"/>
    <col min="1542" max="1542" width="9" style="1202"/>
    <col min="1543" max="1543" width="9.36328125" style="1202" bestFit="1" customWidth="1"/>
    <col min="1544" max="1545" width="9" style="1202"/>
    <col min="1546" max="1546" width="9.36328125" style="1202" bestFit="1" customWidth="1"/>
    <col min="1547" max="1547" width="4" style="1202" customWidth="1"/>
    <col min="1548" max="1548" width="5.08984375" style="1202" customWidth="1"/>
    <col min="1549" max="1549" width="13.7265625" style="1202" customWidth="1"/>
    <col min="1550" max="1792" width="9" style="1202"/>
    <col min="1793" max="1793" width="4.90625" style="1202" customWidth="1"/>
    <col min="1794" max="1794" width="13.26953125" style="1202" customWidth="1"/>
    <col min="1795" max="1795" width="15.6328125" style="1202" customWidth="1"/>
    <col min="1796" max="1796" width="9.36328125" style="1202" bestFit="1" customWidth="1"/>
    <col min="1797" max="1797" width="13.453125" style="1202" customWidth="1"/>
    <col min="1798" max="1798" width="9" style="1202"/>
    <col min="1799" max="1799" width="9.36328125" style="1202" bestFit="1" customWidth="1"/>
    <col min="1800" max="1801" width="9" style="1202"/>
    <col min="1802" max="1802" width="9.36328125" style="1202" bestFit="1" customWidth="1"/>
    <col min="1803" max="1803" width="4" style="1202" customWidth="1"/>
    <col min="1804" max="1804" width="5.08984375" style="1202" customWidth="1"/>
    <col min="1805" max="1805" width="13.7265625" style="1202" customWidth="1"/>
    <col min="1806" max="2048" width="9" style="1202"/>
    <col min="2049" max="2049" width="4.90625" style="1202" customWidth="1"/>
    <col min="2050" max="2050" width="13.26953125" style="1202" customWidth="1"/>
    <col min="2051" max="2051" width="15.6328125" style="1202" customWidth="1"/>
    <col min="2052" max="2052" width="9.36328125" style="1202" bestFit="1" customWidth="1"/>
    <col min="2053" max="2053" width="13.453125" style="1202" customWidth="1"/>
    <col min="2054" max="2054" width="9" style="1202"/>
    <col min="2055" max="2055" width="9.36328125" style="1202" bestFit="1" customWidth="1"/>
    <col min="2056" max="2057" width="9" style="1202"/>
    <col min="2058" max="2058" width="9.36328125" style="1202" bestFit="1" customWidth="1"/>
    <col min="2059" max="2059" width="4" style="1202" customWidth="1"/>
    <col min="2060" max="2060" width="5.08984375" style="1202" customWidth="1"/>
    <col min="2061" max="2061" width="13.7265625" style="1202" customWidth="1"/>
    <col min="2062" max="2304" width="9" style="1202"/>
    <col min="2305" max="2305" width="4.90625" style="1202" customWidth="1"/>
    <col min="2306" max="2306" width="13.26953125" style="1202" customWidth="1"/>
    <col min="2307" max="2307" width="15.6328125" style="1202" customWidth="1"/>
    <col min="2308" max="2308" width="9.36328125" style="1202" bestFit="1" customWidth="1"/>
    <col min="2309" max="2309" width="13.453125" style="1202" customWidth="1"/>
    <col min="2310" max="2310" width="9" style="1202"/>
    <col min="2311" max="2311" width="9.36328125" style="1202" bestFit="1" customWidth="1"/>
    <col min="2312" max="2313" width="9" style="1202"/>
    <col min="2314" max="2314" width="9.36328125" style="1202" bestFit="1" customWidth="1"/>
    <col min="2315" max="2315" width="4" style="1202" customWidth="1"/>
    <col min="2316" max="2316" width="5.08984375" style="1202" customWidth="1"/>
    <col min="2317" max="2317" width="13.7265625" style="1202" customWidth="1"/>
    <col min="2318" max="2560" width="9" style="1202"/>
    <col min="2561" max="2561" width="4.90625" style="1202" customWidth="1"/>
    <col min="2562" max="2562" width="13.26953125" style="1202" customWidth="1"/>
    <col min="2563" max="2563" width="15.6328125" style="1202" customWidth="1"/>
    <col min="2564" max="2564" width="9.36328125" style="1202" bestFit="1" customWidth="1"/>
    <col min="2565" max="2565" width="13.453125" style="1202" customWidth="1"/>
    <col min="2566" max="2566" width="9" style="1202"/>
    <col min="2567" max="2567" width="9.36328125" style="1202" bestFit="1" customWidth="1"/>
    <col min="2568" max="2569" width="9" style="1202"/>
    <col min="2570" max="2570" width="9.36328125" style="1202" bestFit="1" customWidth="1"/>
    <col min="2571" max="2571" width="4" style="1202" customWidth="1"/>
    <col min="2572" max="2572" width="5.08984375" style="1202" customWidth="1"/>
    <col min="2573" max="2573" width="13.7265625" style="1202" customWidth="1"/>
    <col min="2574" max="2816" width="9" style="1202"/>
    <col min="2817" max="2817" width="4.90625" style="1202" customWidth="1"/>
    <col min="2818" max="2818" width="13.26953125" style="1202" customWidth="1"/>
    <col min="2819" max="2819" width="15.6328125" style="1202" customWidth="1"/>
    <col min="2820" max="2820" width="9.36328125" style="1202" bestFit="1" customWidth="1"/>
    <col min="2821" max="2821" width="13.453125" style="1202" customWidth="1"/>
    <col min="2822" max="2822" width="9" style="1202"/>
    <col min="2823" max="2823" width="9.36328125" style="1202" bestFit="1" customWidth="1"/>
    <col min="2824" max="2825" width="9" style="1202"/>
    <col min="2826" max="2826" width="9.36328125" style="1202" bestFit="1" customWidth="1"/>
    <col min="2827" max="2827" width="4" style="1202" customWidth="1"/>
    <col min="2828" max="2828" width="5.08984375" style="1202" customWidth="1"/>
    <col min="2829" max="2829" width="13.7265625" style="1202" customWidth="1"/>
    <col min="2830" max="3072" width="9" style="1202"/>
    <col min="3073" max="3073" width="4.90625" style="1202" customWidth="1"/>
    <col min="3074" max="3074" width="13.26953125" style="1202" customWidth="1"/>
    <col min="3075" max="3075" width="15.6328125" style="1202" customWidth="1"/>
    <col min="3076" max="3076" width="9.36328125" style="1202" bestFit="1" customWidth="1"/>
    <col min="3077" max="3077" width="13.453125" style="1202" customWidth="1"/>
    <col min="3078" max="3078" width="9" style="1202"/>
    <col min="3079" max="3079" width="9.36328125" style="1202" bestFit="1" customWidth="1"/>
    <col min="3080" max="3081" width="9" style="1202"/>
    <col min="3082" max="3082" width="9.36328125" style="1202" bestFit="1" customWidth="1"/>
    <col min="3083" max="3083" width="4" style="1202" customWidth="1"/>
    <col min="3084" max="3084" width="5.08984375" style="1202" customWidth="1"/>
    <col min="3085" max="3085" width="13.7265625" style="1202" customWidth="1"/>
    <col min="3086" max="3328" width="9" style="1202"/>
    <col min="3329" max="3329" width="4.90625" style="1202" customWidth="1"/>
    <col min="3330" max="3330" width="13.26953125" style="1202" customWidth="1"/>
    <col min="3331" max="3331" width="15.6328125" style="1202" customWidth="1"/>
    <col min="3332" max="3332" width="9.36328125" style="1202" bestFit="1" customWidth="1"/>
    <col min="3333" max="3333" width="13.453125" style="1202" customWidth="1"/>
    <col min="3334" max="3334" width="9" style="1202"/>
    <col min="3335" max="3335" width="9.36328125" style="1202" bestFit="1" customWidth="1"/>
    <col min="3336" max="3337" width="9" style="1202"/>
    <col min="3338" max="3338" width="9.36328125" style="1202" bestFit="1" customWidth="1"/>
    <col min="3339" max="3339" width="4" style="1202" customWidth="1"/>
    <col min="3340" max="3340" width="5.08984375" style="1202" customWidth="1"/>
    <col min="3341" max="3341" width="13.7265625" style="1202" customWidth="1"/>
    <col min="3342" max="3584" width="9" style="1202"/>
    <col min="3585" max="3585" width="4.90625" style="1202" customWidth="1"/>
    <col min="3586" max="3586" width="13.26953125" style="1202" customWidth="1"/>
    <col min="3587" max="3587" width="15.6328125" style="1202" customWidth="1"/>
    <col min="3588" max="3588" width="9.36328125" style="1202" bestFit="1" customWidth="1"/>
    <col min="3589" max="3589" width="13.453125" style="1202" customWidth="1"/>
    <col min="3590" max="3590" width="9" style="1202"/>
    <col min="3591" max="3591" width="9.36328125" style="1202" bestFit="1" customWidth="1"/>
    <col min="3592" max="3593" width="9" style="1202"/>
    <col min="3594" max="3594" width="9.36328125" style="1202" bestFit="1" customWidth="1"/>
    <col min="3595" max="3595" width="4" style="1202" customWidth="1"/>
    <col min="3596" max="3596" width="5.08984375" style="1202" customWidth="1"/>
    <col min="3597" max="3597" width="13.7265625" style="1202" customWidth="1"/>
    <col min="3598" max="3840" width="9" style="1202"/>
    <col min="3841" max="3841" width="4.90625" style="1202" customWidth="1"/>
    <col min="3842" max="3842" width="13.26953125" style="1202" customWidth="1"/>
    <col min="3843" max="3843" width="15.6328125" style="1202" customWidth="1"/>
    <col min="3844" max="3844" width="9.36328125" style="1202" bestFit="1" customWidth="1"/>
    <col min="3845" max="3845" width="13.453125" style="1202" customWidth="1"/>
    <col min="3846" max="3846" width="9" style="1202"/>
    <col min="3847" max="3847" width="9.36328125" style="1202" bestFit="1" customWidth="1"/>
    <col min="3848" max="3849" width="9" style="1202"/>
    <col min="3850" max="3850" width="9.36328125" style="1202" bestFit="1" customWidth="1"/>
    <col min="3851" max="3851" width="4" style="1202" customWidth="1"/>
    <col min="3852" max="3852" width="5.08984375" style="1202" customWidth="1"/>
    <col min="3853" max="3853" width="13.7265625" style="1202" customWidth="1"/>
    <col min="3854" max="4096" width="9" style="1202"/>
    <col min="4097" max="4097" width="4.90625" style="1202" customWidth="1"/>
    <col min="4098" max="4098" width="13.26953125" style="1202" customWidth="1"/>
    <col min="4099" max="4099" width="15.6328125" style="1202" customWidth="1"/>
    <col min="4100" max="4100" width="9.36328125" style="1202" bestFit="1" customWidth="1"/>
    <col min="4101" max="4101" width="13.453125" style="1202" customWidth="1"/>
    <col min="4102" max="4102" width="9" style="1202"/>
    <col min="4103" max="4103" width="9.36328125" style="1202" bestFit="1" customWidth="1"/>
    <col min="4104" max="4105" width="9" style="1202"/>
    <col min="4106" max="4106" width="9.36328125" style="1202" bestFit="1" customWidth="1"/>
    <col min="4107" max="4107" width="4" style="1202" customWidth="1"/>
    <col min="4108" max="4108" width="5.08984375" style="1202" customWidth="1"/>
    <col min="4109" max="4109" width="13.7265625" style="1202" customWidth="1"/>
    <col min="4110" max="4352" width="9" style="1202"/>
    <col min="4353" max="4353" width="4.90625" style="1202" customWidth="1"/>
    <col min="4354" max="4354" width="13.26953125" style="1202" customWidth="1"/>
    <col min="4355" max="4355" width="15.6328125" style="1202" customWidth="1"/>
    <col min="4356" max="4356" width="9.36328125" style="1202" bestFit="1" customWidth="1"/>
    <col min="4357" max="4357" width="13.453125" style="1202" customWidth="1"/>
    <col min="4358" max="4358" width="9" style="1202"/>
    <col min="4359" max="4359" width="9.36328125" style="1202" bestFit="1" customWidth="1"/>
    <col min="4360" max="4361" width="9" style="1202"/>
    <col min="4362" max="4362" width="9.36328125" style="1202" bestFit="1" customWidth="1"/>
    <col min="4363" max="4363" width="4" style="1202" customWidth="1"/>
    <col min="4364" max="4364" width="5.08984375" style="1202" customWidth="1"/>
    <col min="4365" max="4365" width="13.7265625" style="1202" customWidth="1"/>
    <col min="4366" max="4608" width="9" style="1202"/>
    <col min="4609" max="4609" width="4.90625" style="1202" customWidth="1"/>
    <col min="4610" max="4610" width="13.26953125" style="1202" customWidth="1"/>
    <col min="4611" max="4611" width="15.6328125" style="1202" customWidth="1"/>
    <col min="4612" max="4612" width="9.36328125" style="1202" bestFit="1" customWidth="1"/>
    <col min="4613" max="4613" width="13.453125" style="1202" customWidth="1"/>
    <col min="4614" max="4614" width="9" style="1202"/>
    <col min="4615" max="4615" width="9.36328125" style="1202" bestFit="1" customWidth="1"/>
    <col min="4616" max="4617" width="9" style="1202"/>
    <col min="4618" max="4618" width="9.36328125" style="1202" bestFit="1" customWidth="1"/>
    <col min="4619" max="4619" width="4" style="1202" customWidth="1"/>
    <col min="4620" max="4620" width="5.08984375" style="1202" customWidth="1"/>
    <col min="4621" max="4621" width="13.7265625" style="1202" customWidth="1"/>
    <col min="4622" max="4864" width="9" style="1202"/>
    <col min="4865" max="4865" width="4.90625" style="1202" customWidth="1"/>
    <col min="4866" max="4866" width="13.26953125" style="1202" customWidth="1"/>
    <col min="4867" max="4867" width="15.6328125" style="1202" customWidth="1"/>
    <col min="4868" max="4868" width="9.36328125" style="1202" bestFit="1" customWidth="1"/>
    <col min="4869" max="4869" width="13.453125" style="1202" customWidth="1"/>
    <col min="4870" max="4870" width="9" style="1202"/>
    <col min="4871" max="4871" width="9.36328125" style="1202" bestFit="1" customWidth="1"/>
    <col min="4872" max="4873" width="9" style="1202"/>
    <col min="4874" max="4874" width="9.36328125" style="1202" bestFit="1" customWidth="1"/>
    <col min="4875" max="4875" width="4" style="1202" customWidth="1"/>
    <col min="4876" max="4876" width="5.08984375" style="1202" customWidth="1"/>
    <col min="4877" max="4877" width="13.7265625" style="1202" customWidth="1"/>
    <col min="4878" max="5120" width="9" style="1202"/>
    <col min="5121" max="5121" width="4.90625" style="1202" customWidth="1"/>
    <col min="5122" max="5122" width="13.26953125" style="1202" customWidth="1"/>
    <col min="5123" max="5123" width="15.6328125" style="1202" customWidth="1"/>
    <col min="5124" max="5124" width="9.36328125" style="1202" bestFit="1" customWidth="1"/>
    <col min="5125" max="5125" width="13.453125" style="1202" customWidth="1"/>
    <col min="5126" max="5126" width="9" style="1202"/>
    <col min="5127" max="5127" width="9.36328125" style="1202" bestFit="1" customWidth="1"/>
    <col min="5128" max="5129" width="9" style="1202"/>
    <col min="5130" max="5130" width="9.36328125" style="1202" bestFit="1" customWidth="1"/>
    <col min="5131" max="5131" width="4" style="1202" customWidth="1"/>
    <col min="5132" max="5132" width="5.08984375" style="1202" customWidth="1"/>
    <col min="5133" max="5133" width="13.7265625" style="1202" customWidth="1"/>
    <col min="5134" max="5376" width="9" style="1202"/>
    <col min="5377" max="5377" width="4.90625" style="1202" customWidth="1"/>
    <col min="5378" max="5378" width="13.26953125" style="1202" customWidth="1"/>
    <col min="5379" max="5379" width="15.6328125" style="1202" customWidth="1"/>
    <col min="5380" max="5380" width="9.36328125" style="1202" bestFit="1" customWidth="1"/>
    <col min="5381" max="5381" width="13.453125" style="1202" customWidth="1"/>
    <col min="5382" max="5382" width="9" style="1202"/>
    <col min="5383" max="5383" width="9.36328125" style="1202" bestFit="1" customWidth="1"/>
    <col min="5384" max="5385" width="9" style="1202"/>
    <col min="5386" max="5386" width="9.36328125" style="1202" bestFit="1" customWidth="1"/>
    <col min="5387" max="5387" width="4" style="1202" customWidth="1"/>
    <col min="5388" max="5388" width="5.08984375" style="1202" customWidth="1"/>
    <col min="5389" max="5389" width="13.7265625" style="1202" customWidth="1"/>
    <col min="5390" max="5632" width="9" style="1202"/>
    <col min="5633" max="5633" width="4.90625" style="1202" customWidth="1"/>
    <col min="5634" max="5634" width="13.26953125" style="1202" customWidth="1"/>
    <col min="5635" max="5635" width="15.6328125" style="1202" customWidth="1"/>
    <col min="5636" max="5636" width="9.36328125" style="1202" bestFit="1" customWidth="1"/>
    <col min="5637" max="5637" width="13.453125" style="1202" customWidth="1"/>
    <col min="5638" max="5638" width="9" style="1202"/>
    <col min="5639" max="5639" width="9.36328125" style="1202" bestFit="1" customWidth="1"/>
    <col min="5640" max="5641" width="9" style="1202"/>
    <col min="5642" max="5642" width="9.36328125" style="1202" bestFit="1" customWidth="1"/>
    <col min="5643" max="5643" width="4" style="1202" customWidth="1"/>
    <col min="5644" max="5644" width="5.08984375" style="1202" customWidth="1"/>
    <col min="5645" max="5645" width="13.7265625" style="1202" customWidth="1"/>
    <col min="5646" max="5888" width="9" style="1202"/>
    <col min="5889" max="5889" width="4.90625" style="1202" customWidth="1"/>
    <col min="5890" max="5890" width="13.26953125" style="1202" customWidth="1"/>
    <col min="5891" max="5891" width="15.6328125" style="1202" customWidth="1"/>
    <col min="5892" max="5892" width="9.36328125" style="1202" bestFit="1" customWidth="1"/>
    <col min="5893" max="5893" width="13.453125" style="1202" customWidth="1"/>
    <col min="5894" max="5894" width="9" style="1202"/>
    <col min="5895" max="5895" width="9.36328125" style="1202" bestFit="1" customWidth="1"/>
    <col min="5896" max="5897" width="9" style="1202"/>
    <col min="5898" max="5898" width="9.36328125" style="1202" bestFit="1" customWidth="1"/>
    <col min="5899" max="5899" width="4" style="1202" customWidth="1"/>
    <col min="5900" max="5900" width="5.08984375" style="1202" customWidth="1"/>
    <col min="5901" max="5901" width="13.7265625" style="1202" customWidth="1"/>
    <col min="5902" max="6144" width="9" style="1202"/>
    <col min="6145" max="6145" width="4.90625" style="1202" customWidth="1"/>
    <col min="6146" max="6146" width="13.26953125" style="1202" customWidth="1"/>
    <col min="6147" max="6147" width="15.6328125" style="1202" customWidth="1"/>
    <col min="6148" max="6148" width="9.36328125" style="1202" bestFit="1" customWidth="1"/>
    <col min="6149" max="6149" width="13.453125" style="1202" customWidth="1"/>
    <col min="6150" max="6150" width="9" style="1202"/>
    <col min="6151" max="6151" width="9.36328125" style="1202" bestFit="1" customWidth="1"/>
    <col min="6152" max="6153" width="9" style="1202"/>
    <col min="6154" max="6154" width="9.36328125" style="1202" bestFit="1" customWidth="1"/>
    <col min="6155" max="6155" width="4" style="1202" customWidth="1"/>
    <col min="6156" max="6156" width="5.08984375" style="1202" customWidth="1"/>
    <col min="6157" max="6157" width="13.7265625" style="1202" customWidth="1"/>
    <col min="6158" max="6400" width="9" style="1202"/>
    <col min="6401" max="6401" width="4.90625" style="1202" customWidth="1"/>
    <col min="6402" max="6402" width="13.26953125" style="1202" customWidth="1"/>
    <col min="6403" max="6403" width="15.6328125" style="1202" customWidth="1"/>
    <col min="6404" max="6404" width="9.36328125" style="1202" bestFit="1" customWidth="1"/>
    <col min="6405" max="6405" width="13.453125" style="1202" customWidth="1"/>
    <col min="6406" max="6406" width="9" style="1202"/>
    <col min="6407" max="6407" width="9.36328125" style="1202" bestFit="1" customWidth="1"/>
    <col min="6408" max="6409" width="9" style="1202"/>
    <col min="6410" max="6410" width="9.36328125" style="1202" bestFit="1" customWidth="1"/>
    <col min="6411" max="6411" width="4" style="1202" customWidth="1"/>
    <col min="6412" max="6412" width="5.08984375" style="1202" customWidth="1"/>
    <col min="6413" max="6413" width="13.7265625" style="1202" customWidth="1"/>
    <col min="6414" max="6656" width="9" style="1202"/>
    <col min="6657" max="6657" width="4.90625" style="1202" customWidth="1"/>
    <col min="6658" max="6658" width="13.26953125" style="1202" customWidth="1"/>
    <col min="6659" max="6659" width="15.6328125" style="1202" customWidth="1"/>
    <col min="6660" max="6660" width="9.36328125" style="1202" bestFit="1" customWidth="1"/>
    <col min="6661" max="6661" width="13.453125" style="1202" customWidth="1"/>
    <col min="6662" max="6662" width="9" style="1202"/>
    <col min="6663" max="6663" width="9.36328125" style="1202" bestFit="1" customWidth="1"/>
    <col min="6664" max="6665" width="9" style="1202"/>
    <col min="6666" max="6666" width="9.36328125" style="1202" bestFit="1" customWidth="1"/>
    <col min="6667" max="6667" width="4" style="1202" customWidth="1"/>
    <col min="6668" max="6668" width="5.08984375" style="1202" customWidth="1"/>
    <col min="6669" max="6669" width="13.7265625" style="1202" customWidth="1"/>
    <col min="6670" max="6912" width="9" style="1202"/>
    <col min="6913" max="6913" width="4.90625" style="1202" customWidth="1"/>
    <col min="6914" max="6914" width="13.26953125" style="1202" customWidth="1"/>
    <col min="6915" max="6915" width="15.6328125" style="1202" customWidth="1"/>
    <col min="6916" max="6916" width="9.36328125" style="1202" bestFit="1" customWidth="1"/>
    <col min="6917" max="6917" width="13.453125" style="1202" customWidth="1"/>
    <col min="6918" max="6918" width="9" style="1202"/>
    <col min="6919" max="6919" width="9.36328125" style="1202" bestFit="1" customWidth="1"/>
    <col min="6920" max="6921" width="9" style="1202"/>
    <col min="6922" max="6922" width="9.36328125" style="1202" bestFit="1" customWidth="1"/>
    <col min="6923" max="6923" width="4" style="1202" customWidth="1"/>
    <col min="6924" max="6924" width="5.08984375" style="1202" customWidth="1"/>
    <col min="6925" max="6925" width="13.7265625" style="1202" customWidth="1"/>
    <col min="6926" max="7168" width="9" style="1202"/>
    <col min="7169" max="7169" width="4.90625" style="1202" customWidth="1"/>
    <col min="7170" max="7170" width="13.26953125" style="1202" customWidth="1"/>
    <col min="7171" max="7171" width="15.6328125" style="1202" customWidth="1"/>
    <col min="7172" max="7172" width="9.36328125" style="1202" bestFit="1" customWidth="1"/>
    <col min="7173" max="7173" width="13.453125" style="1202" customWidth="1"/>
    <col min="7174" max="7174" width="9" style="1202"/>
    <col min="7175" max="7175" width="9.36328125" style="1202" bestFit="1" customWidth="1"/>
    <col min="7176" max="7177" width="9" style="1202"/>
    <col min="7178" max="7178" width="9.36328125" style="1202" bestFit="1" customWidth="1"/>
    <col min="7179" max="7179" width="4" style="1202" customWidth="1"/>
    <col min="7180" max="7180" width="5.08984375" style="1202" customWidth="1"/>
    <col min="7181" max="7181" width="13.7265625" style="1202" customWidth="1"/>
    <col min="7182" max="7424" width="9" style="1202"/>
    <col min="7425" max="7425" width="4.90625" style="1202" customWidth="1"/>
    <col min="7426" max="7426" width="13.26953125" style="1202" customWidth="1"/>
    <col min="7427" max="7427" width="15.6328125" style="1202" customWidth="1"/>
    <col min="7428" max="7428" width="9.36328125" style="1202" bestFit="1" customWidth="1"/>
    <col min="7429" max="7429" width="13.453125" style="1202" customWidth="1"/>
    <col min="7430" max="7430" width="9" style="1202"/>
    <col min="7431" max="7431" width="9.36328125" style="1202" bestFit="1" customWidth="1"/>
    <col min="7432" max="7433" width="9" style="1202"/>
    <col min="7434" max="7434" width="9.36328125" style="1202" bestFit="1" customWidth="1"/>
    <col min="7435" max="7435" width="4" style="1202" customWidth="1"/>
    <col min="7436" max="7436" width="5.08984375" style="1202" customWidth="1"/>
    <col min="7437" max="7437" width="13.7265625" style="1202" customWidth="1"/>
    <col min="7438" max="7680" width="9" style="1202"/>
    <col min="7681" max="7681" width="4.90625" style="1202" customWidth="1"/>
    <col min="7682" max="7682" width="13.26953125" style="1202" customWidth="1"/>
    <col min="7683" max="7683" width="15.6328125" style="1202" customWidth="1"/>
    <col min="7684" max="7684" width="9.36328125" style="1202" bestFit="1" customWidth="1"/>
    <col min="7685" max="7685" width="13.453125" style="1202" customWidth="1"/>
    <col min="7686" max="7686" width="9" style="1202"/>
    <col min="7687" max="7687" width="9.36328125" style="1202" bestFit="1" customWidth="1"/>
    <col min="7688" max="7689" width="9" style="1202"/>
    <col min="7690" max="7690" width="9.36328125" style="1202" bestFit="1" customWidth="1"/>
    <col min="7691" max="7691" width="4" style="1202" customWidth="1"/>
    <col min="7692" max="7692" width="5.08984375" style="1202" customWidth="1"/>
    <col min="7693" max="7693" width="13.7265625" style="1202" customWidth="1"/>
    <col min="7694" max="7936" width="9" style="1202"/>
    <col min="7937" max="7937" width="4.90625" style="1202" customWidth="1"/>
    <col min="7938" max="7938" width="13.26953125" style="1202" customWidth="1"/>
    <col min="7939" max="7939" width="15.6328125" style="1202" customWidth="1"/>
    <col min="7940" max="7940" width="9.36328125" style="1202" bestFit="1" customWidth="1"/>
    <col min="7941" max="7941" width="13.453125" style="1202" customWidth="1"/>
    <col min="7942" max="7942" width="9" style="1202"/>
    <col min="7943" max="7943" width="9.36328125" style="1202" bestFit="1" customWidth="1"/>
    <col min="7944" max="7945" width="9" style="1202"/>
    <col min="7946" max="7946" width="9.36328125" style="1202" bestFit="1" customWidth="1"/>
    <col min="7947" max="7947" width="4" style="1202" customWidth="1"/>
    <col min="7948" max="7948" width="5.08984375" style="1202" customWidth="1"/>
    <col min="7949" max="7949" width="13.7265625" style="1202" customWidth="1"/>
    <col min="7950" max="8192" width="9" style="1202"/>
    <col min="8193" max="8193" width="4.90625" style="1202" customWidth="1"/>
    <col min="8194" max="8194" width="13.26953125" style="1202" customWidth="1"/>
    <col min="8195" max="8195" width="15.6328125" style="1202" customWidth="1"/>
    <col min="8196" max="8196" width="9.36328125" style="1202" bestFit="1" customWidth="1"/>
    <col min="8197" max="8197" width="13.453125" style="1202" customWidth="1"/>
    <col min="8198" max="8198" width="9" style="1202"/>
    <col min="8199" max="8199" width="9.36328125" style="1202" bestFit="1" customWidth="1"/>
    <col min="8200" max="8201" width="9" style="1202"/>
    <col min="8202" max="8202" width="9.36328125" style="1202" bestFit="1" customWidth="1"/>
    <col min="8203" max="8203" width="4" style="1202" customWidth="1"/>
    <col min="8204" max="8204" width="5.08984375" style="1202" customWidth="1"/>
    <col min="8205" max="8205" width="13.7265625" style="1202" customWidth="1"/>
    <col min="8206" max="8448" width="9" style="1202"/>
    <col min="8449" max="8449" width="4.90625" style="1202" customWidth="1"/>
    <col min="8450" max="8450" width="13.26953125" style="1202" customWidth="1"/>
    <col min="8451" max="8451" width="15.6328125" style="1202" customWidth="1"/>
    <col min="8452" max="8452" width="9.36328125" style="1202" bestFit="1" customWidth="1"/>
    <col min="8453" max="8453" width="13.453125" style="1202" customWidth="1"/>
    <col min="8454" max="8454" width="9" style="1202"/>
    <col min="8455" max="8455" width="9.36328125" style="1202" bestFit="1" customWidth="1"/>
    <col min="8456" max="8457" width="9" style="1202"/>
    <col min="8458" max="8458" width="9.36328125" style="1202" bestFit="1" customWidth="1"/>
    <col min="8459" max="8459" width="4" style="1202" customWidth="1"/>
    <col min="8460" max="8460" width="5.08984375" style="1202" customWidth="1"/>
    <col min="8461" max="8461" width="13.7265625" style="1202" customWidth="1"/>
    <col min="8462" max="8704" width="9" style="1202"/>
    <col min="8705" max="8705" width="4.90625" style="1202" customWidth="1"/>
    <col min="8706" max="8706" width="13.26953125" style="1202" customWidth="1"/>
    <col min="8707" max="8707" width="15.6328125" style="1202" customWidth="1"/>
    <col min="8708" max="8708" width="9.36328125" style="1202" bestFit="1" customWidth="1"/>
    <col min="8709" max="8709" width="13.453125" style="1202" customWidth="1"/>
    <col min="8710" max="8710" width="9" style="1202"/>
    <col min="8711" max="8711" width="9.36328125" style="1202" bestFit="1" customWidth="1"/>
    <col min="8712" max="8713" width="9" style="1202"/>
    <col min="8714" max="8714" width="9.36328125" style="1202" bestFit="1" customWidth="1"/>
    <col min="8715" max="8715" width="4" style="1202" customWidth="1"/>
    <col min="8716" max="8716" width="5.08984375" style="1202" customWidth="1"/>
    <col min="8717" max="8717" width="13.7265625" style="1202" customWidth="1"/>
    <col min="8718" max="8960" width="9" style="1202"/>
    <col min="8961" max="8961" width="4.90625" style="1202" customWidth="1"/>
    <col min="8962" max="8962" width="13.26953125" style="1202" customWidth="1"/>
    <col min="8963" max="8963" width="15.6328125" style="1202" customWidth="1"/>
    <col min="8964" max="8964" width="9.36328125" style="1202" bestFit="1" customWidth="1"/>
    <col min="8965" max="8965" width="13.453125" style="1202" customWidth="1"/>
    <col min="8966" max="8966" width="9" style="1202"/>
    <col min="8967" max="8967" width="9.36328125" style="1202" bestFit="1" customWidth="1"/>
    <col min="8968" max="8969" width="9" style="1202"/>
    <col min="8970" max="8970" width="9.36328125" style="1202" bestFit="1" customWidth="1"/>
    <col min="8971" max="8971" width="4" style="1202" customWidth="1"/>
    <col min="8972" max="8972" width="5.08984375" style="1202" customWidth="1"/>
    <col min="8973" max="8973" width="13.7265625" style="1202" customWidth="1"/>
    <col min="8974" max="9216" width="9" style="1202"/>
    <col min="9217" max="9217" width="4.90625" style="1202" customWidth="1"/>
    <col min="9218" max="9218" width="13.26953125" style="1202" customWidth="1"/>
    <col min="9219" max="9219" width="15.6328125" style="1202" customWidth="1"/>
    <col min="9220" max="9220" width="9.36328125" style="1202" bestFit="1" customWidth="1"/>
    <col min="9221" max="9221" width="13.453125" style="1202" customWidth="1"/>
    <col min="9222" max="9222" width="9" style="1202"/>
    <col min="9223" max="9223" width="9.36328125" style="1202" bestFit="1" customWidth="1"/>
    <col min="9224" max="9225" width="9" style="1202"/>
    <col min="9226" max="9226" width="9.36328125" style="1202" bestFit="1" customWidth="1"/>
    <col min="9227" max="9227" width="4" style="1202" customWidth="1"/>
    <col min="9228" max="9228" width="5.08984375" style="1202" customWidth="1"/>
    <col min="9229" max="9229" width="13.7265625" style="1202" customWidth="1"/>
    <col min="9230" max="9472" width="9" style="1202"/>
    <col min="9473" max="9473" width="4.90625" style="1202" customWidth="1"/>
    <col min="9474" max="9474" width="13.26953125" style="1202" customWidth="1"/>
    <col min="9475" max="9475" width="15.6328125" style="1202" customWidth="1"/>
    <col min="9476" max="9476" width="9.36328125" style="1202" bestFit="1" customWidth="1"/>
    <col min="9477" max="9477" width="13.453125" style="1202" customWidth="1"/>
    <col min="9478" max="9478" width="9" style="1202"/>
    <col min="9479" max="9479" width="9.36328125" style="1202" bestFit="1" customWidth="1"/>
    <col min="9480" max="9481" width="9" style="1202"/>
    <col min="9482" max="9482" width="9.36328125" style="1202" bestFit="1" customWidth="1"/>
    <col min="9483" max="9483" width="4" style="1202" customWidth="1"/>
    <col min="9484" max="9484" width="5.08984375" style="1202" customWidth="1"/>
    <col min="9485" max="9485" width="13.7265625" style="1202" customWidth="1"/>
    <col min="9486" max="9728" width="9" style="1202"/>
    <col min="9729" max="9729" width="4.90625" style="1202" customWidth="1"/>
    <col min="9730" max="9730" width="13.26953125" style="1202" customWidth="1"/>
    <col min="9731" max="9731" width="15.6328125" style="1202" customWidth="1"/>
    <col min="9732" max="9732" width="9.36328125" style="1202" bestFit="1" customWidth="1"/>
    <col min="9733" max="9733" width="13.453125" style="1202" customWidth="1"/>
    <col min="9734" max="9734" width="9" style="1202"/>
    <col min="9735" max="9735" width="9.36328125" style="1202" bestFit="1" customWidth="1"/>
    <col min="9736" max="9737" width="9" style="1202"/>
    <col min="9738" max="9738" width="9.36328125" style="1202" bestFit="1" customWidth="1"/>
    <col min="9739" max="9739" width="4" style="1202" customWidth="1"/>
    <col min="9740" max="9740" width="5.08984375" style="1202" customWidth="1"/>
    <col min="9741" max="9741" width="13.7265625" style="1202" customWidth="1"/>
    <col min="9742" max="9984" width="9" style="1202"/>
    <col min="9985" max="9985" width="4.90625" style="1202" customWidth="1"/>
    <col min="9986" max="9986" width="13.26953125" style="1202" customWidth="1"/>
    <col min="9987" max="9987" width="15.6328125" style="1202" customWidth="1"/>
    <col min="9988" max="9988" width="9.36328125" style="1202" bestFit="1" customWidth="1"/>
    <col min="9989" max="9989" width="13.453125" style="1202" customWidth="1"/>
    <col min="9990" max="9990" width="9" style="1202"/>
    <col min="9991" max="9991" width="9.36328125" style="1202" bestFit="1" customWidth="1"/>
    <col min="9992" max="9993" width="9" style="1202"/>
    <col min="9994" max="9994" width="9.36328125" style="1202" bestFit="1" customWidth="1"/>
    <col min="9995" max="9995" width="4" style="1202" customWidth="1"/>
    <col min="9996" max="9996" width="5.08984375" style="1202" customWidth="1"/>
    <col min="9997" max="9997" width="13.7265625" style="1202" customWidth="1"/>
    <col min="9998" max="10240" width="9" style="1202"/>
    <col min="10241" max="10241" width="4.90625" style="1202" customWidth="1"/>
    <col min="10242" max="10242" width="13.26953125" style="1202" customWidth="1"/>
    <col min="10243" max="10243" width="15.6328125" style="1202" customWidth="1"/>
    <col min="10244" max="10244" width="9.36328125" style="1202" bestFit="1" customWidth="1"/>
    <col min="10245" max="10245" width="13.453125" style="1202" customWidth="1"/>
    <col min="10246" max="10246" width="9" style="1202"/>
    <col min="10247" max="10247" width="9.36328125" style="1202" bestFit="1" customWidth="1"/>
    <col min="10248" max="10249" width="9" style="1202"/>
    <col min="10250" max="10250" width="9.36328125" style="1202" bestFit="1" customWidth="1"/>
    <col min="10251" max="10251" width="4" style="1202" customWidth="1"/>
    <col min="10252" max="10252" width="5.08984375" style="1202" customWidth="1"/>
    <col min="10253" max="10253" width="13.7265625" style="1202" customWidth="1"/>
    <col min="10254" max="10496" width="9" style="1202"/>
    <col min="10497" max="10497" width="4.90625" style="1202" customWidth="1"/>
    <col min="10498" max="10498" width="13.26953125" style="1202" customWidth="1"/>
    <col min="10499" max="10499" width="15.6328125" style="1202" customWidth="1"/>
    <col min="10500" max="10500" width="9.36328125" style="1202" bestFit="1" customWidth="1"/>
    <col min="10501" max="10501" width="13.453125" style="1202" customWidth="1"/>
    <col min="10502" max="10502" width="9" style="1202"/>
    <col min="10503" max="10503" width="9.36328125" style="1202" bestFit="1" customWidth="1"/>
    <col min="10504" max="10505" width="9" style="1202"/>
    <col min="10506" max="10506" width="9.36328125" style="1202" bestFit="1" customWidth="1"/>
    <col min="10507" max="10507" width="4" style="1202" customWidth="1"/>
    <col min="10508" max="10508" width="5.08984375" style="1202" customWidth="1"/>
    <col min="10509" max="10509" width="13.7265625" style="1202" customWidth="1"/>
    <col min="10510" max="10752" width="9" style="1202"/>
    <col min="10753" max="10753" width="4.90625" style="1202" customWidth="1"/>
    <col min="10754" max="10754" width="13.26953125" style="1202" customWidth="1"/>
    <col min="10755" max="10755" width="15.6328125" style="1202" customWidth="1"/>
    <col min="10756" max="10756" width="9.36328125" style="1202" bestFit="1" customWidth="1"/>
    <col min="10757" max="10757" width="13.453125" style="1202" customWidth="1"/>
    <col min="10758" max="10758" width="9" style="1202"/>
    <col min="10759" max="10759" width="9.36328125" style="1202" bestFit="1" customWidth="1"/>
    <col min="10760" max="10761" width="9" style="1202"/>
    <col min="10762" max="10762" width="9.36328125" style="1202" bestFit="1" customWidth="1"/>
    <col min="10763" max="10763" width="4" style="1202" customWidth="1"/>
    <col min="10764" max="10764" width="5.08984375" style="1202" customWidth="1"/>
    <col min="10765" max="10765" width="13.7265625" style="1202" customWidth="1"/>
    <col min="10766" max="11008" width="9" style="1202"/>
    <col min="11009" max="11009" width="4.90625" style="1202" customWidth="1"/>
    <col min="11010" max="11010" width="13.26953125" style="1202" customWidth="1"/>
    <col min="11011" max="11011" width="15.6328125" style="1202" customWidth="1"/>
    <col min="11012" max="11012" width="9.36328125" style="1202" bestFit="1" customWidth="1"/>
    <col min="11013" max="11013" width="13.453125" style="1202" customWidth="1"/>
    <col min="11014" max="11014" width="9" style="1202"/>
    <col min="11015" max="11015" width="9.36328125" style="1202" bestFit="1" customWidth="1"/>
    <col min="11016" max="11017" width="9" style="1202"/>
    <col min="11018" max="11018" width="9.36328125" style="1202" bestFit="1" customWidth="1"/>
    <col min="11019" max="11019" width="4" style="1202" customWidth="1"/>
    <col min="11020" max="11020" width="5.08984375" style="1202" customWidth="1"/>
    <col min="11021" max="11021" width="13.7265625" style="1202" customWidth="1"/>
    <col min="11022" max="11264" width="9" style="1202"/>
    <col min="11265" max="11265" width="4.90625" style="1202" customWidth="1"/>
    <col min="11266" max="11266" width="13.26953125" style="1202" customWidth="1"/>
    <col min="11267" max="11267" width="15.6328125" style="1202" customWidth="1"/>
    <col min="11268" max="11268" width="9.36328125" style="1202" bestFit="1" customWidth="1"/>
    <col min="11269" max="11269" width="13.453125" style="1202" customWidth="1"/>
    <col min="11270" max="11270" width="9" style="1202"/>
    <col min="11271" max="11271" width="9.36328125" style="1202" bestFit="1" customWidth="1"/>
    <col min="11272" max="11273" width="9" style="1202"/>
    <col min="11274" max="11274" width="9.36328125" style="1202" bestFit="1" customWidth="1"/>
    <col min="11275" max="11275" width="4" style="1202" customWidth="1"/>
    <col min="11276" max="11276" width="5.08984375" style="1202" customWidth="1"/>
    <col min="11277" max="11277" width="13.7265625" style="1202" customWidth="1"/>
    <col min="11278" max="11520" width="9" style="1202"/>
    <col min="11521" max="11521" width="4.90625" style="1202" customWidth="1"/>
    <col min="11522" max="11522" width="13.26953125" style="1202" customWidth="1"/>
    <col min="11523" max="11523" width="15.6328125" style="1202" customWidth="1"/>
    <col min="11524" max="11524" width="9.36328125" style="1202" bestFit="1" customWidth="1"/>
    <col min="11525" max="11525" width="13.453125" style="1202" customWidth="1"/>
    <col min="11526" max="11526" width="9" style="1202"/>
    <col min="11527" max="11527" width="9.36328125" style="1202" bestFit="1" customWidth="1"/>
    <col min="11528" max="11529" width="9" style="1202"/>
    <col min="11530" max="11530" width="9.36328125" style="1202" bestFit="1" customWidth="1"/>
    <col min="11531" max="11531" width="4" style="1202" customWidth="1"/>
    <col min="11532" max="11532" width="5.08984375" style="1202" customWidth="1"/>
    <col min="11533" max="11533" width="13.7265625" style="1202" customWidth="1"/>
    <col min="11534" max="11776" width="9" style="1202"/>
    <col min="11777" max="11777" width="4.90625" style="1202" customWidth="1"/>
    <col min="11778" max="11778" width="13.26953125" style="1202" customWidth="1"/>
    <col min="11779" max="11779" width="15.6328125" style="1202" customWidth="1"/>
    <col min="11780" max="11780" width="9.36328125" style="1202" bestFit="1" customWidth="1"/>
    <col min="11781" max="11781" width="13.453125" style="1202" customWidth="1"/>
    <col min="11782" max="11782" width="9" style="1202"/>
    <col min="11783" max="11783" width="9.36328125" style="1202" bestFit="1" customWidth="1"/>
    <col min="11784" max="11785" width="9" style="1202"/>
    <col min="11786" max="11786" width="9.36328125" style="1202" bestFit="1" customWidth="1"/>
    <col min="11787" max="11787" width="4" style="1202" customWidth="1"/>
    <col min="11788" max="11788" width="5.08984375" style="1202" customWidth="1"/>
    <col min="11789" max="11789" width="13.7265625" style="1202" customWidth="1"/>
    <col min="11790" max="12032" width="9" style="1202"/>
    <col min="12033" max="12033" width="4.90625" style="1202" customWidth="1"/>
    <col min="12034" max="12034" width="13.26953125" style="1202" customWidth="1"/>
    <col min="12035" max="12035" width="15.6328125" style="1202" customWidth="1"/>
    <col min="12036" max="12036" width="9.36328125" style="1202" bestFit="1" customWidth="1"/>
    <col min="12037" max="12037" width="13.453125" style="1202" customWidth="1"/>
    <col min="12038" max="12038" width="9" style="1202"/>
    <col min="12039" max="12039" width="9.36328125" style="1202" bestFit="1" customWidth="1"/>
    <col min="12040" max="12041" width="9" style="1202"/>
    <col min="12042" max="12042" width="9.36328125" style="1202" bestFit="1" customWidth="1"/>
    <col min="12043" max="12043" width="4" style="1202" customWidth="1"/>
    <col min="12044" max="12044" width="5.08984375" style="1202" customWidth="1"/>
    <col min="12045" max="12045" width="13.7265625" style="1202" customWidth="1"/>
    <col min="12046" max="12288" width="9" style="1202"/>
    <col min="12289" max="12289" width="4.90625" style="1202" customWidth="1"/>
    <col min="12290" max="12290" width="13.26953125" style="1202" customWidth="1"/>
    <col min="12291" max="12291" width="15.6328125" style="1202" customWidth="1"/>
    <col min="12292" max="12292" width="9.36328125" style="1202" bestFit="1" customWidth="1"/>
    <col min="12293" max="12293" width="13.453125" style="1202" customWidth="1"/>
    <col min="12294" max="12294" width="9" style="1202"/>
    <col min="12295" max="12295" width="9.36328125" style="1202" bestFit="1" customWidth="1"/>
    <col min="12296" max="12297" width="9" style="1202"/>
    <col min="12298" max="12298" width="9.36328125" style="1202" bestFit="1" customWidth="1"/>
    <col min="12299" max="12299" width="4" style="1202" customWidth="1"/>
    <col min="12300" max="12300" width="5.08984375" style="1202" customWidth="1"/>
    <col min="12301" max="12301" width="13.7265625" style="1202" customWidth="1"/>
    <col min="12302" max="12544" width="9" style="1202"/>
    <col min="12545" max="12545" width="4.90625" style="1202" customWidth="1"/>
    <col min="12546" max="12546" width="13.26953125" style="1202" customWidth="1"/>
    <col min="12547" max="12547" width="15.6328125" style="1202" customWidth="1"/>
    <col min="12548" max="12548" width="9.36328125" style="1202" bestFit="1" customWidth="1"/>
    <col min="12549" max="12549" width="13.453125" style="1202" customWidth="1"/>
    <col min="12550" max="12550" width="9" style="1202"/>
    <col min="12551" max="12551" width="9.36328125" style="1202" bestFit="1" customWidth="1"/>
    <col min="12552" max="12553" width="9" style="1202"/>
    <col min="12554" max="12554" width="9.36328125" style="1202" bestFit="1" customWidth="1"/>
    <col min="12555" max="12555" width="4" style="1202" customWidth="1"/>
    <col min="12556" max="12556" width="5.08984375" style="1202" customWidth="1"/>
    <col min="12557" max="12557" width="13.7265625" style="1202" customWidth="1"/>
    <col min="12558" max="12800" width="9" style="1202"/>
    <col min="12801" max="12801" width="4.90625" style="1202" customWidth="1"/>
    <col min="12802" max="12802" width="13.26953125" style="1202" customWidth="1"/>
    <col min="12803" max="12803" width="15.6328125" style="1202" customWidth="1"/>
    <col min="12804" max="12804" width="9.36328125" style="1202" bestFit="1" customWidth="1"/>
    <col min="12805" max="12805" width="13.453125" style="1202" customWidth="1"/>
    <col min="12806" max="12806" width="9" style="1202"/>
    <col min="12807" max="12807" width="9.36328125" style="1202" bestFit="1" customWidth="1"/>
    <col min="12808" max="12809" width="9" style="1202"/>
    <col min="12810" max="12810" width="9.36328125" style="1202" bestFit="1" customWidth="1"/>
    <col min="12811" max="12811" width="4" style="1202" customWidth="1"/>
    <col min="12812" max="12812" width="5.08984375" style="1202" customWidth="1"/>
    <col min="12813" max="12813" width="13.7265625" style="1202" customWidth="1"/>
    <col min="12814" max="13056" width="9" style="1202"/>
    <col min="13057" max="13057" width="4.90625" style="1202" customWidth="1"/>
    <col min="13058" max="13058" width="13.26953125" style="1202" customWidth="1"/>
    <col min="13059" max="13059" width="15.6328125" style="1202" customWidth="1"/>
    <col min="13060" max="13060" width="9.36328125" style="1202" bestFit="1" customWidth="1"/>
    <col min="13061" max="13061" width="13.453125" style="1202" customWidth="1"/>
    <col min="13062" max="13062" width="9" style="1202"/>
    <col min="13063" max="13063" width="9.36328125" style="1202" bestFit="1" customWidth="1"/>
    <col min="13064" max="13065" width="9" style="1202"/>
    <col min="13066" max="13066" width="9.36328125" style="1202" bestFit="1" customWidth="1"/>
    <col min="13067" max="13067" width="4" style="1202" customWidth="1"/>
    <col min="13068" max="13068" width="5.08984375" style="1202" customWidth="1"/>
    <col min="13069" max="13069" width="13.7265625" style="1202" customWidth="1"/>
    <col min="13070" max="13312" width="9" style="1202"/>
    <col min="13313" max="13313" width="4.90625" style="1202" customWidth="1"/>
    <col min="13314" max="13314" width="13.26953125" style="1202" customWidth="1"/>
    <col min="13315" max="13315" width="15.6328125" style="1202" customWidth="1"/>
    <col min="13316" max="13316" width="9.36328125" style="1202" bestFit="1" customWidth="1"/>
    <col min="13317" max="13317" width="13.453125" style="1202" customWidth="1"/>
    <col min="13318" max="13318" width="9" style="1202"/>
    <col min="13319" max="13319" width="9.36328125" style="1202" bestFit="1" customWidth="1"/>
    <col min="13320" max="13321" width="9" style="1202"/>
    <col min="13322" max="13322" width="9.36328125" style="1202" bestFit="1" customWidth="1"/>
    <col min="13323" max="13323" width="4" style="1202" customWidth="1"/>
    <col min="13324" max="13324" width="5.08984375" style="1202" customWidth="1"/>
    <col min="13325" max="13325" width="13.7265625" style="1202" customWidth="1"/>
    <col min="13326" max="13568" width="9" style="1202"/>
    <col min="13569" max="13569" width="4.90625" style="1202" customWidth="1"/>
    <col min="13570" max="13570" width="13.26953125" style="1202" customWidth="1"/>
    <col min="13571" max="13571" width="15.6328125" style="1202" customWidth="1"/>
    <col min="13572" max="13572" width="9.36328125" style="1202" bestFit="1" customWidth="1"/>
    <col min="13573" max="13573" width="13.453125" style="1202" customWidth="1"/>
    <col min="13574" max="13574" width="9" style="1202"/>
    <col min="13575" max="13575" width="9.36328125" style="1202" bestFit="1" customWidth="1"/>
    <col min="13576" max="13577" width="9" style="1202"/>
    <col min="13578" max="13578" width="9.36328125" style="1202" bestFit="1" customWidth="1"/>
    <col min="13579" max="13579" width="4" style="1202" customWidth="1"/>
    <col min="13580" max="13580" width="5.08984375" style="1202" customWidth="1"/>
    <col min="13581" max="13581" width="13.7265625" style="1202" customWidth="1"/>
    <col min="13582" max="13824" width="9" style="1202"/>
    <col min="13825" max="13825" width="4.90625" style="1202" customWidth="1"/>
    <col min="13826" max="13826" width="13.26953125" style="1202" customWidth="1"/>
    <col min="13827" max="13827" width="15.6328125" style="1202" customWidth="1"/>
    <col min="13828" max="13828" width="9.36328125" style="1202" bestFit="1" customWidth="1"/>
    <col min="13829" max="13829" width="13.453125" style="1202" customWidth="1"/>
    <col min="13830" max="13830" width="9" style="1202"/>
    <col min="13831" max="13831" width="9.36328125" style="1202" bestFit="1" customWidth="1"/>
    <col min="13832" max="13833" width="9" style="1202"/>
    <col min="13834" max="13834" width="9.36328125" style="1202" bestFit="1" customWidth="1"/>
    <col min="13835" max="13835" width="4" style="1202" customWidth="1"/>
    <col min="13836" max="13836" width="5.08984375" style="1202" customWidth="1"/>
    <col min="13837" max="13837" width="13.7265625" style="1202" customWidth="1"/>
    <col min="13838" max="14080" width="9" style="1202"/>
    <col min="14081" max="14081" width="4.90625" style="1202" customWidth="1"/>
    <col min="14082" max="14082" width="13.26953125" style="1202" customWidth="1"/>
    <col min="14083" max="14083" width="15.6328125" style="1202" customWidth="1"/>
    <col min="14084" max="14084" width="9.36328125" style="1202" bestFit="1" customWidth="1"/>
    <col min="14085" max="14085" width="13.453125" style="1202" customWidth="1"/>
    <col min="14086" max="14086" width="9" style="1202"/>
    <col min="14087" max="14087" width="9.36328125" style="1202" bestFit="1" customWidth="1"/>
    <col min="14088" max="14089" width="9" style="1202"/>
    <col min="14090" max="14090" width="9.36328125" style="1202" bestFit="1" customWidth="1"/>
    <col min="14091" max="14091" width="4" style="1202" customWidth="1"/>
    <col min="14092" max="14092" width="5.08984375" style="1202" customWidth="1"/>
    <col min="14093" max="14093" width="13.7265625" style="1202" customWidth="1"/>
    <col min="14094" max="14336" width="9" style="1202"/>
    <col min="14337" max="14337" width="4.90625" style="1202" customWidth="1"/>
    <col min="14338" max="14338" width="13.26953125" style="1202" customWidth="1"/>
    <col min="14339" max="14339" width="15.6328125" style="1202" customWidth="1"/>
    <col min="14340" max="14340" width="9.36328125" style="1202" bestFit="1" customWidth="1"/>
    <col min="14341" max="14341" width="13.453125" style="1202" customWidth="1"/>
    <col min="14342" max="14342" width="9" style="1202"/>
    <col min="14343" max="14343" width="9.36328125" style="1202" bestFit="1" customWidth="1"/>
    <col min="14344" max="14345" width="9" style="1202"/>
    <col min="14346" max="14346" width="9.36328125" style="1202" bestFit="1" customWidth="1"/>
    <col min="14347" max="14347" width="4" style="1202" customWidth="1"/>
    <col min="14348" max="14348" width="5.08984375" style="1202" customWidth="1"/>
    <col min="14349" max="14349" width="13.7265625" style="1202" customWidth="1"/>
    <col min="14350" max="14592" width="9" style="1202"/>
    <col min="14593" max="14593" width="4.90625" style="1202" customWidth="1"/>
    <col min="14594" max="14594" width="13.26953125" style="1202" customWidth="1"/>
    <col min="14595" max="14595" width="15.6328125" style="1202" customWidth="1"/>
    <col min="14596" max="14596" width="9.36328125" style="1202" bestFit="1" customWidth="1"/>
    <col min="14597" max="14597" width="13.453125" style="1202" customWidth="1"/>
    <col min="14598" max="14598" width="9" style="1202"/>
    <col min="14599" max="14599" width="9.36328125" style="1202" bestFit="1" customWidth="1"/>
    <col min="14600" max="14601" width="9" style="1202"/>
    <col min="14602" max="14602" width="9.36328125" style="1202" bestFit="1" customWidth="1"/>
    <col min="14603" max="14603" width="4" style="1202" customWidth="1"/>
    <col min="14604" max="14604" width="5.08984375" style="1202" customWidth="1"/>
    <col min="14605" max="14605" width="13.7265625" style="1202" customWidth="1"/>
    <col min="14606" max="14848" width="9" style="1202"/>
    <col min="14849" max="14849" width="4.90625" style="1202" customWidth="1"/>
    <col min="14850" max="14850" width="13.26953125" style="1202" customWidth="1"/>
    <col min="14851" max="14851" width="15.6328125" style="1202" customWidth="1"/>
    <col min="14852" max="14852" width="9.36328125" style="1202" bestFit="1" customWidth="1"/>
    <col min="14853" max="14853" width="13.453125" style="1202" customWidth="1"/>
    <col min="14854" max="14854" width="9" style="1202"/>
    <col min="14855" max="14855" width="9.36328125" style="1202" bestFit="1" customWidth="1"/>
    <col min="14856" max="14857" width="9" style="1202"/>
    <col min="14858" max="14858" width="9.36328125" style="1202" bestFit="1" customWidth="1"/>
    <col min="14859" max="14859" width="4" style="1202" customWidth="1"/>
    <col min="14860" max="14860" width="5.08984375" style="1202" customWidth="1"/>
    <col min="14861" max="14861" width="13.7265625" style="1202" customWidth="1"/>
    <col min="14862" max="15104" width="9" style="1202"/>
    <col min="15105" max="15105" width="4.90625" style="1202" customWidth="1"/>
    <col min="15106" max="15106" width="13.26953125" style="1202" customWidth="1"/>
    <col min="15107" max="15107" width="15.6328125" style="1202" customWidth="1"/>
    <col min="15108" max="15108" width="9.36328125" style="1202" bestFit="1" customWidth="1"/>
    <col min="15109" max="15109" width="13.453125" style="1202" customWidth="1"/>
    <col min="15110" max="15110" width="9" style="1202"/>
    <col min="15111" max="15111" width="9.36328125" style="1202" bestFit="1" customWidth="1"/>
    <col min="15112" max="15113" width="9" style="1202"/>
    <col min="15114" max="15114" width="9.36328125" style="1202" bestFit="1" customWidth="1"/>
    <col min="15115" max="15115" width="4" style="1202" customWidth="1"/>
    <col min="15116" max="15116" width="5.08984375" style="1202" customWidth="1"/>
    <col min="15117" max="15117" width="13.7265625" style="1202" customWidth="1"/>
    <col min="15118" max="15360" width="9" style="1202"/>
    <col min="15361" max="15361" width="4.90625" style="1202" customWidth="1"/>
    <col min="15362" max="15362" width="13.26953125" style="1202" customWidth="1"/>
    <col min="15363" max="15363" width="15.6328125" style="1202" customWidth="1"/>
    <col min="15364" max="15364" width="9.36328125" style="1202" bestFit="1" customWidth="1"/>
    <col min="15365" max="15365" width="13.453125" style="1202" customWidth="1"/>
    <col min="15366" max="15366" width="9" style="1202"/>
    <col min="15367" max="15367" width="9.36328125" style="1202" bestFit="1" customWidth="1"/>
    <col min="15368" max="15369" width="9" style="1202"/>
    <col min="15370" max="15370" width="9.36328125" style="1202" bestFit="1" customWidth="1"/>
    <col min="15371" max="15371" width="4" style="1202" customWidth="1"/>
    <col min="15372" max="15372" width="5.08984375" style="1202" customWidth="1"/>
    <col min="15373" max="15373" width="13.7265625" style="1202" customWidth="1"/>
    <col min="15374" max="15616" width="9" style="1202"/>
    <col min="15617" max="15617" width="4.90625" style="1202" customWidth="1"/>
    <col min="15618" max="15618" width="13.26953125" style="1202" customWidth="1"/>
    <col min="15619" max="15619" width="15.6328125" style="1202" customWidth="1"/>
    <col min="15620" max="15620" width="9.36328125" style="1202" bestFit="1" customWidth="1"/>
    <col min="15621" max="15621" width="13.453125" style="1202" customWidth="1"/>
    <col min="15622" max="15622" width="9" style="1202"/>
    <col min="15623" max="15623" width="9.36328125" style="1202" bestFit="1" customWidth="1"/>
    <col min="15624" max="15625" width="9" style="1202"/>
    <col min="15626" max="15626" width="9.36328125" style="1202" bestFit="1" customWidth="1"/>
    <col min="15627" max="15627" width="4" style="1202" customWidth="1"/>
    <col min="15628" max="15628" width="5.08984375" style="1202" customWidth="1"/>
    <col min="15629" max="15629" width="13.7265625" style="1202" customWidth="1"/>
    <col min="15630" max="15872" width="9" style="1202"/>
    <col min="15873" max="15873" width="4.90625" style="1202" customWidth="1"/>
    <col min="15874" max="15874" width="13.26953125" style="1202" customWidth="1"/>
    <col min="15875" max="15875" width="15.6328125" style="1202" customWidth="1"/>
    <col min="15876" max="15876" width="9.36328125" style="1202" bestFit="1" customWidth="1"/>
    <col min="15877" max="15877" width="13.453125" style="1202" customWidth="1"/>
    <col min="15878" max="15878" width="9" style="1202"/>
    <col min="15879" max="15879" width="9.36328125" style="1202" bestFit="1" customWidth="1"/>
    <col min="15880" max="15881" width="9" style="1202"/>
    <col min="15882" max="15882" width="9.36328125" style="1202" bestFit="1" customWidth="1"/>
    <col min="15883" max="15883" width="4" style="1202" customWidth="1"/>
    <col min="15884" max="15884" width="5.08984375" style="1202" customWidth="1"/>
    <col min="15885" max="15885" width="13.7265625" style="1202" customWidth="1"/>
    <col min="15886" max="16128" width="9" style="1202"/>
    <col min="16129" max="16129" width="4.90625" style="1202" customWidth="1"/>
    <col min="16130" max="16130" width="13.26953125" style="1202" customWidth="1"/>
    <col min="16131" max="16131" width="15.6328125" style="1202" customWidth="1"/>
    <col min="16132" max="16132" width="9.36328125" style="1202" bestFit="1" customWidth="1"/>
    <col min="16133" max="16133" width="13.453125" style="1202" customWidth="1"/>
    <col min="16134" max="16134" width="9" style="1202"/>
    <col min="16135" max="16135" width="9.36328125" style="1202" bestFit="1" customWidth="1"/>
    <col min="16136" max="16137" width="9" style="1202"/>
    <col min="16138" max="16138" width="9.36328125" style="1202" bestFit="1" customWidth="1"/>
    <col min="16139" max="16139" width="4" style="1202" customWidth="1"/>
    <col min="16140" max="16140" width="5.08984375" style="1202" customWidth="1"/>
    <col min="16141" max="16141" width="13.7265625" style="1202" customWidth="1"/>
    <col min="16142" max="16384" width="9" style="1202"/>
  </cols>
  <sheetData>
    <row r="1" spans="1:257" s="1265" customFormat="1" ht="14.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1">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3">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0">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1"/>
  <sheetViews>
    <sheetView workbookViewId="0">
      <selection activeCell="K7" sqref="K7"/>
    </sheetView>
  </sheetViews>
  <sheetFormatPr defaultRowHeight="14"/>
  <cols>
    <col min="1" max="1" width="12.26953125" bestFit="1" customWidth="1"/>
    <col min="6" max="6" width="9.7265625" bestFit="1" customWidth="1"/>
  </cols>
  <sheetData>
    <row r="1" spans="1:6" ht="14.5" thickTop="1">
      <c r="A1" s="3763" t="s">
        <v>3030</v>
      </c>
      <c r="B1" s="3764"/>
      <c r="C1" s="3759" t="s">
        <v>3032</v>
      </c>
      <c r="D1" s="3759" t="s">
        <v>3007</v>
      </c>
      <c r="E1" s="3759" t="s">
        <v>3033</v>
      </c>
      <c r="F1" s="3330"/>
    </row>
    <row r="2" spans="1:6">
      <c r="A2" s="3765" t="s">
        <v>3031</v>
      </c>
      <c r="B2" s="3766"/>
      <c r="C2" s="3760"/>
      <c r="D2" s="3760"/>
      <c r="E2" s="3760"/>
      <c r="F2" s="3330" t="s">
        <v>3040</v>
      </c>
    </row>
    <row r="3" spans="1:6" ht="75.75" customHeight="1">
      <c r="A3" s="3761" t="s">
        <v>3034</v>
      </c>
      <c r="B3" s="3321" t="s">
        <v>3035</v>
      </c>
      <c r="C3" s="3327">
        <v>441</v>
      </c>
      <c r="D3" s="3327">
        <v>343</v>
      </c>
      <c r="E3" s="3328">
        <v>411</v>
      </c>
      <c r="F3" s="3330">
        <v>149.54</v>
      </c>
    </row>
    <row r="4" spans="1:6">
      <c r="A4" s="3760"/>
      <c r="B4" s="3321" t="s">
        <v>3036</v>
      </c>
      <c r="C4" s="3327">
        <v>29469</v>
      </c>
      <c r="D4" s="3327">
        <v>22928</v>
      </c>
      <c r="E4" s="3327">
        <v>27507</v>
      </c>
      <c r="F4" s="3330"/>
    </row>
    <row r="5" spans="1:6" ht="75.75" customHeight="1">
      <c r="A5" s="3761" t="s">
        <v>3037</v>
      </c>
      <c r="B5" s="3321" t="s">
        <v>3035</v>
      </c>
      <c r="C5" s="3329">
        <f>ROUND(F5*C6/10000,0)</f>
        <v>849</v>
      </c>
      <c r="D5" s="3329">
        <f>ROUND(F5*D6/10000,0)</f>
        <v>661</v>
      </c>
      <c r="E5" s="3328">
        <v>793</v>
      </c>
      <c r="F5" s="3330">
        <v>288.13</v>
      </c>
    </row>
    <row r="6" spans="1:6">
      <c r="A6" s="3760"/>
      <c r="B6" s="3321" t="s">
        <v>3036</v>
      </c>
      <c r="C6" s="3327">
        <v>29469</v>
      </c>
      <c r="D6" s="3327">
        <v>22928</v>
      </c>
      <c r="E6" s="3327">
        <v>27507</v>
      </c>
      <c r="F6" s="3331"/>
    </row>
    <row r="7" spans="1:6" ht="75.75" customHeight="1">
      <c r="A7" s="3761" t="s">
        <v>3038</v>
      </c>
      <c r="B7" s="3321" t="s">
        <v>3035</v>
      </c>
      <c r="C7" s="3329">
        <f>ROUND(F7*C8/10000,0)</f>
        <v>319</v>
      </c>
      <c r="D7" s="3329">
        <f>ROUND(F7*D8/10000,0)</f>
        <v>248</v>
      </c>
      <c r="E7" s="3328">
        <v>298</v>
      </c>
      <c r="F7" s="3331">
        <v>108.16</v>
      </c>
    </row>
    <row r="8" spans="1:6">
      <c r="A8" s="3760"/>
      <c r="B8" s="3321" t="s">
        <v>3036</v>
      </c>
      <c r="C8" s="3327">
        <v>29469</v>
      </c>
      <c r="D8" s="3327">
        <v>22928</v>
      </c>
      <c r="E8" s="3327">
        <v>27507</v>
      </c>
      <c r="F8" s="3331"/>
    </row>
    <row r="9" spans="1:6">
      <c r="A9" s="3761" t="s">
        <v>3039</v>
      </c>
      <c r="B9" s="3321" t="s">
        <v>3035</v>
      </c>
      <c r="C9" s="3323" t="s">
        <v>1183</v>
      </c>
      <c r="D9" s="3323" t="s">
        <v>1183</v>
      </c>
      <c r="E9" s="3322">
        <v>1502</v>
      </c>
      <c r="F9" s="3330"/>
    </row>
    <row r="10" spans="1:6" ht="14.5" thickBot="1">
      <c r="A10" s="3762"/>
      <c r="B10" s="3324" t="s">
        <v>3036</v>
      </c>
      <c r="C10" s="3325" t="s">
        <v>1183</v>
      </c>
      <c r="D10" s="3325" t="s">
        <v>1183</v>
      </c>
      <c r="E10" s="3326">
        <v>27507</v>
      </c>
      <c r="F10" s="3330"/>
    </row>
    <row r="11" spans="1:6" ht="14.5" thickTop="1"/>
  </sheetData>
  <mergeCells count="9">
    <mergeCell ref="E1:E2"/>
    <mergeCell ref="A3:A4"/>
    <mergeCell ref="A5:A6"/>
    <mergeCell ref="A7:A8"/>
    <mergeCell ref="A9:A10"/>
    <mergeCell ref="A1:B1"/>
    <mergeCell ref="A2:B2"/>
    <mergeCell ref="C1:C2"/>
    <mergeCell ref="D1:D2"/>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08" customWidth="1"/>
    <col min="2" max="2" width="37.90625" style="1308" customWidth="1"/>
    <col min="3" max="3" width="16.08984375" style="1308" customWidth="1"/>
    <col min="4" max="4" width="22.26953125" style="1308" customWidth="1"/>
    <col min="5" max="5" width="4.08984375" style="1308" customWidth="1"/>
    <col min="6" max="7" width="13" style="1308" customWidth="1"/>
    <col min="8" max="16384" width="9" style="1308"/>
  </cols>
  <sheetData>
    <row r="1" spans="1:5" ht="17.5">
      <c r="A1" s="1328" t="s">
        <v>774</v>
      </c>
      <c r="B1" s="1326"/>
      <c r="C1" s="1326"/>
      <c r="D1" s="1326"/>
      <c r="E1" s="1326"/>
    </row>
    <row r="2" spans="1:5" ht="78.75" customHeight="1">
      <c r="A2" s="33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spans="1:5" ht="13.5" customHeight="1">
      <c r="A3" s="1329"/>
      <c r="B3" s="1329"/>
      <c r="C3" s="1329"/>
      <c r="D3" s="1329"/>
      <c r="E3" s="1329"/>
    </row>
    <row r="4" spans="1:5" ht="18" thickBot="1">
      <c r="A4" s="3365" t="str">
        <f>IF(项目基本情况!D5="房地产市场价值","估价结果一览表（市场价值不需本页表格)","估价结果一览表")</f>
        <v>估价结果一览表</v>
      </c>
      <c r="B4" s="3365"/>
      <c r="C4" s="3365"/>
      <c r="D4" s="3365"/>
      <c r="E4" s="3365"/>
    </row>
    <row r="5" spans="1:5" ht="14.25" customHeight="1" thickTop="1">
      <c r="A5" s="1326"/>
      <c r="B5" s="1330" t="s">
        <v>742</v>
      </c>
      <c r="C5" s="3366" t="s">
        <v>775</v>
      </c>
      <c r="D5" s="3367"/>
      <c r="E5" s="1326"/>
    </row>
    <row r="6" spans="1:5" ht="15">
      <c r="A6" s="1326"/>
      <c r="B6" s="1331" t="str">
        <f>项目基本情况!I1</f>
        <v>北京市房地产</v>
      </c>
      <c r="C6" s="3368">
        <f>项目基本情况!C12</f>
        <v>108.17</v>
      </c>
      <c r="D6" s="3368"/>
      <c r="E6" s="1326"/>
    </row>
    <row r="7" spans="1:5" ht="15">
      <c r="A7" s="1326"/>
      <c r="B7" s="3362" t="s">
        <v>776</v>
      </c>
      <c r="C7" s="1332" t="str">
        <f>IF('数据-取费表'!B3="万元","总价（万元）","总价（元）")</f>
        <v>总价（万元）</v>
      </c>
      <c r="D7" s="1333">
        <f ca="1">IF('数据-取费表'!E3="否",结果表!I102,'结果表 (1修多)'!I104)</f>
        <v>196</v>
      </c>
      <c r="E7" s="1326"/>
    </row>
    <row r="8" spans="1:5" ht="15">
      <c r="A8" s="1326"/>
      <c r="B8" s="3362"/>
      <c r="C8" s="1334" t="s">
        <v>1106</v>
      </c>
      <c r="D8" s="1335" t="str">
        <f ca="1">IF('数据-取费表'!B3="万元",NUMBERSTRING(INT(D7*10000),2)&amp;"元整",NUMBERSTRING(INT(D7),2)&amp;"元整")</f>
        <v>壹佰玖拾陆万元整</v>
      </c>
      <c r="E8" s="1326"/>
    </row>
    <row r="9" spans="1:5" ht="15">
      <c r="A9" s="1326"/>
      <c r="B9" s="3362"/>
      <c r="C9" s="1336" t="s">
        <v>1202</v>
      </c>
      <c r="D9" s="1333">
        <f ca="1">IF('数据-取费表'!E3="否",结果表!I103,'结果表 (1修多)'!I105)</f>
        <v>18135</v>
      </c>
      <c r="E9" s="1326"/>
    </row>
    <row r="10" spans="1:5" ht="15">
      <c r="A10" s="1326"/>
      <c r="B10" s="3369"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
      <c r="A11" s="1326"/>
      <c r="B11" s="3369"/>
      <c r="C11" s="1334" t="s">
        <v>1106</v>
      </c>
      <c r="D11" s="1335" t="str">
        <f>IF('数据-取费表'!B3="万元",NUMBERSTRING(INT(D10*10000),2)&amp;"元整",NUMBERSTRING(INT(D10),2)&amp;"元整")</f>
        <v>零元整</v>
      </c>
      <c r="E11" s="1326"/>
    </row>
    <row r="12" spans="1:5" ht="15">
      <c r="A12" s="1326"/>
      <c r="B12" s="1338" t="s">
        <v>743</v>
      </c>
      <c r="C12" s="1339" t="str">
        <f>C10</f>
        <v>总额（万元）</v>
      </c>
      <c r="D12" s="1340">
        <f>IF('数据-取费表'!E3="否",结果表!I106,'结果表 (1修多)'!I108)</f>
        <v>0</v>
      </c>
      <c r="E12" s="1326"/>
    </row>
    <row r="13" spans="1:5" ht="15">
      <c r="A13" s="1326"/>
      <c r="B13" s="1338" t="s">
        <v>744</v>
      </c>
      <c r="C13" s="1339" t="str">
        <f>C10</f>
        <v>总额（万元）</v>
      </c>
      <c r="D13" s="1340">
        <f>IF('数据-取费表'!E3="否",结果表!I107,'结果表 (1修多)'!I109)</f>
        <v>0</v>
      </c>
      <c r="E13" s="1326"/>
    </row>
    <row r="14" spans="1:5" ht="15">
      <c r="A14" s="1326"/>
      <c r="B14" s="1338" t="s">
        <v>745</v>
      </c>
      <c r="C14" s="1339" t="str">
        <f>C10</f>
        <v>总额（万元）</v>
      </c>
      <c r="D14" s="1340">
        <f>IF('数据-取费表'!E3="否",结果表!I108,'结果表 (1修多)'!I110)</f>
        <v>0</v>
      </c>
      <c r="E14" s="1326"/>
    </row>
    <row r="15" spans="1:5" ht="15">
      <c r="A15" s="1326"/>
      <c r="B15" s="3369" t="str">
        <f>IF('数据-取费表'!E3="否",结果表!F110,'结果表 (1修多)'!F112)</f>
        <v>3.房地产抵押价值</v>
      </c>
      <c r="C15" s="1327" t="str">
        <f>C7</f>
        <v>总价（万元）</v>
      </c>
      <c r="D15" s="1333">
        <f ca="1">IF('数据-取费表'!E3="否",结果表!I110,'结果表 (1修多)'!I112)</f>
        <v>196</v>
      </c>
      <c r="E15" s="1326"/>
    </row>
    <row r="16" spans="1:5" ht="15">
      <c r="A16" s="1326"/>
      <c r="B16" s="3369"/>
      <c r="C16" s="1334" t="s">
        <v>1106</v>
      </c>
      <c r="D16" s="1333" t="str">
        <f ca="1">IF('数据-取费表'!B3="万元",NUMBERSTRING(INT(D15*10000),2)&amp;"元整",NUMBERSTRING(INT(D15),2)&amp;"元整")</f>
        <v>壹佰玖拾陆万元整</v>
      </c>
      <c r="E16" s="1326"/>
    </row>
    <row r="17" spans="1:5" ht="15">
      <c r="A17" s="1326"/>
      <c r="B17" s="3369"/>
      <c r="C17" s="1336" t="s">
        <v>1202</v>
      </c>
      <c r="D17" s="1333">
        <f ca="1">IF('数据-取费表'!E3="否",结果表!I111,'结果表 (1修多)'!I113)</f>
        <v>18135</v>
      </c>
      <c r="E17" s="1326"/>
    </row>
    <row r="18" spans="1:5" ht="15">
      <c r="A18" s="1326"/>
      <c r="B18" s="3369" t="str">
        <f>IF('数据-取费表'!E3="否",结果表!F112,'结果表 (1修多)'!F114)</f>
        <v>——</v>
      </c>
      <c r="C18" s="1327" t="str">
        <f>C7</f>
        <v>总价（万元）</v>
      </c>
      <c r="D18" s="1333" t="str">
        <f>IF('数据-取费表'!E3="否",结果表!I112,'结果表 (1修多)'!I114)</f>
        <v>——</v>
      </c>
      <c r="E18" s="1326"/>
    </row>
    <row r="19" spans="1:5" ht="15">
      <c r="A19" s="1326"/>
      <c r="B19" s="3369"/>
      <c r="C19" s="1334" t="s">
        <v>1106</v>
      </c>
      <c r="D19" s="1333" t="e">
        <f>IF('数据-取费表'!B3="万元",NUMBERSTRING(INT(D18*10000),2)&amp;"元整",NUMBERSTRING(INT(D18),2)&amp;"元整")</f>
        <v>#VALUE!</v>
      </c>
      <c r="E19" s="1326"/>
    </row>
    <row r="20" spans="1:5" ht="15">
      <c r="A20" s="1326"/>
      <c r="B20" s="3369"/>
      <c r="C20" s="1336" t="s">
        <v>1202</v>
      </c>
      <c r="D20" s="1333" t="str">
        <f>IF('数据-取费表'!E3="否",结果表!I113,'结果表 (1修多)'!I115)</f>
        <v>——</v>
      </c>
      <c r="E20" s="1326"/>
    </row>
    <row r="21" spans="1:5" ht="15">
      <c r="A21" s="1326"/>
      <c r="B21" s="3362" t="str">
        <f>IF('数据-取费表'!E3="否",结果表!F114,'结果表 (1修多)'!F116)</f>
        <v>——</v>
      </c>
      <c r="C21" s="1332" t="str">
        <f>C7</f>
        <v>总价（万元）</v>
      </c>
      <c r="D21" s="1333" t="str">
        <f>IF('数据-取费表'!E3="否",结果表!I114,'结果表 (1修多)'!I116)</f>
        <v>——</v>
      </c>
      <c r="E21" s="1326"/>
    </row>
    <row r="22" spans="1:5" ht="15">
      <c r="A22" s="1326"/>
      <c r="B22" s="3362"/>
      <c r="C22" s="1334" t="s">
        <v>1106</v>
      </c>
      <c r="D22" s="1335" t="e">
        <f>IF('数据-取费表'!B3="万元",NUMBERSTRING(INT(D21*10000),2)&amp;"元整",NUMBERSTRING(INT(D21),2)&amp;"元整")</f>
        <v>#VALUE!</v>
      </c>
      <c r="E22" s="1326"/>
    </row>
    <row r="23" spans="1:5" ht="15.5" thickBot="1">
      <c r="A23" s="1326"/>
      <c r="B23" s="3363"/>
      <c r="C23" s="1341" t="s">
        <v>1202</v>
      </c>
      <c r="D23" s="1342" t="str">
        <f ca="1">IF('数据-取费表'!E3="否",结果表!I115,'结果表 (1修多)'!I117)</f>
        <v>——</v>
      </c>
      <c r="E23" s="1326"/>
    </row>
    <row r="24" spans="1:5" ht="14.5" thickTop="1">
      <c r="A24" s="1326"/>
      <c r="B24" s="1326"/>
      <c r="C24" s="1326"/>
      <c r="D24" s="1326"/>
      <c r="E24" s="1326"/>
    </row>
    <row r="25" spans="1:5" ht="18.75" customHeight="1" thickBot="1">
      <c r="A25" s="1326"/>
      <c r="B25" s="3377" t="s">
        <v>1203</v>
      </c>
      <c r="C25" s="3377"/>
      <c r="D25" s="3377"/>
      <c r="E25" s="1326"/>
    </row>
    <row r="26" spans="1:5" ht="18.75" customHeight="1" thickTop="1">
      <c r="A26" s="1326"/>
      <c r="B26" s="3380" t="s">
        <v>1105</v>
      </c>
      <c r="C26" s="3381"/>
      <c r="D26" s="3378" t="s">
        <v>1104</v>
      </c>
      <c r="E26" s="1326"/>
    </row>
    <row r="27" spans="1:5" ht="18.75" customHeight="1">
      <c r="A27" s="1326"/>
      <c r="B27" s="3382"/>
      <c r="C27" s="3383"/>
      <c r="D27" s="3379"/>
      <c r="E27" s="1326"/>
    </row>
    <row r="28" spans="1:5" ht="15">
      <c r="A28" s="1326"/>
      <c r="B28" s="3370" t="s">
        <v>776</v>
      </c>
      <c r="C28" s="1343" t="s">
        <v>1107</v>
      </c>
      <c r="D28" s="1344">
        <f ca="1">IF('数据-取费表'!E3="否",结果表!I102,'结果表 (1修多)'!I104)</f>
        <v>196</v>
      </c>
      <c r="E28" s="1326"/>
    </row>
    <row r="29" spans="1:5" ht="15">
      <c r="A29" s="1326"/>
      <c r="B29" s="3371"/>
      <c r="C29" s="1345" t="s">
        <v>1106</v>
      </c>
      <c r="D29" s="1346" t="str">
        <f ca="1">IF('数据-取费表'!B3="万元",NUMBERSTRING(INT(D28*10000),2)&amp;"元整",NUMBERSTRING(INT(D28),2)&amp;"元整")</f>
        <v>壹佰玖拾陆万元整</v>
      </c>
      <c r="E29" s="1326"/>
    </row>
    <row r="30" spans="1:5" ht="15">
      <c r="A30" s="1326"/>
      <c r="B30" s="3372"/>
      <c r="C30" s="1336" t="s">
        <v>1109</v>
      </c>
      <c r="D30" s="1347">
        <f ca="1">IF('数据-取费表'!E3="否",结果表!I103,'结果表 (1修多)'!I105)</f>
        <v>18135</v>
      </c>
      <c r="E30" s="1326"/>
    </row>
    <row r="31" spans="1:5" ht="15">
      <c r="A31" s="1326"/>
      <c r="B31" s="3375" t="str">
        <f>B10</f>
        <v>2.估价师所知悉的法定优先受偿款</v>
      </c>
      <c r="C31" s="1348" t="s">
        <v>1108</v>
      </c>
      <c r="D31" s="1349">
        <f>IF('数据-取费表'!E3="否",结果表!I105,'结果表 (1修多)'!I107)</f>
        <v>0</v>
      </c>
      <c r="E31" s="1326"/>
    </row>
    <row r="32" spans="1:5" ht="15">
      <c r="A32" s="1326"/>
      <c r="B32" s="3384"/>
      <c r="C32" s="1345" t="s">
        <v>1106</v>
      </c>
      <c r="D32" s="1350" t="str">
        <f>IF('数据-取费表'!B3="万元",NUMBERSTRING(INT(D31*10000),2)&amp;"元整",NUMBERSTRING(INT(D31),2)&amp;"元整")</f>
        <v>零元整</v>
      </c>
      <c r="E32" s="1326"/>
    </row>
    <row r="33" spans="1:5" ht="15">
      <c r="A33" s="1326"/>
      <c r="B33" s="1334" t="s">
        <v>1089</v>
      </c>
      <c r="C33" s="1334" t="str">
        <f>C31</f>
        <v>总额</v>
      </c>
      <c r="D33" s="1347">
        <f>IF('数据-取费表'!E3="否",结果表!I106,'结果表 (1修多)'!I108)</f>
        <v>0</v>
      </c>
      <c r="E33" s="1326"/>
    </row>
    <row r="34" spans="1:5" ht="15">
      <c r="A34" s="1326"/>
      <c r="B34" s="1334" t="s">
        <v>1090</v>
      </c>
      <c r="C34" s="1334" t="str">
        <f>C31</f>
        <v>总额</v>
      </c>
      <c r="D34" s="1347">
        <f>IF('数据-取费表'!E3="否",结果表!I107,'结果表 (1修多)'!I109)</f>
        <v>0</v>
      </c>
      <c r="E34" s="1326"/>
    </row>
    <row r="35" spans="1:5" ht="15">
      <c r="A35" s="1326"/>
      <c r="B35" s="1334" t="s">
        <v>1091</v>
      </c>
      <c r="C35" s="1334" t="str">
        <f>C31</f>
        <v>总额</v>
      </c>
      <c r="D35" s="1347">
        <f>IF('数据-取费表'!E3="否",结果表!I108,'结果表 (1修多)'!I110)</f>
        <v>0</v>
      </c>
      <c r="E35" s="1326"/>
    </row>
    <row r="36" spans="1:5" ht="15">
      <c r="A36" s="1326"/>
      <c r="B36" s="3373" t="str">
        <f>B15</f>
        <v>3.房地产抵押价值</v>
      </c>
      <c r="C36" s="1348" t="str">
        <f>C28</f>
        <v>总价</v>
      </c>
      <c r="D36" s="1349">
        <f ca="1">IF('数据-取费表'!E3="否",结果表!I110,'结果表 (1修多)'!I112)</f>
        <v>196</v>
      </c>
      <c r="E36" s="1326"/>
    </row>
    <row r="37" spans="1:5" ht="15">
      <c r="A37" s="1326"/>
      <c r="B37" s="3373"/>
      <c r="C37" s="1345" t="s">
        <v>1106</v>
      </c>
      <c r="D37" s="1350" t="str">
        <f ca="1">IF('数据-取费表'!B3="万元",NUMBERSTRING(INT(D36*10000),2)&amp;"元整",NUMBERSTRING(INT(D36),2)&amp;"元整")</f>
        <v>壹佰玖拾陆万元整</v>
      </c>
      <c r="E37" s="1326"/>
    </row>
    <row r="38" spans="1:5" ht="15">
      <c r="A38" s="1326"/>
      <c r="B38" s="3373"/>
      <c r="C38" s="1336" t="s">
        <v>1110</v>
      </c>
      <c r="D38" s="1347">
        <f ca="1">IF('数据-取费表'!E3="否",结果表!D113,'结果表 (1修多)'!D117)</f>
        <v>18135</v>
      </c>
      <c r="E38" s="1326"/>
    </row>
    <row r="39" spans="1:5" ht="15">
      <c r="A39" s="1326"/>
      <c r="B39" s="3374" t="str">
        <f>B18</f>
        <v>——</v>
      </c>
      <c r="C39" s="1348" t="str">
        <f>C28</f>
        <v>总价</v>
      </c>
      <c r="D39" s="1349" t="str">
        <f>IF('数据-取费表'!E3="否",结果表!I112,'结果表 (1修多)'!I114)</f>
        <v>——</v>
      </c>
      <c r="E39" s="1326"/>
    </row>
    <row r="40" spans="1:5" ht="15">
      <c r="A40" s="1326"/>
      <c r="B40" s="3374"/>
      <c r="C40" s="1345" t="s">
        <v>1106</v>
      </c>
      <c r="D40" s="1350" t="e">
        <f>IF('数据-取费表'!B3="万元",NUMBERSTRING(INT(D39*10000),2)&amp;"元整",NUMBERSTRING(INT(D39),2)&amp;"元整")</f>
        <v>#VALUE!</v>
      </c>
      <c r="E40" s="1326"/>
    </row>
    <row r="41" spans="1:5" ht="15">
      <c r="A41" s="1326"/>
      <c r="B41" s="3374"/>
      <c r="C41" s="1336" t="s">
        <v>1110</v>
      </c>
      <c r="D41" s="1347" t="str">
        <f>IF('数据-取费表'!E3="否",结果表!D115,'结果表 (1修多)'!D119)</f>
        <v>——</v>
      </c>
      <c r="E41" s="1326"/>
    </row>
    <row r="42" spans="1:5" ht="15">
      <c r="A42" s="1326"/>
      <c r="B42" s="3373" t="str">
        <f>B21</f>
        <v>——</v>
      </c>
      <c r="C42" s="1348" t="str">
        <f>C28</f>
        <v>总价</v>
      </c>
      <c r="D42" s="1349" t="str">
        <f>IF('数据-取费表'!E3="否",结果表!I114,'结果表 (1修多)'!I116)</f>
        <v>——</v>
      </c>
      <c r="E42" s="1326"/>
    </row>
    <row r="43" spans="1:5" ht="15">
      <c r="A43" s="1326"/>
      <c r="B43" s="3375"/>
      <c r="C43" s="1345" t="s">
        <v>1106</v>
      </c>
      <c r="D43" s="1351" t="e">
        <f>IF('数据-取费表'!B3="万元",NUMBERSTRING(INT(D42*10000),2)&amp;"元整",NUMBERSTRING(INT(D42),2)&amp;"元整")</f>
        <v>#VALUE!</v>
      </c>
      <c r="E43" s="1326"/>
    </row>
    <row r="44" spans="1:5" ht="15.5" thickBot="1">
      <c r="A44" s="1326"/>
      <c r="B44" s="3376"/>
      <c r="C44" s="1341" t="s">
        <v>1110</v>
      </c>
      <c r="D44" s="1352" t="str">
        <f ca="1">IF('数据-取费表'!E3="否",结果表!D117,'结果表 (1修多)'!D121)</f>
        <v>——</v>
      </c>
      <c r="E44" s="1326"/>
    </row>
    <row r="45" spans="1:5" ht="14.5" thickTop="1">
      <c r="A45" s="1326"/>
      <c r="B45" s="1326" t="str">
        <f>IF('数据-取费表'!B3="元","单位：元、元/平方米（单位：人民币）","单位：万元、元/平方米（单位：人民币）")</f>
        <v>单位：万元、元/平方米（单位：人民币）</v>
      </c>
      <c r="C45" s="1326"/>
      <c r="D45" s="1326"/>
      <c r="E45" s="1326"/>
    </row>
    <row r="46" spans="1:5" ht="1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Y152:AA154"/>
  <sheetViews>
    <sheetView topLeftCell="I136" zoomScale="85" zoomScaleNormal="85" workbookViewId="0">
      <selection activeCell="Y158" sqref="Y158"/>
    </sheetView>
  </sheetViews>
  <sheetFormatPr defaultRowHeight="14"/>
  <sheetData>
    <row r="152" spans="25:27">
      <c r="Y152">
        <v>91.67</v>
      </c>
      <c r="Z152">
        <v>6000</v>
      </c>
      <c r="AA152">
        <f>Z152/Y152/30</f>
        <v>2.1817388458601505</v>
      </c>
    </row>
    <row r="153" spans="25:27">
      <c r="Y153">
        <v>64</v>
      </c>
      <c r="Z153">
        <v>5300</v>
      </c>
      <c r="AA153">
        <f t="shared" ref="AA153:AA154" si="0">Z153/Y153/30</f>
        <v>2.7604166666666665</v>
      </c>
    </row>
    <row r="154" spans="25:27">
      <c r="Y154">
        <v>50</v>
      </c>
      <c r="Z154">
        <v>4800</v>
      </c>
      <c r="AA154">
        <f t="shared" si="0"/>
        <v>3.2</v>
      </c>
    </row>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11" customWidth="1"/>
    <col min="2" max="9" width="12.26953125" style="1311" customWidth="1"/>
    <col min="10" max="16384" width="9" style="1311"/>
  </cols>
  <sheetData>
    <row r="1" spans="1:9" ht="16" thickBot="1">
      <c r="A1" s="3391" t="str">
        <f>IF(项目基本情况!D5="房地产市场价值","估价结果一览表","结果表-2")</f>
        <v>结果表-2</v>
      </c>
      <c r="B1" s="3391"/>
      <c r="C1" s="3391"/>
      <c r="D1" s="3391"/>
      <c r="E1" s="3391"/>
      <c r="F1" s="3391"/>
      <c r="G1" s="3391"/>
      <c r="H1" s="3391"/>
      <c r="I1" s="3391"/>
    </row>
    <row r="2" spans="1:9" ht="30" customHeight="1" thickTop="1">
      <c r="A2" s="3392" t="s">
        <v>1204</v>
      </c>
      <c r="B2" s="3392" t="s">
        <v>1205</v>
      </c>
      <c r="C2" s="3392" t="s">
        <v>1206</v>
      </c>
      <c r="D2" s="3392" t="str">
        <f>IF('数据-取费表'!E3="否",结果表!D119,'结果表 (1修多)'!D123)</f>
        <v>出让国有建设用地使用权价值</v>
      </c>
      <c r="E2" s="3392"/>
      <c r="F2" s="3392" t="s">
        <v>1207</v>
      </c>
      <c r="G2" s="3392"/>
      <c r="H2" s="3392" t="s">
        <v>1208</v>
      </c>
      <c r="I2" s="3392"/>
    </row>
    <row r="3" spans="1:9" ht="16">
      <c r="A3" s="3387"/>
      <c r="B3" s="3387"/>
      <c r="C3" s="3387"/>
      <c r="D3" s="816" t="s">
        <v>1209</v>
      </c>
      <c r="E3" s="816" t="s">
        <v>1210</v>
      </c>
      <c r="F3" s="816" t="s">
        <v>1209</v>
      </c>
      <c r="G3" s="816" t="s">
        <v>1211</v>
      </c>
      <c r="H3" s="816" t="s">
        <v>1209</v>
      </c>
      <c r="I3" s="816" t="s">
        <v>1211</v>
      </c>
    </row>
    <row r="4" spans="1:9" ht="46.5" customHeight="1">
      <c r="A4" s="816" t="str">
        <f>项目基本情况!I1</f>
        <v>北京市房地产</v>
      </c>
      <c r="B4" s="816">
        <f>结果表!B121</f>
        <v>108.17</v>
      </c>
      <c r="C4" s="816">
        <f>结果表!C121</f>
        <v>0</v>
      </c>
      <c r="D4" s="816">
        <f ca="1">IF('数据-取费表'!E3="否",结果表!D121,'结果表 (1修多)'!D125)</f>
        <v>128</v>
      </c>
      <c r="E4" s="816">
        <f ca="1">IF('数据-取费表'!E3="否",结果表!E121,'结果表 (1修多)'!E125)</f>
        <v>11806</v>
      </c>
      <c r="F4" s="816">
        <f ca="1">IF('数据-取费表'!E3="否",结果表!F121,'结果表 (1修多)'!F125)</f>
        <v>68</v>
      </c>
      <c r="G4" s="816">
        <f ca="1">IF('数据-取费表'!E3="否",结果表!G121,'结果表 (1修多)'!G125)</f>
        <v>6329</v>
      </c>
      <c r="H4" s="816">
        <f ca="1">IF('数据-取费表'!E3="否",结果表!H121,'结果表 (1修多)'!H125)</f>
        <v>196</v>
      </c>
      <c r="I4" s="816">
        <f ca="1">IF('数据-取费表'!E3="否",结果表!I121,'结果表 (1修多)'!I125)</f>
        <v>18135</v>
      </c>
    </row>
    <row r="5" spans="1:9" ht="15.5">
      <c r="A5" s="3387" t="s">
        <v>1212</v>
      </c>
      <c r="B5" s="3387"/>
      <c r="C5" s="3387"/>
      <c r="D5" s="3385" t="str">
        <f ca="1">IF('数据-取费表'!E3="否",结果表!D122,'结果表 (1修多)'!D126)</f>
        <v>壹佰贰拾捌万元整</v>
      </c>
      <c r="E5" s="3385"/>
      <c r="F5" s="3385" t="str">
        <f ca="1">IF('数据-取费表'!E3="否",结果表!F122,'结果表 (1修多)'!F126)</f>
        <v>陆拾捌万元整</v>
      </c>
      <c r="G5" s="3385"/>
      <c r="H5" s="3385" t="str">
        <f ca="1">IF('数据-取费表'!E3="否",结果表!H122,'结果表 (1修多)'!H126)</f>
        <v>壹佰玖拾陆万元整</v>
      </c>
      <c r="I5" s="3385"/>
    </row>
    <row r="6" spans="1:9" ht="15.5">
      <c r="A6" s="3386" t="str">
        <f>IF('数据-取费表'!E3="否",结果表!A123,'结果表 (1修多)'!A127)</f>
        <v>估价师所知悉的法定优先受偿款</v>
      </c>
      <c r="B6" s="3386"/>
      <c r="C6" s="3386"/>
      <c r="D6" s="3386">
        <f>IF('数据-取费表'!E3="否",结果表!D123,'结果表 (1修多)'!D127)</f>
        <v>0</v>
      </c>
      <c r="E6" s="3386"/>
      <c r="F6" s="3386"/>
      <c r="G6" s="3386"/>
      <c r="H6" s="3386"/>
      <c r="I6" s="3386"/>
    </row>
    <row r="7" spans="1:9" ht="15.5">
      <c r="A7" s="3387" t="s">
        <v>1212</v>
      </c>
      <c r="B7" s="3387"/>
      <c r="C7" s="3387"/>
      <c r="D7" s="3388">
        <f>IF('数据-取费表'!E3="否",结果表!D124,'结果表 (1修多)'!D128)</f>
        <v>0</v>
      </c>
      <c r="E7" s="3389"/>
      <c r="F7" s="3389"/>
      <c r="G7" s="3389"/>
      <c r="H7" s="3389"/>
      <c r="I7" s="3390"/>
    </row>
    <row r="8" spans="1:9" ht="15.5">
      <c r="A8" s="3386" t="str">
        <f>IF('数据-取费表'!E3="否",结果表!A125,'结果表 (1修多)'!A129)</f>
        <v>房地产抵押价值</v>
      </c>
      <c r="B8" s="3386"/>
      <c r="C8" s="3386"/>
      <c r="D8" s="3386">
        <f ca="1">IF('数据-取费表'!E3="否",结果表!D125,'结果表 (1修多)'!D129)</f>
        <v>196</v>
      </c>
      <c r="E8" s="3386"/>
      <c r="F8" s="3386"/>
      <c r="G8" s="3386"/>
      <c r="H8" s="3386"/>
      <c r="I8" s="3386"/>
    </row>
    <row r="9" spans="1:9" ht="15.5">
      <c r="A9" s="3387" t="s">
        <v>1212</v>
      </c>
      <c r="B9" s="3387"/>
      <c r="C9" s="3387"/>
      <c r="D9" s="3385">
        <f ca="1">IF('数据-取费表'!E3="否",结果表!D126,'结果表 (1修多)'!D130)</f>
        <v>18135</v>
      </c>
      <c r="E9" s="3385"/>
      <c r="F9" s="3385"/>
      <c r="G9" s="3385"/>
      <c r="H9" s="3385"/>
      <c r="I9" s="3385"/>
    </row>
    <row r="10" spans="1:9" ht="15.5">
      <c r="A10" s="3386" t="str">
        <f>IF('数据-取费表'!E3="否",结果表!A127,'结果表 (1修多)'!A131)</f>
        <v/>
      </c>
      <c r="B10" s="3386"/>
      <c r="C10" s="3386"/>
      <c r="D10" s="3386" t="str">
        <f>IF('数据-取费表'!E3="否",结果表!D127,'结果表 (1修多)'!D130)</f>
        <v>——</v>
      </c>
      <c r="E10" s="3386"/>
      <c r="F10" s="3386"/>
      <c r="G10" s="3386"/>
      <c r="H10" s="3386"/>
      <c r="I10" s="3386"/>
    </row>
    <row r="11" spans="1:9" ht="15.5">
      <c r="A11" s="3387" t="s">
        <v>1212</v>
      </c>
      <c r="B11" s="3387"/>
      <c r="C11" s="3387"/>
      <c r="D11" s="3385" t="str">
        <f>IF('数据-取费表'!E3="否",结果表!D128,'结果表 (1修多)'!D132)</f>
        <v>——</v>
      </c>
      <c r="E11" s="3385"/>
      <c r="F11" s="3385"/>
      <c r="G11" s="3385"/>
      <c r="H11" s="3385"/>
      <c r="I11" s="3385"/>
    </row>
    <row r="12" spans="1:9" ht="15.5">
      <c r="A12" s="3386" t="str">
        <f>IF('数据-取费表'!E3="否",结果表!A129,'结果表 (1修多)'!A133)</f>
        <v/>
      </c>
      <c r="B12" s="3386"/>
      <c r="C12" s="3386"/>
      <c r="D12" s="3386" t="str">
        <f>IF('数据-取费表'!E3="否",结果表!D129,'结果表 (1修多)'!D133)</f>
        <v>——</v>
      </c>
      <c r="E12" s="3386"/>
      <c r="F12" s="3386"/>
      <c r="G12" s="3386"/>
      <c r="H12" s="3386"/>
      <c r="I12" s="3386"/>
    </row>
    <row r="13" spans="1:9" ht="16" thickBot="1">
      <c r="A13" s="3393" t="s">
        <v>1212</v>
      </c>
      <c r="B13" s="3393"/>
      <c r="C13" s="3393"/>
      <c r="D13" s="3394">
        <f>IF('数据-取费表'!E3="否",结果表!D130,'结果表 (1修多)'!D134)</f>
        <v>0</v>
      </c>
      <c r="E13" s="3394"/>
      <c r="F13" s="3394"/>
      <c r="G13" s="3394"/>
      <c r="H13" s="3394"/>
      <c r="I13" s="3394"/>
    </row>
    <row r="14" spans="1:9" ht="14.5" thickTop="1">
      <c r="A14" s="3395" t="str">
        <f>IF('数据-取费表'!E3="否",结果表!A131,'结果表 (1修多)'!A135)</f>
        <v>单位：平方米、万元、元/平方米（币种：人民币）</v>
      </c>
      <c r="B14" s="3395"/>
      <c r="C14" s="3395"/>
      <c r="D14" s="3395"/>
      <c r="E14" s="3395"/>
      <c r="F14" s="3395"/>
      <c r="G14" s="3395"/>
      <c r="H14" s="3395"/>
      <c r="I14" s="3395"/>
    </row>
    <row r="15" spans="1:9">
      <c r="A15" s="603"/>
      <c r="B15" s="603"/>
      <c r="C15" s="603"/>
      <c r="D15" s="603"/>
      <c r="E15" s="603"/>
      <c r="F15" s="603"/>
      <c r="G15" s="603"/>
      <c r="H15" s="603"/>
      <c r="I15" s="603"/>
    </row>
    <row r="16" spans="1:9" ht="1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11" customWidth="1"/>
    <col min="2" max="2" width="24" style="1311" customWidth="1"/>
    <col min="3" max="3" width="23.26953125" style="1311" customWidth="1"/>
    <col min="4" max="4" width="21" style="1311" customWidth="1"/>
    <col min="5" max="16384" width="9" style="1311"/>
  </cols>
  <sheetData>
    <row r="1" spans="1:4" ht="18">
      <c r="A1" s="3400" t="s">
        <v>1225</v>
      </c>
      <c r="B1" s="3400"/>
      <c r="C1" s="3400"/>
      <c r="D1" s="3400"/>
    </row>
    <row r="2" spans="1:4" ht="18">
      <c r="A2" s="3399" t="s">
        <v>1214</v>
      </c>
      <c r="B2" s="3399"/>
      <c r="C2" s="3399"/>
      <c r="D2" s="3399"/>
    </row>
    <row r="3" spans="1:4" ht="1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99" t="s">
        <v>1219</v>
      </c>
      <c r="B7" s="3399"/>
      <c r="C7" s="3399"/>
      <c r="D7" s="3399"/>
    </row>
    <row r="8" spans="1:4" ht="17.5">
      <c r="A8" s="1355" t="s">
        <v>1215</v>
      </c>
      <c r="B8" s="1357" t="s">
        <v>1220</v>
      </c>
      <c r="C8" s="1355" t="s">
        <v>1217</v>
      </c>
      <c r="D8" s="1355" t="s">
        <v>1218</v>
      </c>
    </row>
    <row r="9" spans="1:4" ht="56.25" customHeight="1">
      <c r="A9" s="1362" t="s">
        <v>777</v>
      </c>
      <c r="B9" s="1362" t="s">
        <v>778</v>
      </c>
      <c r="C9" s="1358"/>
      <c r="D9" s="1359" t="s">
        <v>1226</v>
      </c>
    </row>
    <row r="11" spans="1:4" ht="18">
      <c r="A11" s="1363" t="s">
        <v>1221</v>
      </c>
    </row>
    <row r="12" spans="1:4" ht="30" customHeight="1">
      <c r="A12" s="3396" t="s">
        <v>2676</v>
      </c>
      <c r="B12" s="3398"/>
      <c r="C12" s="3398"/>
      <c r="D12" s="3398"/>
    </row>
    <row r="13" spans="1:4" ht="15.5">
      <c r="A13" s="33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8"/>
      <c r="C13" s="3398"/>
      <c r="D13" s="3398"/>
    </row>
    <row r="14" spans="1:4" ht="30" customHeight="1">
      <c r="A14" s="339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8"/>
      <c r="C14" s="3398"/>
      <c r="D14" s="3398"/>
    </row>
    <row r="15" spans="1:4" ht="15.75" customHeight="1">
      <c r="A15" s="3396" t="str">
        <f>IF(项目基本情况!D4="抵押","4.本次评估估价师所知悉的法定优先受偿款情况说明如下：","——")</f>
        <v>4.本次评估估价师所知悉的法定优先受偿款情况说明如下：</v>
      </c>
      <c r="B15" s="3398"/>
      <c r="C15" s="3398"/>
      <c r="D15" s="3398"/>
    </row>
    <row r="16" spans="1:4" ht="75" customHeight="1">
      <c r="A16" s="3396" t="str">
        <f>IF(项目基本情况!D4="抵押",CONCATENATE(项目基本情况!J13,项目基本情况!J14,项目基本情况!J15),"——")</f>
        <v>根据估价对象《不动产权证书》复印件，截至价值时点，估价对象抵押权未见登记。</v>
      </c>
      <c r="B16" s="3396"/>
      <c r="C16" s="3396"/>
      <c r="D16" s="3396"/>
    </row>
    <row r="17" spans="1:4" ht="63.75" customHeight="1">
      <c r="A17" s="3397" t="s">
        <v>1227</v>
      </c>
      <c r="B17" s="3397"/>
      <c r="C17" s="3397"/>
      <c r="D17" s="3397"/>
    </row>
    <row r="18" spans="1:4" ht="15.75" customHeight="1">
      <c r="A18" s="3396" t="str">
        <f>IF(项目基本情况!D4="抵押",结果表!L106,"——")</f>
        <v>本次评估不存在估价师所知悉的法定优先受偿款。</v>
      </c>
      <c r="B18" s="3396"/>
      <c r="C18" s="3396"/>
      <c r="D18" s="3396"/>
    </row>
    <row r="19" spans="1:4" ht="46.5" customHeight="1">
      <c r="A19" s="33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15.5">
      <c r="A20" s="3397" t="s">
        <v>2677</v>
      </c>
      <c r="B20" s="3397"/>
      <c r="C20" s="3397"/>
      <c r="D20" s="3397"/>
    </row>
    <row r="21" spans="1:4">
      <c r="A21" s="1364"/>
      <c r="B21" s="978"/>
      <c r="C21" s="978"/>
      <c r="D21" s="978"/>
    </row>
    <row r="22" spans="1:4">
      <c r="A22" s="1364"/>
      <c r="B22" s="978"/>
      <c r="C22" s="978"/>
      <c r="D22" s="978"/>
    </row>
    <row r="23" spans="1:4" ht="17.5">
      <c r="A23" s="1325" t="s">
        <v>1222</v>
      </c>
    </row>
    <row r="24" spans="1:4" ht="17.5">
      <c r="A24" s="1325"/>
    </row>
    <row r="25" spans="1:4" ht="1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73" customWidth="1"/>
    <col min="2" max="16384" width="14.453125" style="603"/>
  </cols>
  <sheetData>
    <row r="1" spans="1:7" s="1354" customFormat="1" ht="18">
      <c r="A1" s="601" t="s">
        <v>1294</v>
      </c>
    </row>
    <row r="3" spans="1:7" ht="15">
      <c r="A3" s="1371" t="s">
        <v>1295</v>
      </c>
      <c r="B3" s="603" t="s">
        <v>1296</v>
      </c>
      <c r="G3" s="1372"/>
    </row>
    <row r="4" spans="1:7">
      <c r="G4" s="1372"/>
    </row>
    <row r="5" spans="1:7" ht="15">
      <c r="A5" s="1374" t="s">
        <v>1297</v>
      </c>
      <c r="B5" s="603" t="s">
        <v>1298</v>
      </c>
      <c r="G5" s="1372"/>
    </row>
    <row r="6" spans="1:7">
      <c r="G6" s="1372"/>
    </row>
    <row r="7" spans="1:7" ht="1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
      <c r="A15" s="3406" t="s">
        <v>1306</v>
      </c>
      <c r="B15" s="3401" t="s">
        <v>1307</v>
      </c>
      <c r="C15" s="3402"/>
    </row>
    <row r="16" spans="1:7" ht="14">
      <c r="A16" s="3407"/>
      <c r="B16" s="3401" t="s">
        <v>1308</v>
      </c>
      <c r="C16" s="3402"/>
    </row>
    <row r="17" spans="1:3" ht="14">
      <c r="A17" s="3407"/>
      <c r="B17" s="3401" t="s">
        <v>1309</v>
      </c>
      <c r="C17" s="3402"/>
    </row>
    <row r="18" spans="1:3" ht="14">
      <c r="A18" s="3408"/>
      <c r="B18" s="3403" t="s">
        <v>1310</v>
      </c>
      <c r="C18" s="3402"/>
    </row>
    <row r="19" spans="1:3" ht="14">
      <c r="A19" s="1379" t="s">
        <v>1311</v>
      </c>
      <c r="B19" s="1380"/>
      <c r="C19" s="1381"/>
    </row>
    <row r="20" spans="1:3" ht="14">
      <c r="A20" s="3404" t="s">
        <v>1312</v>
      </c>
      <c r="B20" s="3403" t="s">
        <v>1313</v>
      </c>
      <c r="C20" s="3402"/>
    </row>
    <row r="21" spans="1:3" ht="14">
      <c r="A21" s="3404"/>
      <c r="B21" s="3403" t="s">
        <v>1314</v>
      </c>
      <c r="C21" s="3402"/>
    </row>
    <row r="22" spans="1:3" ht="14">
      <c r="A22" s="3404"/>
      <c r="B22" s="3403" t="s">
        <v>1315</v>
      </c>
      <c r="C22" s="3402"/>
    </row>
    <row r="23" spans="1:3" ht="14">
      <c r="A23" s="3404"/>
      <c r="B23" s="3405" t="s">
        <v>1316</v>
      </c>
      <c r="C23" s="1382" t="s">
        <v>1317</v>
      </c>
    </row>
    <row r="24" spans="1:3" ht="14">
      <c r="A24" s="3404"/>
      <c r="B24" s="3405"/>
      <c r="C24" s="1382" t="s">
        <v>1318</v>
      </c>
    </row>
    <row r="25" spans="1:3" ht="14">
      <c r="A25" s="3404"/>
      <c r="B25" s="3405"/>
      <c r="C25" s="1382" t="s">
        <v>1319</v>
      </c>
    </row>
    <row r="26" spans="1:3" ht="14">
      <c r="A26" s="3404"/>
      <c r="B26" s="3405"/>
      <c r="C26" s="1382" t="s">
        <v>1320</v>
      </c>
    </row>
    <row r="27" spans="1:3" ht="14">
      <c r="A27" s="3404"/>
      <c r="B27" s="3405"/>
      <c r="C27" s="1382" t="s">
        <v>1321</v>
      </c>
    </row>
    <row r="28" spans="1:3" ht="14">
      <c r="A28" s="3404"/>
      <c r="B28" s="3405"/>
      <c r="C28" s="1382" t="s">
        <v>1322</v>
      </c>
    </row>
    <row r="29" spans="1:3" ht="14">
      <c r="A29" s="3404"/>
      <c r="B29" s="3405"/>
      <c r="C29" s="1382" t="s">
        <v>1323</v>
      </c>
    </row>
    <row r="30" spans="1:3" ht="14">
      <c r="A30" s="3404"/>
      <c r="B30" s="3405"/>
      <c r="C30" s="1382" t="s">
        <v>1324</v>
      </c>
    </row>
    <row r="31" spans="1:3" ht="14">
      <c r="A31" s="3404"/>
      <c r="B31" s="3405"/>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3020" customWidth="1"/>
    <col min="2" max="2" width="38.6328125" style="3020" customWidth="1"/>
    <col min="3" max="3" width="26" style="3020" customWidth="1"/>
    <col min="4" max="4" width="35" style="3020" hidden="1" customWidth="1"/>
    <col min="5" max="5" width="30.08984375" style="3020" customWidth="1"/>
    <col min="6" max="6" width="35.453125" style="3020" customWidth="1"/>
    <col min="7" max="7" width="31" style="3020" customWidth="1"/>
    <col min="8" max="8" width="37.453125" style="3020" hidden="1" customWidth="1"/>
    <col min="9" max="16384" width="22.6328125" style="3020"/>
  </cols>
  <sheetData>
    <row r="1" spans="1:8" ht="24" customHeight="1">
      <c r="A1" s="3023"/>
      <c r="B1" s="3023"/>
      <c r="C1" s="3023"/>
      <c r="D1" s="3023"/>
      <c r="E1" s="3023"/>
      <c r="F1" s="3023"/>
      <c r="G1" s="3023"/>
      <c r="H1" s="3023"/>
    </row>
    <row r="2" spans="1:8" ht="24" customHeight="1">
      <c r="A2" s="3024" t="s">
        <v>746</v>
      </c>
      <c r="B2" s="3025">
        <f ca="1">TODAY()</f>
        <v>44690</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9" t="s">
        <v>762</v>
      </c>
      <c r="B17" s="3409"/>
      <c r="C17" s="3409"/>
      <c r="D17" s="3409"/>
      <c r="E17" s="3409"/>
      <c r="F17" s="3409"/>
      <c r="G17" s="3409"/>
      <c r="H17" s="3409"/>
    </row>
    <row r="18" spans="1:8" ht="24" customHeight="1">
      <c r="A18" s="3410" t="s">
        <v>763</v>
      </c>
      <c r="B18" s="3410"/>
      <c r="C18" s="3410"/>
      <c r="D18" s="3029"/>
      <c r="E18" s="3411" t="s">
        <v>764</v>
      </c>
      <c r="F18" s="3410"/>
      <c r="G18" s="3410"/>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4" customWidth="1"/>
    <col min="2" max="2" width="22.453125" style="603"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3" customWidth="1"/>
    <col min="27" max="16384" width="9" style="603"/>
  </cols>
  <sheetData>
    <row r="1" spans="1:25" s="602" customFormat="1" ht="2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2971</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1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412"/>
      <c r="B54" s="9" t="s">
        <v>1462</v>
      </c>
      <c r="C54" s="9" t="s">
        <v>1463</v>
      </c>
    </row>
    <row r="55" spans="1:4">
      <c r="A55" s="3412"/>
      <c r="B55" s="9" t="s">
        <v>1464</v>
      </c>
      <c r="C55" s="9" t="s">
        <v>1465</v>
      </c>
    </row>
    <row r="56" spans="1:4">
      <c r="A56" s="3412"/>
      <c r="B56" s="9" t="s">
        <v>1466</v>
      </c>
      <c r="C56" s="9" t="s">
        <v>1467</v>
      </c>
    </row>
    <row r="57" spans="1:4">
      <c r="A57" s="3412"/>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2022-05-09T02:50:27Z</dcterms:modified>
</cp:coreProperties>
</file>