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I7" i="34"/>
  <c r="G7" i="34"/>
  <c r="E7" i="34"/>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D67" i="43"/>
  <c r="D65" i="43"/>
  <c r="D64" i="43"/>
  <c r="D63" i="43"/>
  <c r="D62" i="43"/>
  <c r="D60"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G15" i="47" s="1"/>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42" i="50"/>
  <c r="D43" i="50" s="1"/>
  <c r="D4" i="61"/>
  <c r="D19" i="57"/>
  <c r="F4" i="61"/>
  <c r="D7" i="61"/>
  <c r="F7" i="61"/>
  <c r="E2" i="34"/>
  <c r="C20" i="57"/>
  <c r="E2" i="37"/>
  <c r="C19" i="57"/>
  <c r="E2" i="36"/>
  <c r="H23" i="31"/>
  <c r="D5" i="61"/>
  <c r="F6" i="61"/>
  <c r="D20" i="57"/>
  <c r="E2" i="11"/>
  <c r="D3" i="61"/>
  <c r="F5" i="61"/>
  <c r="E2" i="33"/>
  <c r="F3" i="61"/>
  <c r="E2" i="21"/>
  <c r="E2" i="35"/>
  <c r="D6" i="61"/>
  <c r="AC37" i="34" l="1"/>
  <c r="S37" i="34"/>
  <c r="F59" i="43"/>
  <c r="G59" i="40"/>
  <c r="C59" i="40" s="1"/>
  <c r="G60" i="40"/>
  <c r="C60" i="40" s="1"/>
  <c r="E9" i="43"/>
  <c r="E10" i="43"/>
  <c r="E8" i="43"/>
  <c r="E11" i="43"/>
  <c r="A8" i="52"/>
  <c r="B65" i="60" s="1"/>
  <c r="F6" i="59"/>
  <c r="F5" i="59" s="1"/>
  <c r="V7" i="59"/>
  <c r="E6" i="59"/>
  <c r="E5" i="59" s="1"/>
  <c r="U7" i="59"/>
  <c r="B6" i="59"/>
  <c r="B5" i="59" s="1"/>
  <c r="S7" i="59"/>
  <c r="D18" i="50"/>
  <c r="B31" i="60" s="1"/>
  <c r="A10" i="52"/>
  <c r="B66" i="60" s="1"/>
  <c r="C14" i="15"/>
  <c r="D12" i="52"/>
  <c r="H70" i="43"/>
  <c r="H76" i="43"/>
  <c r="H78" i="43"/>
  <c r="H75" i="43"/>
  <c r="H73" i="43"/>
  <c r="G26" i="47"/>
  <c r="H62" i="43"/>
  <c r="G62" i="43" s="1"/>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63" i="43" l="1"/>
  <c r="G63" i="43" s="1"/>
  <c r="H60" i="43"/>
  <c r="G60" i="43" s="1"/>
  <c r="H66" i="43"/>
  <c r="G66" i="43" s="1"/>
  <c r="H64" i="43"/>
  <c r="G64" i="43" s="1"/>
  <c r="H65" i="43"/>
  <c r="G65" i="43" s="1"/>
  <c r="H59" i="43"/>
  <c r="G59" i="43" s="1"/>
  <c r="H67" i="43"/>
  <c r="G67" i="43" s="1"/>
  <c r="H61" i="43"/>
  <c r="G61" i="43" s="1"/>
  <c r="M62" i="43"/>
  <c r="N62" i="43" s="1"/>
  <c r="K62" i="43"/>
  <c r="J62" i="43" s="1"/>
  <c r="C105" i="57"/>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M67" i="43" l="1"/>
  <c r="N67" i="43" s="1"/>
  <c r="K67" i="43"/>
  <c r="J67" i="43" s="1"/>
  <c r="M65" i="43"/>
  <c r="N65" i="43" s="1"/>
  <c r="K65" i="43"/>
  <c r="J65" i="43" s="1"/>
  <c r="K66" i="43"/>
  <c r="J66" i="43" s="1"/>
  <c r="D66" i="43" s="1"/>
  <c r="M66" i="43"/>
  <c r="N66" i="43" s="1"/>
  <c r="M61" i="43"/>
  <c r="N61" i="43" s="1"/>
  <c r="K61" i="43"/>
  <c r="K59" i="43"/>
  <c r="J59" i="43" s="1"/>
  <c r="M59" i="43"/>
  <c r="N59" i="43" s="1"/>
  <c r="M64" i="43"/>
  <c r="N64" i="43" s="1"/>
  <c r="K64" i="43"/>
  <c r="J64" i="43" s="1"/>
  <c r="M60" i="43"/>
  <c r="N60" i="43" s="1"/>
  <c r="K60" i="43"/>
  <c r="J60" i="43" s="1"/>
  <c r="M63" i="43"/>
  <c r="N63" i="43" s="1"/>
  <c r="K63" i="43"/>
  <c r="J63" i="43" s="1"/>
  <c r="C19" i="15"/>
  <c r="C20" i="15" s="1"/>
  <c r="C26" i="15" s="1"/>
  <c r="J7" i="36"/>
  <c r="H7" i="36"/>
  <c r="C20" i="43"/>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61" i="43" l="1"/>
  <c r="E59" i="43" s="1"/>
  <c r="B57" i="43" s="1"/>
  <c r="C24" i="43" s="1"/>
  <c r="J61" i="43"/>
  <c r="C36" i="43"/>
  <c r="E36" i="43" s="1"/>
  <c r="T5" i="43"/>
  <c r="V5" i="43" s="1"/>
  <c r="C35" i="43"/>
  <c r="G35" i="43" s="1"/>
  <c r="I35" i="43" s="1"/>
  <c r="T12" i="43"/>
  <c r="V12" i="43" s="1"/>
  <c r="C37" i="43"/>
  <c r="E37" i="43" s="1"/>
  <c r="T16" i="43"/>
  <c r="V16" i="43" s="1"/>
  <c r="T4" i="43"/>
  <c r="V4" i="43" s="1"/>
  <c r="T3" i="43"/>
  <c r="V3" i="43" s="1"/>
  <c r="T14" i="43"/>
  <c r="V14" i="43" s="1"/>
  <c r="T7" i="43"/>
  <c r="V7" i="43" s="1"/>
  <c r="C34" i="43"/>
  <c r="G34" i="43" s="1"/>
  <c r="I34" i="43" s="1"/>
  <c r="T10" i="43"/>
  <c r="V10" i="43" s="1"/>
  <c r="T15" i="43"/>
  <c r="V15" i="43" s="1"/>
  <c r="T2" i="43"/>
  <c r="V2" i="43" s="1"/>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C39" i="43" l="1"/>
  <c r="C38" i="43"/>
  <c r="T13" i="43"/>
  <c r="V13" i="43" s="1"/>
  <c r="T11" i="43"/>
  <c r="V11" i="43" s="1"/>
  <c r="T8" i="43"/>
  <c r="V8" i="43" s="1"/>
  <c r="C33" i="43"/>
  <c r="G33" i="43" s="1"/>
  <c r="I33" i="43" s="1"/>
  <c r="T9" i="43"/>
  <c r="V9" i="43" s="1"/>
  <c r="T6" i="43"/>
  <c r="V6" i="43" s="1"/>
  <c r="C29" i="43"/>
  <c r="C6" i="59"/>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G38" i="43" l="1"/>
  <c r="I38" i="43" s="1"/>
  <c r="E38" i="43"/>
  <c r="E29" i="43"/>
  <c r="C30" i="43"/>
  <c r="E30" i="43" s="1"/>
  <c r="G39" i="43"/>
  <c r="I39" i="43" s="1"/>
  <c r="E39" i="43"/>
  <c r="C26" i="43" s="1"/>
  <c r="B2" i="43" s="1"/>
  <c r="B3" i="43" s="1"/>
  <c r="D6" i="59"/>
  <c r="M20" i="43" s="1"/>
  <c r="C27" i="43"/>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C20" i="9"/>
  <c r="C19" i="9"/>
  <c r="R50" i="34" l="1"/>
  <c r="C49" i="34" s="1"/>
  <c r="C101" i="9"/>
  <c r="C102" i="9"/>
  <c r="E54" i="34"/>
  <c r="F54" i="34" s="1"/>
  <c r="I53" i="34"/>
  <c r="J53" i="34" s="1"/>
  <c r="I54" i="34"/>
  <c r="J54" i="34" s="1"/>
  <c r="C50" i="34"/>
  <c r="B2"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AC7" i="40"/>
  <c r="V42" i="40" s="1"/>
  <c r="I42" i="40" s="1"/>
  <c r="I46" i="40" s="1"/>
  <c r="J46" i="40" s="1"/>
  <c r="W7" i="40"/>
  <c r="S7" i="40"/>
  <c r="AA7" i="40"/>
  <c r="R42" i="40" s="1"/>
  <c r="R43" i="40" s="1"/>
  <c r="AB7" i="40"/>
  <c r="T42" i="40" s="1"/>
  <c r="G42" i="40" s="1"/>
  <c r="G46" i="40" s="1"/>
  <c r="H46" i="40" s="1"/>
  <c r="U7" i="40"/>
  <c r="D20" i="9"/>
  <c r="D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l="1"/>
  <c r="D14" i="62"/>
  <c r="I102" i="9"/>
  <c r="N48" i="9" s="1"/>
  <c r="I121" i="9"/>
  <c r="I103" i="9" s="1"/>
  <c r="E121" i="9"/>
  <c r="D106" i="9"/>
  <c r="D112" i="9" s="1"/>
  <c r="G121" i="9"/>
  <c r="C103" i="9"/>
  <c r="C104" i="9" l="1"/>
  <c r="E14" i="62"/>
  <c r="B5" i="62"/>
  <c r="F14" i="62"/>
  <c r="D107" i="9"/>
  <c r="D113" i="9" s="1"/>
  <c r="I111" i="9" s="1"/>
  <c r="D126" i="9" s="1"/>
  <c r="I110" i="9"/>
  <c r="D125" i="9" s="1"/>
  <c r="G14" i="62" s="1"/>
  <c r="B6" i="62" s="1"/>
  <c r="D45" i="9"/>
  <c r="D52" i="9" s="1"/>
  <c r="D117" i="9"/>
  <c r="I115" i="9" s="1"/>
  <c r="D6" i="62" l="1"/>
  <c r="C6" i="62"/>
  <c r="D5" i="62"/>
  <c r="C5" i="62"/>
  <c r="C64" i="9"/>
  <c r="C63" i="9" s="1"/>
  <c r="C67" i="9" s="1"/>
  <c r="C68" i="9" s="1"/>
  <c r="D54" i="9" s="1"/>
  <c r="C72" i="9"/>
  <c r="C93" i="9"/>
  <c r="C86" i="9" s="1"/>
  <c r="D53" i="9"/>
  <c r="D48" i="9" s="1"/>
  <c r="N52" i="9" s="1"/>
  <c r="O57" i="9" s="1"/>
  <c r="Q57" i="9" s="1"/>
  <c r="C85" i="9"/>
  <c r="C78" i="9"/>
  <c r="C73" i="9" s="1"/>
  <c r="C79" i="9" s="1"/>
  <c r="C95" i="9" l="1"/>
  <c r="O59" i="9"/>
  <c r="O60" i="9" s="1"/>
  <c r="O58" i="9"/>
  <c r="C80" i="9"/>
  <c r="E80" i="9" s="1"/>
  <c r="E81" i="9" s="1"/>
  <c r="C96" i="9"/>
  <c r="E96" i="9" s="1"/>
  <c r="E97" i="9" s="1"/>
  <c r="C97" i="9" l="1"/>
  <c r="D58" i="9" s="1"/>
  <c r="C81"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<sst xmlns="http://schemas.openxmlformats.org/spreadsheetml/2006/main" count="6802" uniqueCount="2918">
  <si>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</si>
  <si>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</si>
  <si>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</si>
  <si>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</si>
  <si>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</si>
  <si>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</si>
  <si>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</si>
  <si>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</si>
  <si>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</si>
  <si>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</si>
  <si>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</si>
  <si>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</si>
  <si>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</si>
  <si>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</si>
  <si>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</si>
  <si>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</si>
  <si>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</si>
  <si>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</si>
  <si>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</si>
  <si>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</si>
  <si>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</si>
  <si>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</si>
  <si>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</si>
  <si>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</si>
  <si>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</si>
  <si>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</si>
  <si>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</si>
  <si>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</si>
  <si>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</si>
  <si>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</si>
  <si>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</si>
  <si>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</si>
  <si>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</si>
  <si>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</si>
  <si>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</si>
  <si>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</si>
  <si>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</si>
  <si>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</si>
  <si>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</si>
  <si>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</si>
  <si>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</si>
  <si>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</si>
  <si>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</si>
  <si>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</si>
  <si>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</si>
  <si>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</si>
  <si>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</si>
  <si>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</si>
  <si>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</si>
  <si>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</si>
  <si>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</si>
  <si>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</si>
  <si>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</si>
  <si>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</si>
  <si>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</si>
  <si>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</si>
  <si>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</si>
  <si>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</si>
  <si>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</si>
  <si>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</si>
  <si>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</si>
  <si>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</si>
  <si>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</si>
  <si>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</si>
  <si>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</si>
  <si>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</si>
  <si>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</si>
  <si>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</si>
  <si>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</si>
  <si>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</si>
  <si>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</si>
  <si>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</si>
  <si>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</si>
  <si>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</si>
  <si>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</si>
  <si>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</si>
  <si>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</si>
  <si>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</si>
  <si>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</si>
  <si>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</si>
  <si>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</si>
  <si>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</si>
  <si>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</si>
  <si>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</si>
  <si>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</si>
  <si>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</si>
  <si>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</si>
  <si>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</si>
  <si>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</si>
  <si>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</si>
  <si>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</si>
  <si>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</si>
  <si>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</si>
  <si>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</si>
  <si>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</si>
  <si>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</si>
  <si>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</si>
  <si>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</si>
  <si>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</si>
  <si>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</si>
  <si>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</si>
  <si>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</si>
  <si>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</si>
  <si>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</si>
  <si>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</si>
  <si>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</si>
  <si>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</si>
  <si>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</si>
  <si>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</si>
  <si>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</si>
  <si>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</si>
  <si>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</si>
  <si>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</si>
  <si>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</si>
  <si>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</si>
  <si>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</si>
  <si>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</si>
  <si>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</si>
  <si>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</si>
  <si>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</si>
  <si>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</si>
  <si>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</si>
  <si>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</si>
  <si>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</si>
  <si>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</si>
  <si>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</si>
  <si>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</si>
  <si>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</si>
  <si>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</si>
  <si>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</si>
  <si>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</si>
  <si>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</si>
  <si>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</si>
  <si>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</si>
  <si>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</si>
  <si>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</si>
  <si>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</si>
  <si>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</si>
  <si>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</si>
  <si>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</si>
  <si>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</si>
  <si>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</si>
  <si>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</si>
  <si>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</si>
  <si>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</si>
  <si>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</si>
  <si>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</si>
  <si>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</si>
  <si>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</si>
  <si>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</si>
  <si>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</si>
  <si>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</si>
  <si>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</si>
  <si>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</si>
  <si>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</si>
  <si>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</si>
  <si>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</si>
  <si>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</si>
  <si>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</si>
  <si>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</si>
  <si>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</si>
  <si>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</si>
  <si>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</si>
  <si>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</si>
  <si>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</si>
  <si>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</si>
  <si>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</si>
  <si>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</si>
  <si>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</si>
  <si>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</si>
  <si>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</si>
  <si>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</si>
  <si>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</si>
  <si>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</si>
  <si>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</si>
  <si>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</si>
  <si>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</si>
  <si>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</si>
  <si>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</si>
  <si>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</si>
  <si>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</si>
  <si>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</si>
  <si>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</si>
  <si>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</si>
  <si>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</si>
  <si>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</si>
  <si>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</si>
  <si>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</si>
  <si>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</si>
  <si>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</si>
  <si>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</si>
  <si>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</si>
  <si>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</si>
  <si>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</si>
  <si>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</si>
  <si>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</si>
  <si>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</si>
  <si>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</si>
  <si>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</si>
  <si>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</si>
  <si>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</si>
  <si>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</si>
  <si>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</si>
  <si>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</si>
  <si>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</si>
  <si>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</si>
  <si>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</si>
  <si>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</si>
  <si>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</si>
  <si>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</si>
  <si>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</si>
  <si>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</si>
  <si>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</si>
  <si>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</si>
  <si>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</si>
  <si>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</si>
  <si>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</si>
  <si>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</si>
  <si>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</si>
  <si>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</si>
  <si>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</si>
  <si>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</si>
  <si>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</si>
  <si>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</si>
  <si>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</si>
  <si>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</si>
  <si>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</si>
  <si>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</si>
  <si>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</si>
  <si>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</si>
  <si>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</si>
  <si>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</si>
  <si>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</si>
  <si>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</si>
  <si>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</si>
  <si>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</si>
  <si>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</si>
  <si>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</si>
  <si>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</si>
  <si>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</si>
  <si>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</si>
  <si>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</si>
  <si>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</si>
  <si>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</si>
  <si>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</si>
  <si>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</si>
  <si>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</si>
  <si>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</si>
  <si>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</si>
  <si>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</si>
  <si>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</si>
  <si>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</si>
  <si>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</si>
  <si>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</si>
  <si>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</si>
  <si>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</si>
  <si>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</si>
  <si>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</si>
  <si>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</si>
  <si>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</si>
  <si>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</si>
  <si>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</si>
  <si>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</si>
  <si>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</si>
  <si>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</si>
  <si>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</si>
  <si>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</si>
  <si>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</si>
  <si>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</si>
  <si>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</si>
  <si>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</si>
  <si>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</si>
  <si>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</si>
  <si>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</si>
  <si>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</si>
  <si>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</si>
  <si>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</si>
  <si>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</si>
  <si>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</si>
  <si>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</si>
  <si>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</si>
  <si>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</si>
  <si>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</si>
  <si>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</si>
  <si>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</si>
  <si>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</si>
  <si>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</si>
  <si>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</si>
  <si>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</si>
  <si>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</si>
  <si>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</si>
  <si>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</si>
  <si>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</si>
  <si>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</si>
  <si>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</si>
  <si>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</si>
  <si>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</si>
  <si>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</si>
  <si>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</si>
  <si>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</si>
  <si>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</si>
  <si>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</si>
  <si>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</si>
  <si>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</si>
  <si>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</si>
  <si>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</si>
  <si>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</si>
  <si>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</si>
  <si>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</si>
  <si>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</si>
  <si>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</si>
  <si>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</si>
  <si>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</si>
  <si>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</si>
  <si>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</si>
  <si>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</si>
  <si>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</si>
  <si>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</si>
  <si>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</si>
  <si>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</si>
  <si>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</si>
  <si>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</si>
  <si>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</si>
  <si>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</si>
  <si>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</si>
  <si>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</si>
  <si>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</si>
  <si>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</si>
  <si>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</si>
  <si>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</si>
  <si>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</si>
  <si>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</si>
  <si>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</si>
  <si>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</si>
  <si>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</si>
  <si>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</si>
  <si>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</si>
  <si>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</si>
  <si>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</si>
  <si>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</si>
  <si>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</si>
  <si>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</si>
  <si>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</si>
  <si>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</si>
  <si>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</si>
  <si>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</si>
  <si>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</si>
  <si>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</si>
  <si>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</si>
  <si>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</si>
  <si>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</si>
  <si>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</si>
  <si>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</si>
  <si>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</si>
  <si>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</si>
  <si>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</si>
  <si>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</si>
  <si>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</si>
  <si>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</si>
  <si>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</si>
  <si>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</si>
  <si>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</si>
  <si>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</si>
  <si>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</si>
  <si>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</si>
  <si>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</si>
  <si>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</si>
  <si>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</si>
  <si>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</si>
  <si>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</si>
  <si>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</si>
  <si>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</si>
  <si>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</si>
  <si>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</si>
  <si>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</si>
  <si>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</si>
  <si>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</si>
  <si>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</si>
  <si>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</si>
  <si>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</si>
  <si>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</si>
  <si>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</si>
  <si>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</si>
  <si>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</si>
  <si>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</si>
  <si>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</si>
  <si>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</si>
  <si>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</si>
  <si>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</si>
  <si>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</si>
  <si>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</si>
  <si>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</si>
  <si>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</si>
  <si>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</si>
  <si>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</si>
  <si>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</si>
  <si>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</si>
  <si>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</si>
  <si>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</si>
  <si>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</si>
  <si>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</si>
  <si>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</si>
  <si>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</si>
  <si>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</si>
  <si>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</si>
  <si>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</si>
  <si>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</si>
  <si>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</si>
  <si>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</si>
  <si>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</si>
  <si>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</si>
  <si>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</si>
  <si>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</si>
  <si>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</si>
  <si>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</si>
  <si>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</si>
  <si>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</si>
  <si>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</si>
  <si>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</si>
  <si>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</si>
  <si>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</si>
  <si>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</si>
  <si>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</si>
  <si>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</si>
  <si>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</si>
  <si>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</si>
  <si>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</si>
  <si>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</si>
  <si>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</si>
  <si>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</si>
  <si>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</si>
  <si>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</si>
  <si>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</si>
  <si>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</si>
  <si>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</si>
  <si>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</si>
  <si>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</si>
  <si>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</si>
  <si>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</si>
  <si>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</si>
  <si>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</si>
  <si>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</si>
  <si>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</si>
  <si>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</si>
  <si>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</si>
  <si>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</si>
  <si>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</si>
  <si>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</si>
  <si>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</si>
  <si>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</si>
  <si>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</si>
  <si>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</si>
  <si>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</si>
  <si>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</si>
  <si>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</si>
  <si>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</si>
  <si>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</si>
  <si>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</si>
  <si>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</si>
  <si>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</si>
  <si>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</si>
  <si>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</si>
  <si>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</si>
  <si>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</si>
  <si>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</si>
  <si>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</si>
  <si>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</si>
  <si>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</si>
  <si>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</si>
  <si>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</si>
  <si>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</si>
  <si>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</si>
  <si>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</si>
  <si>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</si>
  <si>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</si>
  <si>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</si>
  <si>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</si>
  <si>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</si>
  <si>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</si>
  <si>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</si>
  <si>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</si>
  <si>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</si>
  <si>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</si>
  <si>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</si>
  <si>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</si>
  <si>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</si>
  <si>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</si>
  <si>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</si>
  <si>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</si>
  <si>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</si>
  <si>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</si>
  <si>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</si>
  <si>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</si>
  <si>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</si>
  <si>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</si>
  <si>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</si>
  <si>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</si>
  <si>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</si>
  <si>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</si>
  <si>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</si>
  <si>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</si>
  <si>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</si>
  <si>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</si>
  <si>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</si>
  <si>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</si>
  <si>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</si>
  <si>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</si>
  <si>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</si>
  <si>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</si>
  <si>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</si>
  <si>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</si>
  <si>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</si>
  <si>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</si>
  <si>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</si>
  <si>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</si>
  <si>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</si>
  <si>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</si>
  <si>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</si>
  <si>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</si>
  <si>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</si>
  <si>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</si>
  <si>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</si>
  <si>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</si>
  <si>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</si>
  <si>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</si>
  <si>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</si>
  <si>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</si>
  <si>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</si>
  <si>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</si>
  <si>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</si>
  <si>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</si>
  <si>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</si>
  <si>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</si>
  <si>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</si>
  <si>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</si>
  <si>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</si>
  <si>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</si>
  <si>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</si>
  <si>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</si>
  <si>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</si>
  <si>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</si>
  <si>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</si>
  <si>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</si>
  <si>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</si>
  <si>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</si>
  <si>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</si>
  <si>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</si>
  <si>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</si>
  <si>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</si>
  <si>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</si>
  <si>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</si>
  <si>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</si>
  <si>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</si>
  <si>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</si>
  <si>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</si>
  <si>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</si>
  <si>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</si>
  <si>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</si>
  <si>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</si>
  <si>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</si>
  <si>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</si>
  <si>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</si>
  <si>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</si>
  <si>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</si>
  <si>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</si>
  <si>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</si>
  <si>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</si>
  <si>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</si>
  <si>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</si>
  <si>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</si>
  <si>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</si>
  <si>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</si>
  <si>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</si>
  <si>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</si>
  <si>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</si>
  <si>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</si>
  <si>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</si>
  <si>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</si>
  <si>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</si>
  <si>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</si>
  <si>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</si>
  <si>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</si>
  <si>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</si>
  <si>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</si>
  <si>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</si>
  <si>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</si>
  <si>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</si>
  <si>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</si>
  <si>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</si>
  <si>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</si>
  <si>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</si>
  <si>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</si>
  <si>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</si>
  <si>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</si>
  <si>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</si>
  <si>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</si>
  <si>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</si>
  <si>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</si>
  <si>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</si>
  <si>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</si>
  <si>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</si>
  <si>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</si>
  <si>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</si>
  <si>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</si>
  <si>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</si>
  <si>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</si>
  <si>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</si>
  <si>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</si>
  <si>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</si>
  <si>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</si>
  <si>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</si>
  <si>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</si>
  <si>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</si>
  <si>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</si>
  <si>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</si>
  <si>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</si>
  <si>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</si>
  <si>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</si>
  <si>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</si>
  <si>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</si>
  <si>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</si>
  <si>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</si>
  <si>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</si>
  <si>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</si>
  <si>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</si>
  <si>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</si>
  <si>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</si>
  <si>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</si>
  <si>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</si>
  <si>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</si>
  <si>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</si>
  <si>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</si>
  <si>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</si>
  <si>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</si>
  <si>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</si>
  <si>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</si>
  <si>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</si>
  <si>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</si>
  <si>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</si>
  <si>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</si>
  <si>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</si>
  <si>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</si>
  <si>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</si>
  <si>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</si>
  <si>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</si>
  <si>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</si>
  <si>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</si>
  <si>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</si>
  <si>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</si>
  <si>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</si>
  <si>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</si>
  <si>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</si>
  <si>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</si>
  <si>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</si>
  <si>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</si>
  <si>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</si>
  <si>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</si>
  <si>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</si>
  <si>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</si>
  <si>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</si>
  <si>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</si>
  <si>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</si>
  <si>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</si>
  <si>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</si>
  <si>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</si>
  <si>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</si>
  <si>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</si>
  <si>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</si>
  <si>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</si>
  <si>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</si>
  <si>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</si>
  <si>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</si>
  <si>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</si>
  <si>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</si>
  <si>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</si>
  <si>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</si>
  <si>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</si>
  <si>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</si>
  <si>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</si>
  <si>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</si>
  <si>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</si>
  <si>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</si>
  <si>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</si>
  <si>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</si>
  <si>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</si>
  <si>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</si>
  <si>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</si>
  <si>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</si>
  <si>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</si>
  <si>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</si>
  <si>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</si>
  <si>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</si>
  <si>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</si>
  <si>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</si>
  <si>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</si>
  <si>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</si>
  <si>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</si>
  <si>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</si>
  <si>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</si>
  <si>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</si>
  <si>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</si>
  <si>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</si>
  <si>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</si>
  <si>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</si>
  <si>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</si>
  <si>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</si>
  <si>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</si>
  <si>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</si>
  <si>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</si>
  <si>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</si>
  <si>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</si>
  <si>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</si>
  <si>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</si>
  <si>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</si>
  <si>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</si>
  <si>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</si>
  <si>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</si>
  <si>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</si>
  <si>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</si>
  <si>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</si>
  <si>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</si>
  <si>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</si>
  <si>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</si>
  <si>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</si>
  <si>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</si>
  <si>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</si>
  <si>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</si>
  <si>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</si>
  <si>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</si>
  <si>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</si>
  <si>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</si>
  <si>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</si>
  <si>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</si>
  <si>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</si>
  <si>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</si>
  <si>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</si>
  <si>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</si>
  <si>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</si>
  <si>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</si>
  <si>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</si>
  <si>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</si>
  <si>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</si>
  <si>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</si>
  <si>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</si>
  <si>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</si>
  <si>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</si>
  <si>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</si>
  <si>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</si>
  <si>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</si>
  <si>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</si>
  <si>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</si>
  <si>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</si>
  <si>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</si>
  <si>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</si>
  <si>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</si>
  <si>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</si>
  <si>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</si>
  <si>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</si>
  <si>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</si>
  <si>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</si>
  <si>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</si>
  <si>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</si>
  <si>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</si>
  <si>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</si>
  <si>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</si>
  <si>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</si>
  <si>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</si>
  <si>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</si>
  <si>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</si>
  <si>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</si>
  <si>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</si>
  <si>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</si>
  <si>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</si>
  <si>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</si>
  <si>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</si>
  <si>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</si>
  <si>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</si>
  <si>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</si>
  <si>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</si>
  <si>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</si>
  <si>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</si>
  <si>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</si>
  <si>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</si>
  <si>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</si>
  <si>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</si>
  <si>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</si>
  <si>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</si>
  <si>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</si>
  <si>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</si>
  <si>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</si>
  <si>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</si>
  <si>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</si>
  <si>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</si>
  <si>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</si>
  <si>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</si>
  <si>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</si>
  <si>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</si>
  <si>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</si>
  <si>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</si>
  <si>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</si>
  <si>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</si>
  <si>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</si>
  <si>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</si>
  <si>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</si>
  <si>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</si>
  <si>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</si>
  <si>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</si>
  <si>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</si>
  <si>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</si>
  <si>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</si>
  <si>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</si>
  <si>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</si>
  <si>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</si>
  <si>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</si>
  <si>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</si>
  <si>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</si>
  <si>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</si>
  <si>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</si>
  <si>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</si>
  <si>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</si>
  <si>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</si>
  <si>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</si>
  <si>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</si>
  <si>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</si>
  <si>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</si>
  <si>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</si>
  <si>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</si>
  <si>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</si>
  <si>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</si>
  <si>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</si>
  <si>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</si>
  <si>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</si>
  <si>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</si>
  <si>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</si>
  <si>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</si>
  <si>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</si>
  <si>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</si>
  <si>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</si>
  <si>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</si>
  <si>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</si>
  <si>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</si>
  <si>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</si>
  <si>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</si>
  <si>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</si>
  <si>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</si>
  <si>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</si>
  <si>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</si>
  <si>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</si>
  <si>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</si>
  <si>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</si>
  <si>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</si>
  <si>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</si>
  <si>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</si>
  <si>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</si>
  <si>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</si>
  <si>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</si>
  <si>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</si>
  <si>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</si>
  <si>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</si>
  <si>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</si>
  <si>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</si>
  <si>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</si>
  <si>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</si>
  <si>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</si>
  <si>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</si>
  <si>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</si>
  <si>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</si>
  <si>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</si>
  <si>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</si>
  <si>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</si>
  <si>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</si>
  <si>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</si>
  <si>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</si>
  <si>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</si>
  <si>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</si>
  <si>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</si>
  <si>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</si>
  <si>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</si>
  <si>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</si>
  <si>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</si>
  <si>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</si>
  <si>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</si>
  <si>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</si>
  <si>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</si>
  <si>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</si>
  <si>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</si>
  <si>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</si>
  <si>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</si>
  <si>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</si>
  <si>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</si>
  <si>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</si>
  <si>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</si>
  <si>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</si>
  <si>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</si>
  <si>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</si>
  <si>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</si>
  <si>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</si>
  <si>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</si>
  <si>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</si>
  <si>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</si>
  <si>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</si>
  <si>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</si>
  <si>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</si>
  <si>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</si>
  <si>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</si>
  <si>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</si>
  <si>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</si>
  <si>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</si>
  <si>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</si>
  <si>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</si>
  <si>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</si>
  <si>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</si>
  <si>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</si>
  <si>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</si>
  <si>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</si>
  <si>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</si>
  <si>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</si>
  <si>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</si>
  <si>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</si>
  <si>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</si>
  <si>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</si>
  <si>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</si>
  <si>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</si>
  <si>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</si>
  <si>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</si>
  <si>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</si>
  <si>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</si>
  <si>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</si>
  <si>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</si>
  <si>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</si>
  <si>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</si>
  <si>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</si>
  <si>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</si>
  <si>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</si>
  <si>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</si>
  <si>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</si>
  <si>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</si>
  <si>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</si>
  <si>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</si>
  <si>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</si>
  <si>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</si>
  <si>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</si>
  <si>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</si>
  <si>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</si>
  <si>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</si>
  <si>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</si>
  <si>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</si>
  <si>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</si>
  <si>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</si>
  <si>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</si>
  <si>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</si>
  <si>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</si>
  <si>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</si>
  <si>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</si>
  <si>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</si>
  <si>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</si>
  <si>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</si>
  <si>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</si>
  <si>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</si>
  <si>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</si>
  <si>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</si>
  <si>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</si>
  <si>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</si>
  <si>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</si>
  <si>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</si>
  <si>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</si>
  <si>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</si>
  <si>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</si>
  <si>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</si>
  <si>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</si>
  <si>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</si>
  <si>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</si>
  <si>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</si>
  <si>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</si>
  <si>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</si>
  <si>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</si>
  <si>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</si>
  <si>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</si>
  <si>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</si>
  <si>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</si>
  <si>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</si>
  <si>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</si>
  <si>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</si>
  <si>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</si>
  <si>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</si>
  <si>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</si>
  <si>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</si>
  <si>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</si>
  <si>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</si>
  <si>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</si>
  <si>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</si>
  <si>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</si>
  <si>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</si>
  <si>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</si>
  <si>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</si>
  <si>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</si>
  <si>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</si>
  <si>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</si>
  <si>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</si>
  <si>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</si>
  <si>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</si>
  <si>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</si>
  <si>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</si>
  <si>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</si>
  <si>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</si>
  <si>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</si>
  <si>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</si>
  <si>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</si>
  <si>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</si>
  <si>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</si>
  <si>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</si>
  <si>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</si>
  <si>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</si>
  <si>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</si>
  <si>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</si>
  <si>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</si>
  <si>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</si>
  <si>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</si>
  <si>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</si>
  <si>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</si>
  <si>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</si>
  <si>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</si>
  <si>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</si>
  <si>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</si>
  <si>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</si>
  <si>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</si>
  <si>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</si>
  <si>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</si>
  <si>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</si>
  <si>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</si>
  <si>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</si>
  <si>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</si>
  <si>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</si>
  <si>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</si>
  <si>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</si>
  <si>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</si>
  <si>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</si>
  <si>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</si>
  <si>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</si>
  <si>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</si>
  <si>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</si>
  <si>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</si>
  <si>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</si>
  <si>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</si>
  <si>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</si>
  <si>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</si>
  <si>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</si>
  <si>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</si>
  <si>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</si>
  <si>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</si>
  <si>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</si>
  <si>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</si>
  <si>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</si>
  <si>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</si>
  <si>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</si>
  <si>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</si>
  <si>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</si>
  <si>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</si>
  <si>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</si>
  <si>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</si>
  <si>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</si>
  <si>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</si>
  <si>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</si>
  <si>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</si>
  <si>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</si>
  <si>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</si>
  <si>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</si>
  <si>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</si>
  <si>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</si>
  <si>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</si>
  <si>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</si>
  <si>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</si>
  <si>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</si>
  <si>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</si>
  <si>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</si>
  <si>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</si>
  <si>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</si>
  <si>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</si>
  <si>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</si>
  <si>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</si>
  <si>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</si>
  <si>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</si>
  <si>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</si>
  <si>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</si>
  <si>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</si>
  <si>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</si>
  <si>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</si>
  <si>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</si>
  <si>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</si>
  <si>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</si>
  <si>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</si>
  <si>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</si>
  <si>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</si>
  <si>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</si>
  <si>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</si>
  <si>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</si>
  <si>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</si>
  <si>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</si>
  <si>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</si>
  <si>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</si>
  <si>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</si>
  <si>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</si>
  <si>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</si>
  <si>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</si>
  <si>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</si>
  <si>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</si>
  <si>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</si>
  <si>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</si>
  <si>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</si>
  <si>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</si>
  <si>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</si>
  <si>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</si>
  <si>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</si>
  <si>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</si>
  <si>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</si>
  <si>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</si>
  <si>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</si>
  <si>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</si>
  <si>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</si>
  <si>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</si>
  <si>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</si>
  <si>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</si>
  <si>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</si>
  <si>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</si>
  <si>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</si>
  <si>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</si>
  <si>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</si>
  <si>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</si>
  <si>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</si>
  <si>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</si>
  <si>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</si>
  <si>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</si>
  <si>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</si>
  <si>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</si>
  <si>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</si>
  <si>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</si>
  <si>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</si>
  <si>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</si>
  <si>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</si>
  <si>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</si>
  <si>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</si>
  <si>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</si>
  <si>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</si>
  <si>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</si>
  <si>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</si>
  <si>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</si>
  <si>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</si>
  <si>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</si>
  <si>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</si>
  <si>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</si>
  <si>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</si>
  <si>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</si>
  <si>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</si>
  <si>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</si>
  <si>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</si>
  <si>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</si>
  <si>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</si>
  <si>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</si>
  <si>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</si>
  <si>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</si>
  <si>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</si>
  <si>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</si>
  <si>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</si>
  <si>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</si>
  <si>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</si>
  <si>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</si>
  <si>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</si>
  <si>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</si>
  <si>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</si>
  <si>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</si>
  <si>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</si>
  <si>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</si>
  <si>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</si>
  <si>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</si>
  <si>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</si>
  <si>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</si>
  <si>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</si>
  <si>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</si>
  <si>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</si>
  <si>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</si>
  <si>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</si>
  <si>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</si>
  <si>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</si>
  <si>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</si>
  <si>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</si>
  <si>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</si>
  <si>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</si>
  <si>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</si>
  <si>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</si>
  <si>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</si>
  <si>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</si>
  <si>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</si>
  <si>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</si>
  <si>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</si>
  <si>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</si>
  <si>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</si>
  <si>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</si>
  <si>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</si>
  <si>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</si>
  <si>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</si>
  <si>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</si>
  <si>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</si>
  <si>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</si>
  <si>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</si>
  <si>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</si>
  <si>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</si>
  <si>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</si>
  <si>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</si>
  <si>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</si>
  <si>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</si>
  <si>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</si>
  <si>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</si>
  <si>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</si>
  <si>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</si>
  <si>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</si>
  <si>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</si>
  <si>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</si>
  <si>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</si>
  <si>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</si>
  <si>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</si>
  <si>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</si>
  <si>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</si>
  <si>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</si>
  <si>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</si>
  <si>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</si>
  <si>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</si>
  <si>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</si>
  <si>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</si>
  <si>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</si>
  <si>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</si>
  <si>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</si>
  <si>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</si>
  <si>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</si>
  <si>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</si>
  <si>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</si>
  <si>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</si>
  <si>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</si>
  <si>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</si>
  <si>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</si>
  <si>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</si>
  <si>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</si>
  <si>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</si>
  <si>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</si>
  <si>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</si>
  <si>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</si>
  <si>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</si>
  <si>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</si>
  <si>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</si>
  <si>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</si>
  <si>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</si>
  <si>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</si>
  <si>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</si>
  <si>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</si>
  <si>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</si>
  <si>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</si>
  <si>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</si>
  <si>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</si>
  <si>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</si>
  <si>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</si>
  <si>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</si>
  <si>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</si>
  <si>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</si>
  <si>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</si>
  <si>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</si>
  <si>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</si>
  <si>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</si>
  <si>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</si>
  <si>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</si>
  <si>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</si>
  <si>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</si>
  <si>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</si>
  <si>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</si>
  <si>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</si>
  <si>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</si>
  <si>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</si>
  <si>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</si>
  <si>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</si>
  <si>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</si>
  <si>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</si>
  <si>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</si>
  <si>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</si>
  <si>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</si>
  <si>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</si>
  <si>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</si>
  <si>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</si>
  <si>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</si>
  <si>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</si>
  <si>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</si>
  <si>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</si>
  <si>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</si>
  <si>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</si>
  <si>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</si>
  <si>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</si>
  <si>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</si>
  <si>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</si>
  <si>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</si>
  <si>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</si>
  <si>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</si>
  <si>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</si>
  <si>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</si>
  <si>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</si>
  <si>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</si>
  <si>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</si>
  <si>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</si>
  <si>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</si>
  <si>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</si>
  <si>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</si>
  <si>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</si>
  <si>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</si>
  <si>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</si>
  <si>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</si>
  <si>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</si>
  <si>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</si>
  <si>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</si>
  <si>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</si>
  <si>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</si>
  <si>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</si>
  <si>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</si>
  <si>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</si>
  <si>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</si>
  <si>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</si>
  <si>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</si>
  <si>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</si>
  <si>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</si>
  <si>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</si>
  <si>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</si>
  <si>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</si>
  <si>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</si>
  <si>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</si>
  <si>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</si>
  <si>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</si>
  <si>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</si>
  <si>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</si>
  <si>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</si>
  <si>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</si>
  <si>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</si>
  <si>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</si>
  <si>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</si>
  <si>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</si>
  <si>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</si>
  <si>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</si>
  <si>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</si>
  <si>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</si>
  <si>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</si>
  <si>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</si>
  <si>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</si>
  <si>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</si>
  <si>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</si>
  <si>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</si>
  <si>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</si>
  <si>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</si>
  <si>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</si>
  <si>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</si>
  <si>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</si>
  <si>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</si>
  <si>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</si>
  <si>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</si>
  <si>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</si>
  <si>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</si>
  <si>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</si>
  <si>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</si>
  <si>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</si>
  <si>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</si>
  <si>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</si>
  <si>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</si>
  <si>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</si>
  <si>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</si>
  <si>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</si>
  <si>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</si>
  <si>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</si>
  <si>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</si>
  <si>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</si>
  <si>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</si>
  <si>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</si>
  <si>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</si>
  <si>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</si>
  <si>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</si>
  <si>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</si>
  <si>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</si>
  <si>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</si>
  <si>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</si>
  <si>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</si>
  <si>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</si>
  <si>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</si>
  <si>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</si>
  <si>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</si>
  <si>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</si>
  <si>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</si>
  <si>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</si>
  <si>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</si>
  <si>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</si>
  <si>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</si>
  <si>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</si>
  <si>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</si>
  <si>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</si>
  <si>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</si>
  <si>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</si>
  <si>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</si>
  <si>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</si>
  <si>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</si>
  <si>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</si>
  <si>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</si>
  <si>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</si>
  <si>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</si>
  <si>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</si>
  <si>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</si>
  <si>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</si>
  <si>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</si>
  <si>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</si>
  <si>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</si>
  <si>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</si>
  <si>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</si>
  <si>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</si>
  <si>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</si>
  <si>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</si>
  <si>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</si>
  <si>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</si>
  <si>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</si>
  <si>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</si>
  <si>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</si>
  <si>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</si>
  <si>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</si>
  <si>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</si>
  <si>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</si>
  <si>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</si>
  <si>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</si>
  <si>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</si>
  <si>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</si>
  <si>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</si>
  <si>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</si>
  <si>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</si>
  <si>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</si>
  <si>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</si>
  <si>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</si>
  <si>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</si>
  <si>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</si>
  <si>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</si>
  <si>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</si>
  <si>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</si>
  <si>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</si>
  <si>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</si>
  <si>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</si>
  <si>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</si>
  <si>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</si>
  <si>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</si>
  <si>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</si>
  <si>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</si>
  <si>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</si>
  <si>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</si>
  <si>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</si>
  <si>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</si>
  <si>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</si>
  <si>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</si>
  <si>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</si>
  <si>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</si>
  <si>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</si>
  <si>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</si>
  <si>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</si>
  <si>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</si>
  <si>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</si>
  <si>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</si>
  <si>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</si>
  <si>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</si>
  <si>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</si>
  <si>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</si>
  <si>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</si>
  <si>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</si>
  <si>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</si>
  <si>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</si>
  <si>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</si>
  <si>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</si>
  <si>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</si>
  <si>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</si>
  <si>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</si>
  <si>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</si>
  <si>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</si>
  <si>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</si>
  <si>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</si>
  <si>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</si>
  <si>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</si>
  <si>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</si>
  <si>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</si>
  <si>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</si>
  <si>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</si>
  <si>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</si>
  <si>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</si>
  <si>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</si>
  <si>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</si>
  <si>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</si>
  <si>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</si>
  <si>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</si>
  <si>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</si>
  <si>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</si>
  <si>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</si>
  <si>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</si>
  <si>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</si>
  <si>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</si>
  <si>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</si>
  <si>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</si>
  <si>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</si>
  <si>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</si>
  <si>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</si>
  <si>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</si>
  <si>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</si>
  <si>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</si>
  <si>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</si>
  <si>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</si>
  <si>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</si>
  <si>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</si>
  <si>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</si>
  <si>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</si>
  <si>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</si>
  <si>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</si>
  <si>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</si>
  <si>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</si>
  <si>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</si>
  <si>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</si>
  <si>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</si>
  <si>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</si>
  <si>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</si>
  <si>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</si>
  <si>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</si>
  <si>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</si>
  <si>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</si>
  <si>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</si>
  <si>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</si>
  <si>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</si>
  <si>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</si>
  <si>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</si>
  <si>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</si>
  <si>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</si>
  <si>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</si>
  <si>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</si>
  <si>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</si>
  <si>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</si>
  <si>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</si>
  <si>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</si>
  <si>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</si>
  <si>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</si>
  <si>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</si>
  <si>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</si>
  <si>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</si>
  <si>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</si>
  <si>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</si>
  <si>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</si>
  <si>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</si>
  <si>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</si>
  <si>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</si>
  <si>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</si>
  <si>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</si>
  <si>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</si>
  <si>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</si>
  <si>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</si>
  <si>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</si>
  <si>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</si>
  <si>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</si>
  <si>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</si>
  <si>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</si>
  <si>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</si>
  <si>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</si>
  <si>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</si>
  <si>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</si>
  <si>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</si>
  <si>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</si>
  <si>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</si>
  <si>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</si>
  <si>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</si>
  <si>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</si>
  <si>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</si>
  <si>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</si>
  <si>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</si>
  <si>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</si>
  <si>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</si>
  <si>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</si>
  <si>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</si>
  <si>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</si>
  <si>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</si>
  <si>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</si>
  <si>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</si>
  <si>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</si>
  <si>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</si>
  <si>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</si>
  <si>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</si>
  <si>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</si>
  <si>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</si>
  <si>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</si>
  <si>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</si>
  <si>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</si>
  <si>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</si>
  <si>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</si>
  <si>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</si>
  <si>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</si>
  <si>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</si>
  <si>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</si>
  <si>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</si>
  <si>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</si>
  <si>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</si>
  <si>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</si>
  <si>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</si>
  <si>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</si>
  <si>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</si>
  <si>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</si>
  <si>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</si>
  <si>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</si>
  <si>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</si>
  <si>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</si>
  <si>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</si>
  <si>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</si>
  <si>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</si>
  <si>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</si>
  <si>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</si>
  <si>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</si>
  <si>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</si>
  <si>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</si>
  <si>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</si>
  <si>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</si>
  <si>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</si>
  <si>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</si>
  <si>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</si>
  <si>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</si>
  <si>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</si>
  <si>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</si>
  <si>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</si>
  <si>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</si>
  <si>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</si>
  <si>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</si>
  <si>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</si>
  <si>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</si>
  <si>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</si>
  <si>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</si>
  <si>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</si>
  <si>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</si>
  <si>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</si>
  <si>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</si>
  <si>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</si>
  <si>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</si>
  <si>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</si>
  <si>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</si>
  <si>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</si>
  <si>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</si>
  <si>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</si>
  <si>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</si>
  <si>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</si>
  <si>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</si>
  <si>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</si>
  <si>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</si>
  <si>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</si>
  <si>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</si>
  <si>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</si>
  <si>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</si>
  <si>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</si>
  <si>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</si>
  <si>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</si>
  <si>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</si>
  <si>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</si>
  <si>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</si>
  <si>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</si>
  <si>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</si>
  <si>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</si>
  <si>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</si>
  <si>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</si>
  <si>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</si>
  <si>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</si>
  <si>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</si>
  <si>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</si>
  <si>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</si>
  <si>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</si>
  <si>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</si>
  <si>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</si>
  <si>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</si>
  <si>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</si>
  <si>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</si>
  <si>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</si>
  <si>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</si>
  <si>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</si>
  <si>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</si>
  <si>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</si>
  <si>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</si>
  <si>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</si>
  <si>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</si>
  <si>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</si>
  <si>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</si>
  <si>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</si>
  <si>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</si>
  <si>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</si>
  <si>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</si>
  <si>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</si>
  <si>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</si>
  <si>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</si>
  <si>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</si>
  <si>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</si>
  <si>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</si>
  <si>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</si>
  <si>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</si>
  <si>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</si>
  <si>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</si>
  <si>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</si>
  <si>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</si>
  <si>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</si>
  <si>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</si>
  <si>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</si>
  <si>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</si>
  <si>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</si>
  <si>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</si>
  <si>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</si>
  <si>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</si>
  <si>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</si>
  <si>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</si>
  <si>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</si>
  <si>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</si>
  <si>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</si>
  <si>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</si>
  <si>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</si>
  <si>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</si>
  <si>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</si>
  <si>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</si>
  <si>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</si>
  <si>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</si>
  <si>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</si>
  <si>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</si>
  <si>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</si>
  <si>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</si>
  <si>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</si>
  <si>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</si>
  <si>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</si>
  <si>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</si>
  <si>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</si>
  <si>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</si>
  <si>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</si>
  <si>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</si>
  <si>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</si>
  <si>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</si>
  <si>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</si>
  <si>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</si>
  <si>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</si>
  <si>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</si>
  <si>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</si>
  <si>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</si>
  <si>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</si>
  <si>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</si>
  <si>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</si>
  <si>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</si>
  <si>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</si>
  <si>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</si>
  <si>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</si>
  <si>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</si>
  <si>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</si>
  <si>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</si>
  <si>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</si>
  <si>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</si>
  <si>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</si>
  <si>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</si>
  <si>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</si>
  <si>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</si>
  <si>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</si>
  <si>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</si>
  <si>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</si>
  <si>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</si>
  <si>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</si>
  <si>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</si>
  <si>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</si>
  <si>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</si>
  <si>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</si>
  <si>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</si>
  <si>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</si>
  <si>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</si>
  <si>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</si>
  <si>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</si>
  <si>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</si>
  <si>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</si>
  <si>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</si>
  <si>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</si>
  <si>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</si>
  <si>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</si>
  <si>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</si>
  <si>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</si>
  <si>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</si>
  <si>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</si>
  <si>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</si>
  <si>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</si>
  <si>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</si>
  <si>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</si>
  <si>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</si>
  <si>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</si>
  <si>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</si>
  <si>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</si>
  <si>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</si>
  <si>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</si>
  <si>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</si>
  <si>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</si>
  <si>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</si>
  <si>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</si>
  <si>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</si>
  <si>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</si>
  <si>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</si>
  <si>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</si>
  <si>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</si>
  <si>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</si>
  <si>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</si>
  <si>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</si>
  <si>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</si>
  <si>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</si>
  <si>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</si>
  <si>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</si>
  <si>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</si>
  <si>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</si>
  <si>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</si>
  <si>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</si>
  <si>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</si>
  <si>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</si>
  <si>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</si>
  <si>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</si>
  <si>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</si>
  <si>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</si>
  <si>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</si>
  <si>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</si>
  <si>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</si>
  <si>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</si>
  <si>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</si>
  <si>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</si>
  <si>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</si>
  <si>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</si>
  <si>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</si>
  <si>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</si>
  <si>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</si>
  <si>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</si>
  <si>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</si>
  <si>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</si>
  <si>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</si>
  <si>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</si>
  <si>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</si>
  <si>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</si>
  <si>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</si>
  <si>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</si>
  <si>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</si>
  <si>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</si>
  <si>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</si>
  <si>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</si>
  <si>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</si>
  <si>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</si>
  <si>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</si>
  <si>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</si>
  <si>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</si>
  <si>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</si>
  <si>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</si>
  <si>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</si>
  <si>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</si>
  <si>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</si>
  <si>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</si>
  <si>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</si>
  <si>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</si>
  <si>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</si>
  <si>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</si>
  <si>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</si>
  <si>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</si>
  <si>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</si>
  <si>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</si>
  <si>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</si>
  <si>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</si>
  <si>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</si>
  <si>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</si>
  <si>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</si>
  <si>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</si>
  <si>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</si>
  <si>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</si>
  <si>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</si>
  <si>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</si>
  <si>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</si>
  <si>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</si>
  <si>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</si>
  <si>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</si>
  <si>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</si>
  <si>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</si>
  <si>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</si>
  <si>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</si>
  <si>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</si>
  <si>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</si>
  <si>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</si>
  <si>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</si>
  <si>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</si>
  <si>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</si>
  <si>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</si>
  <si>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</si>
  <si>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</si>
  <si>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</si>
  <si>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</si>
  <si>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</si>
  <si>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</si>
  <si>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</si>
  <si>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</si>
  <si>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</si>
  <si>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</si>
  <si>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</si>
  <si>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</si>
  <si>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</si>
  <si>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</si>
  <si>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</si>
  <si>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</si>
  <si>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</si>
  <si>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</si>
  <si>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</si>
  <si>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</si>
  <si>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</si>
  <si>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</si>
  <si>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</si>
  <si>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</si>
  <si>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</si>
  <si>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</si>
  <si>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</si>
  <si>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</si>
  <si>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</si>
  <si>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</si>
  <si>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</si>
  <si>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</si>
  <si>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</si>
  <si>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</si>
  <si>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</si>
  <si>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</si>
  <si>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</si>
  <si>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</si>
  <si>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</si>
  <si>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</si>
  <si>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</si>
  <si>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</si>
  <si>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</si>
  <si>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</si>
  <si>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</si>
  <si>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</si>
  <si>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</si>
  <si>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</si>
  <si>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</si>
  <si>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</si>
  <si>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</si>
  <si>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</si>
  <si>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</si>
  <si>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</si>
  <si>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</si>
  <si>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</si>
  <si>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</si>
  <si>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</si>
  <si>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</si>
  <si>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</si>
  <si>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</si>
  <si>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</si>
  <si>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</si>
  <si>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</si>
  <si>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</si>
  <si>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</si>
  <si>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</si>
  <si>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</si>
  <si>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</si>
  <si>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</si>
  <si>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</si>
  <si>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</si>
  <si>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</si>
  <si>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</si>
  <si>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</si>
  <si>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</si>
  <si>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</si>
  <si>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</si>
  <si>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</si>
  <si>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</si>
  <si>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</si>
  <si>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</si>
  <si>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</si>
  <si>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</si>
  <si>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</si>
  <si>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</si>
  <si>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</si>
  <si>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</si>
  <si>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</si>
  <si>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</si>
  <si>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</si>
  <si>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</si>
  <si>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</si>
  <si>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</si>
  <si>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</si>
  <si>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</si>
  <si>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</si>
  <si>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</si>
  <si>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</si>
  <si>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</si>
  <si>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</si>
  <si>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</si>
  <si>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</si>
  <si>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</si>
  <si>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</si>
  <si>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</si>
  <si>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</si>
  <si>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</si>
  <si>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</si>
  <si>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</si>
  <si>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</si>
  <si>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</si>
  <si>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</si>
  <si>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</si>
  <si>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</si>
  <si>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</si>
  <si>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</si>
  <si>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</si>
  <si>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</si>
  <si>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</si>
  <si>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</si>
  <si>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</si>
  <si>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</si>
  <si>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</si>
  <si>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</si>
  <si>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</si>
  <si>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</si>
  <si>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</si>
  <si>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</si>
  <si>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</si>
  <si>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</si>
  <si>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</si>
  <si>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</si>
  <si>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</si>
  <si>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</si>
  <si>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</si>
  <si>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</si>
  <si>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</si>
  <si>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</si>
  <si>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</si>
  <si>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</si>
  <si>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</si>
  <si>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</si>
  <si>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</si>
  <si>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</si>
  <si>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</si>
  <si>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</si>
  <si>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</si>
  <si>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</si>
  <si>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</si>
  <si>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</si>
  <si>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</si>
  <si>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</si>
  <si>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</si>
  <si>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</si>
  <si>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</si>
  <si>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</si>
  <si>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</si>
  <si>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</si>
  <si>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</si>
  <si>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</si>
  <si>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</si>
  <si>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</si>
  <si>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</si>
  <si>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</si>
  <si>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</si>
  <si>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</si>
  <si>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</si>
  <si>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</si>
  <si>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</si>
  <si>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</si>
  <si>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</si>
  <si>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</si>
  <si>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</si>
  <si>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</si>
  <si>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</si>
  <si>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</si>
  <si>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</si>
  <si>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</si>
  <si>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</si>
  <si>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</si>
  <si>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</si>
  <si>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</si>
  <si>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</si>
  <si>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</si>
  <si>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</si>
  <si>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</si>
  <si>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</si>
  <si>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</si>
  <si>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</si>
  <si>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</si>
  <si>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</si>
  <si>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</si>
  <si>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</si>
  <si>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</si>
  <si>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</si>
  <si>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</si>
  <si>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</si>
  <si>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</si>
  <si>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</si>
  <si>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</si>
  <si>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</si>
  <si>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</si>
  <si>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</si>
  <si>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</si>
  <si>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</si>
  <si>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</si>
  <si>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</si>
  <si>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</si>
  <si>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</si>
  <si>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</si>
  <si>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</si>
  <si>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</si>
  <si>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</si>
  <si>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</si>
  <si>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</si>
  <si>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</si>
  <si>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</si>
  <si>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</si>
  <si>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</si>
  <si>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</si>
  <si>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</si>
  <si>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</si>
  <si>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</si>
  <si>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</si>
  <si>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</si>
  <si>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</si>
  <si>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</si>
  <si>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</si>
  <si>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</si>
  <si>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</si>
  <si>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</si>
  <si>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</si>
  <si>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</si>
  <si>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</si>
  <si>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</si>
  <si>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</si>
  <si>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</si>
  <si>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</si>
  <si>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</si>
  <si>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</si>
  <si>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</si>
  <si>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</si>
  <si>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</si>
  <si>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</si>
  <si>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</si>
  <si>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</si>
  <si>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</si>
  <si>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</si>
  <si>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</si>
  <si>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</si>
  <si>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</si>
  <si>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</si>
  <si>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</si>
  <si>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</si>
  <si>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</si>
  <si>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</si>
  <si>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</si>
  <si>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</si>
  <si>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</si>
  <si>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</si>
  <si>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</si>
  <si>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</si>
  <si>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</si>
  <si>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</si>
  <si>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</si>
  <si>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</si>
  <si>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</si>
  <si>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</si>
  <si>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</si>
  <si>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</si>
  <si>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</si>
  <si>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</si>
  <si>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</si>
  <si>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</si>
  <si>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</si>
  <si>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</si>
  <si>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</si>
  <si>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</si>
  <si>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</si>
  <si>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</si>
  <si>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</si>
  <si>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</si>
  <si>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</si>
  <si>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</si>
  <si>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</si>
  <si>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</si>
  <si>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</si>
  <si>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</si>
  <si>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</si>
  <si>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</si>
  <si>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</si>
  <si>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</si>
  <si>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</si>
  <si>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</si>
  <si>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</si>
  <si>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</si>
  <si>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</si>
  <si>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</si>
  <si>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</si>
  <si>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</si>
  <si>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</si>
  <si>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</si>
  <si>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</si>
  <si>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</si>
  <si>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</si>
  <si>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</si>
  <si>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</si>
  <si>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</si>
  <si>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</si>
  <si>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</si>
  <si>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</si>
  <si>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</si>
  <si>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</si>
  <si>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</si>
  <si>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</si>
  <si>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</si>
  <si>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</si>
  <si>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</si>
  <si>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</si>
  <si>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</si>
  <si>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</si>
  <si>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</si>
  <si>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</si>
  <si>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</si>
  <si>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</si>
  <si>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</si>
  <si>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</si>
  <si>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</si>
  <si>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</si>
  <si>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</si>
  <si>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</si>
  <si>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</si>
  <si>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</si>
  <si>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</si>
  <si>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</si>
  <si>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</si>
  <si>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</si>
  <si>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</si>
  <si>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</si>
  <si>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</si>
  <si>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</si>
  <si>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</si>
  <si>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</si>
  <si>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</si>
  <si>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</si>
  <si>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</si>
  <si>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</si>
  <si>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</si>
  <si>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</si>
  <si>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</si>
  <si>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</si>
  <si>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</si>
  <si>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</si>
  <si>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</si>
  <si>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</si>
  <si>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</si>
  <si>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</si>
  <si>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</si>
  <si>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</si>
  <si>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</si>
  <si>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</si>
  <si>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</si>
  <si>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</si>
  <si>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</si>
  <si>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</si>
  <si>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</si>
  <si>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</si>
  <si>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</si>
  <si>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</si>
  <si>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</si>
  <si>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</si>
  <si>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</si>
  <si>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</si>
  <si>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</si>
  <si>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</si>
  <si>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</si>
  <si>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</si>
  <si>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</si>
  <si>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</si>
  <si>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</si>
  <si>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</si>
  <si>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</si>
  <si>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</si>
  <si>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</si>
  <si>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</si>
  <si>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</si>
  <si>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</si>
  <si>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</si>
  <si>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</si>
  <si>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</si>
  <si>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</si>
  <si>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</si>
  <si>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</si>
  <si>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</si>
  <si>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</si>
  <si>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</si>
  <si>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</si>
  <si>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</si>
  <si>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</si>
  <si>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</si>
  <si>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</si>
  <si>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</si>
  <si>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</si>
  <si>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</si>
  <si>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</si>
  <si>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</si>
  <si>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</si>
  <si>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</si>
  <si>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</si>
  <si>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</si>
  <si>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</si>
  <si>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</si>
  <si>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</si>
  <si>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</si>
  <si>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</si>
  <si>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</si>
  <si>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</si>
  <si>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</si>
  <si>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</si>
  <si>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</si>
  <si>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</si>
  <si>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</si>
  <si>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</si>
  <si>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</si>
  <si>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</si>
  <si>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</si>
  <si>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</si>
  <si>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</si>
  <si>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</si>
  <si>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</si>
  <si>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</si>
  <si>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</si>
  <si>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</si>
  <si>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</si>
  <si>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</si>
  <si>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</si>
  <si>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</si>
  <si>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</si>
  <si>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</si>
  <si>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</si>
  <si>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</si>
  <si>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</si>
  <si>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</si>
  <si>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</si>
  <si>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</si>
  <si>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</si>
  <si>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</si>
  <si>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</si>
  <si>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</si>
  <si>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</si>
  <si>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</si>
  <si>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</si>
  <si>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</si>
  <si>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</si>
  <si>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</si>
  <si>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</si>
  <si>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</si>
  <si>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</si>
  <si>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</si>
  <si>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</si>
  <si>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</si>
  <si>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</si>
  <si>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</si>
  <si>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</si>
  <si>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</si>
  <si>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</si>
  <si>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</si>
  <si>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</si>
  <si>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</si>
  <si>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</si>
  <si>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</si>
  <si>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</si>
  <si>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</si>
  <si>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</si>
  <si>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</si>
  <si>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</si>
  <si>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</si>
  <si>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</si>
  <si>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</si>
  <si>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</si>
  <si>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</si>
  <si>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</si>
  <si>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</si>
  <si>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</si>
  <si>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</si>
  <si>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</si>
  <si>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</si>
  <si>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</si>
  <si>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</si>
  <si>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</si>
  <si>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</si>
  <si>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</si>
  <si>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</si>
  <si>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</si>
  <si>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</si>
  <si>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</si>
  <si>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</si>
  <si>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</si>
  <si>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</si>
  <si>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</si>
  <si>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</si>
  <si>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</si>
  <si>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</si>
  <si>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</si>
  <si>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</si>
  <si>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</si>
  <si>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</si>
  <si>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</si>
  <si>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</si>
  <si>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</si>
  <si>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</si>
  <si>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</si>
  <si>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</si>
  <si>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</si>
  <si>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</si>
  <si>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</si>
  <si>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</si>
  <si>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</si>
  <si>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</si>
  <si>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</si>
  <si>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</si>
  <si>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</si>
  <si>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</si>
  <si>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</si>
  <si>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</si>
  <si>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</si>
  <si>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</si>
  <si>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</si>
  <si>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</si>
  <si>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</si>
  <si>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</si>
  <si>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</si>
  <si>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</si>
  <si>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</si>
  <si>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</si>
  <si>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</si>
  <si>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</si>
  <si>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</si>
  <si>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</si>
  <si>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</si>
  <si>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</si>
  <si>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</si>
  <si>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</si>
  <si>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</si>
  <si>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</si>
  <si>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</si>
  <si>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</si>
  <si>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</si>
  <si>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</si>
  <si>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</si>
  <si>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</si>
  <si>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</si>
  <si>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</si>
  <si>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</si>
  <si>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</si>
  <si>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</si>
  <si>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</si>
  <si>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</si>
  <si>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</si>
  <si>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</si>
  <si>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</si>
  <si>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</si>
  <si>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</si>
  <si>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</si>
  <si>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</si>
  <si>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</si>
  <si>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</si>
  <si>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</si>
  <si>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</si>
  <si>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</si>
  <si>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</si>
  <si>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</si>
  <si>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</si>
  <si>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</si>
  <si>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</si>
  <si>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</si>
  <si>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</si>
  <si>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</si>
  <si>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</si>
  <si>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</si>
  <si>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</si>
  <si>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</si>
  <si>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</si>
  <si>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</si>
  <si>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</si>
  <si>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</si>
  <si>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</si>
  <si>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</si>
  <si>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</si>
  <si>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</si>
  <si>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</si>
  <si>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</si>
  <si>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</si>
  <si>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</si>
  <si>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</si>
  <si>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</si>
  <si>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</si>
  <si>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</si>
  <si>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</si>
  <si>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</si>
  <si>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</si>
  <si>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</si>
  <si>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</si>
  <si>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</si>
  <si>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</si>
  <si>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</si>
  <si>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</si>
  <si>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</si>
  <si>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</si>
  <si>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</si>
  <si>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</si>
  <si>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</si>
  <si>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</si>
  <si>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</si>
  <si>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</si>
  <si>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</si>
  <si>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</si>
  <si>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</si>
  <si>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</si>
  <si>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</si>
  <si>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</si>
  <si>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</si>
  <si>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</si>
  <si>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</si>
  <si>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</si>
  <si>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</si>
  <si>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</si>
  <si>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</si>
  <si>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</si>
  <si>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</si>
  <si>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</si>
  <si>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</si>
  <si>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</si>
  <si>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</si>
  <si>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</si>
  <si>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</si>
  <si>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</si>
  <si>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</si>
  <si>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</si>
  <si>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</si>
  <si>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</si>
  <si>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</si>
  <si>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</si>
  <si>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</si>
  <si>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</si>
  <si>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</si>
  <si>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</si>
  <si>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</si>
  <si>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</si>
  <si>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</si>
  <si>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</si>
  <si>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</si>
  <si>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</si>
  <si>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</si>
  <si>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</si>
  <si>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</si>
  <si>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</si>
  <si>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</si>
  <si>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</si>
  <si>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</si>
  <si>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</si>
  <si>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</si>
  <si>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</si>
  <si>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</si>
  <si>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</si>
  <si>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</si>
  <si>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</si>
  <si>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</si>
  <si>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</si>
  <si>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</si>
  <si>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</si>
  <si>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</si>
  <si>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</si>
  <si>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</si>
  <si>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</si>
  <si>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</si>
  <si>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</si>
  <si>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</si>
  <si>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</si>
  <si>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</si>
  <si>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</si>
  <si>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</si>
  <si>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</si>
  <si>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</si>
  <si>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</si>
  <si>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</si>
  <si>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</si>
  <si>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</si>
  <si>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</si>
  <si>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</si>
  <si>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</si>
  <si>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</si>
  <si>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</si>
  <si>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</si>
  <si>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</si>
  <si>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</si>
  <si>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</si>
  <si>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</si>
  <si>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</si>
  <si>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</si>
  <si>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</si>
  <si>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</si>
  <si>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</si>
  <si>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</si>
  <si>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</si>
  <si>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</si>
  <si>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</si>
  <si>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</si>
  <si>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</si>
  <si>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</si>
  <si>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</si>
  <si>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</si>
  <si>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</si>
  <si>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</si>
  <si>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</si>
  <si>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</si>
  <si>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</si>
  <si>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</si>
  <si>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</si>
  <si>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</si>
  <si>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</si>
  <si>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</si>
  <si>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</si>
  <si>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</si>
  <si>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</si>
  <si>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</si>
  <si>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</si>
  <si>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</si>
  <si>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</si>
  <si>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</si>
  <si>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</si>
  <si>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</si>
  <si>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</si>
  <si>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</si>
  <si>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</si>
  <si>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</si>
  <si>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</si>
  <si>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</si>
  <si>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</si>
  <si>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</si>
  <si>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</si>
  <si>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</si>
  <si>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</si>
  <si>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</si>
  <si>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</si>
  <si>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</si>
  <si>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</si>
  <si>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</si>
  <si>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</si>
  <si>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</si>
  <si>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</si>
  <si>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</si>
  <si>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</si>
  <si>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</si>
  <si>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</si>
  <si>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</si>
  <si>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</si>
  <si>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</si>
  <si>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</si>
  <si>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</si>
  <si>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</si>
  <si>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</si>
  <si>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</si>
  <si>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</si>
  <si>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</si>
  <si>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</si>
  <si>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</si>
  <si>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</si>
  <si>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</si>
  <si>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</si>
  <si>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</si>
  <si>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</si>
  <si>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</si>
  <si>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</si>
  <si>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</si>
  <si>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</si>
  <si>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</si>
  <si>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</si>
  <si>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</si>
  <si>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</si>
  <si>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</si>
  <si>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</si>
  <si>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</si>
  <si>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</si>
  <si>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</si>
  <si>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</si>
  <si>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</si>
  <si>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</si>
  <si>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</si>
  <si>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</si>
  <si>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</si>
  <si>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</si>
  <si>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</si>
  <si>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</si>
  <si>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</si>
  <si>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</si>
  <si>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</si>
  <si>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</si>
  <si>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</si>
  <si>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</si>
  <si>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</si>
  <si>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</si>
  <si>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</si>
  <si>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</si>
  <si>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</si>
  <si>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</si>
  <si>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</si>
  <si>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</si>
  <si>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</si>
  <si>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</si>
  <si>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</si>
  <si>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</si>
  <si>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</si>
  <si>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</si>
  <si>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</si>
  <si>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</si>
  <si>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</si>
  <si>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</si>
  <si>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</si>
  <si>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</si>
  <si>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</si>
  <si>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</si>
  <si>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</si>
  <si>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</si>
  <si>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</si>
  <si>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</si>
  <si>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</si>
  <si>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</si>
  <si>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</si>
  <si>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</si>
  <si>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</si>
  <si>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</si>
  <si>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</si>
  <si>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</si>
  <si>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</si>
  <si>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</si>
  <si>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</si>
  <si>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</si>
  <si>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</si>
  <si>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</si>
  <si>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</si>
  <si>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</si>
  <si>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</si>
  <si>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</si>
  <si>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</si>
  <si>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</si>
  <si>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</si>
  <si>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</si>
  <si>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</si>
  <si>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</si>
  <si>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</si>
  <si>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</si>
  <si>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</si>
  <si>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</si>
  <si>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</si>
  <si>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</si>
  <si>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</si>
  <si>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</si>
  <si>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</si>
  <si>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</si>
  <si>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</si>
  <si>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</si>
  <si>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</si>
  <si>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</si>
  <si>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</si>
  <si>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</si>
  <si>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</si>
  <si>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</si>
  <si>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</si>
  <si>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</si>
  <si>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</si>
  <si>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</si>
  <si>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</si>
  <si>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</si>
  <si>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</si>
  <si>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</si>
  <si>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</si>
  <si>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</si>
  <si>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</si>
  <si>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</si>
  <si>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</si>
  <si>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</si>
  <si>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</si>
  <si>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</si>
  <si>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</si>
  <si>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</si>
  <si>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</si>
  <si>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</si>
  <si>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</si>
  <si>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</si>
  <si>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</si>
  <si>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</si>
  <si>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</si>
  <si>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</si>
  <si>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</si>
  <si>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</si>
  <si>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</si>
  <si>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</si>
  <si>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</si>
  <si>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</si>
  <si>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</si>
  <si>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</si>
  <si>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</si>
  <si>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</si>
  <si>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</si>
  <si>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</si>
  <si>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</si>
  <si>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</si>
  <si>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</si>
  <si>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</si>
  <si>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</si>
  <si>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</si>
  <si>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</si>
  <si>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</si>
  <si>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</si>
  <si>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</si>
  <si>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</si>
  <si>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</si>
  <si>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</si>
  <si>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</si>
  <si>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</si>
  <si>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</si>
  <si>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</si>
  <si>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</si>
  <si>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</si>
  <si>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</si>
  <si>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</si>
  <si>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</si>
  <si>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</si>
  <si>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</si>
  <si>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</si>
  <si>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</si>
  <si>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</si>
  <si>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</si>
  <si>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</si>
  <si>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</si>
  <si>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</si>
  <si>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</si>
  <si>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</si>
  <si>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</si>
  <si>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</si>
  <si>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</si>
  <si>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</si>
  <si>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</si>
  <si>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</si>
  <si>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</si>
  <si>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</si>
  <si>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</si>
  <si>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</si>
  <si>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</si>
  <si>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</si>
  <si>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</si>
  <si>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</si>
  <si>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</si>
  <si>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</si>
  <si>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</si>
  <si>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</si>
  <si>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</si>
  <si>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</si>
  <si>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</si>
  <si>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</si>
  <si>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</si>
  <si>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</si>
  <si>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</si>
  <si>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</si>
  <si>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</si>
  <si>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</si>
  <si>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</si>
  <si>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</si>
  <si>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</si>
  <si>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</si>
  <si>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</si>
  <si>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</si>
  <si>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</si>
  <si>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</si>
  <si>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</si>
  <si>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</si>
  <si>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</si>
  <si>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</si>
  <si>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</si>
  <si>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</si>
  <si>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</si>
  <si>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</si>
  <si>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</si>
  <si>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</si>
  <si>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</si>
  <si>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</si>
  <si>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</si>
  <si>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</si>
  <si>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</si>
  <si>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</si>
  <si>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</si>
  <si>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</si>
  <si>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</si>
  <si>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</si>
  <si>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</si>
  <si>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</si>
  <si>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</si>
  <si>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</si>
  <si>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</si>
  <si>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</si>
  <si>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</si>
  <si>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</si>
  <si>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</si>
  <si>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</si>
  <si>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</si>
  <si>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</si>
  <si>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</si>
  <si>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</si>
  <si>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</si>
  <si>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抵押</t>
  </si>
  <si>
    <t>房地产抵押价值</t>
  </si>
  <si>
    <t>北京市</t>
  </si>
  <si>
    <t>自然人</t>
  </si>
  <si>
    <t>万元</t>
  </si>
  <si>
    <t>总价</t>
  </si>
  <si>
    <t>办公</t>
  </si>
  <si>
    <t>无租约</t>
  </si>
  <si>
    <t>利息：取LPR加浮动点数</t>
  </si>
  <si>
    <t>估价对象1（结果表）</t>
  </si>
  <si>
    <t>钢混</t>
  </si>
  <si>
    <t>非生产用房</t>
  </si>
  <si>
    <t>否</t>
  </si>
  <si>
    <t>未包含在土地购买价格中</t>
  </si>
  <si>
    <t>已包含在土地取得成本中</t>
  </si>
  <si>
    <t>商务金融用地（办公类）</t>
  </si>
  <si>
    <t>不临58条商业街</t>
  </si>
  <si>
    <t>通路</t>
  </si>
  <si>
    <t>通电</t>
  </si>
  <si>
    <t>通讯</t>
  </si>
  <si>
    <t>通上水</t>
  </si>
  <si>
    <t>通下水</t>
  </si>
  <si>
    <t>平整</t>
  </si>
  <si>
    <t>收益法</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</si>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</sst>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估价对象为北京市房地产，为XX所有。根据《》[]，估价对象建筑面积为85.14平方米。根据《》[]，估价对象（分摊）出让国有建设用地使用权面积为平方米。估价对象用途为。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2021年9月22日</v>
      </c>
    </row>
    <row r="10" spans="1:2">
      <c r="A10" s="1210" t="s">
        <v>1103</v>
      </c>
      <c r="B10" s="1197" t="str">
        <f>'预评函-1'!A13</f>
        <v>本次估价的“房地产价值”是指在正常市场情况下，在价值时点2021年9月22日，估价对象规划用途为，假定未设立法定优先受偿款下的房地产市场价值。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85.14</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G14" sqref="G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44461</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2720</v>
      </c>
      <c r="C4" s="2892" t="s">
        <v>1533</v>
      </c>
      <c r="D4" s="1429" t="s">
        <v>2893</v>
      </c>
      <c r="E4" s="824"/>
      <c r="F4" s="824"/>
      <c r="G4" s="1192"/>
    </row>
    <row r="5" spans="1:17">
      <c r="A5" s="1430" t="s">
        <v>1534</v>
      </c>
      <c r="B5" s="1431" t="s">
        <v>2721</v>
      </c>
      <c r="C5" s="2893" t="s">
        <v>1535</v>
      </c>
      <c r="D5" s="1433" t="s">
        <v>2894</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2895</v>
      </c>
      <c r="C6" s="2598" t="s">
        <v>2722</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2896</v>
      </c>
      <c r="C7" s="1525" t="str">
        <f>IF(B7="自然人","姓名","名称")</f>
        <v>姓名</v>
      </c>
      <c r="D7" s="1438" t="s">
        <v>2721</v>
      </c>
      <c r="E7" s="825"/>
      <c r="F7" s="825"/>
      <c r="G7" s="1193"/>
    </row>
    <row r="8" spans="1:17" ht="13.5" thickTop="1">
      <c r="A8" s="3225" t="s">
        <v>1540</v>
      </c>
      <c r="B8" s="1439" t="s">
        <v>1541</v>
      </c>
      <c r="C8" s="3237"/>
      <c r="D8" s="3238"/>
      <c r="E8" s="2601" t="s">
        <v>1542</v>
      </c>
      <c r="F8" s="2602" t="s">
        <v>1543</v>
      </c>
      <c r="G8" s="2603" t="str">
        <f>C6</f>
        <v>XX</v>
      </c>
    </row>
    <row r="9" spans="1:17">
      <c r="A9" s="3225"/>
      <c r="B9" s="259" t="s">
        <v>1544</v>
      </c>
      <c r="C9" s="1431"/>
      <c r="D9" s="1440"/>
      <c r="E9" s="2897" t="s">
        <v>1545</v>
      </c>
      <c r="F9" s="2604" t="s">
        <v>485</v>
      </c>
      <c r="G9" s="2605"/>
    </row>
    <row r="10" spans="1:17" ht="13.5" thickBot="1">
      <c r="A10" s="3225"/>
      <c r="B10" s="259" t="s">
        <v>1546</v>
      </c>
      <c r="C10" s="3239"/>
      <c r="D10" s="3240"/>
      <c r="E10" s="2898" t="s">
        <v>1547</v>
      </c>
      <c r="F10" s="2606" t="s">
        <v>263</v>
      </c>
      <c r="G10" s="2607"/>
    </row>
    <row r="11" spans="1:17" ht="13.5" thickBot="1">
      <c r="A11" s="3225"/>
      <c r="B11" s="1442" t="s">
        <v>1548</v>
      </c>
      <c r="C11" s="3241"/>
      <c r="D11" s="3242"/>
      <c r="E11" s="811"/>
      <c r="F11" s="811"/>
      <c r="G11" s="830"/>
    </row>
    <row r="12" spans="1:17" ht="13.5" thickBot="1">
      <c r="A12" s="3228" t="s">
        <v>2829</v>
      </c>
      <c r="B12" s="2899" t="s">
        <v>1549</v>
      </c>
      <c r="C12" s="808">
        <v>85.14</v>
      </c>
      <c r="D12" s="1443" t="s">
        <v>1550</v>
      </c>
      <c r="E12" s="1444"/>
      <c r="F12" s="1445"/>
      <c r="G12" s="830"/>
    </row>
    <row r="13" spans="1:17" ht="21" customHeight="1" thickBot="1">
      <c r="A13" s="3229"/>
      <c r="B13" s="2900" t="s">
        <v>1551</v>
      </c>
      <c r="C13" s="809"/>
      <c r="D13" s="1446" t="s">
        <v>1552</v>
      </c>
      <c r="E13" s="1447"/>
      <c r="F13" s="811"/>
      <c r="G13" s="830"/>
      <c r="I13" s="3214"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1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1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3" t="s">
        <v>1559</v>
      </c>
      <c r="C17" s="3244"/>
      <c r="D17" s="3245" t="s">
        <v>1560</v>
      </c>
      <c r="E17" s="3246"/>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4" t="s">
        <v>2828</v>
      </c>
      <c r="B24" s="3224"/>
      <c r="C24" s="3224"/>
      <c r="D24" s="3224"/>
      <c r="E24" s="3224"/>
      <c r="F24" s="3224"/>
      <c r="G24" s="322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1" t="s">
        <v>1573</v>
      </c>
      <c r="D28" s="3232"/>
      <c r="E28" s="801"/>
      <c r="F28" s="803" t="s">
        <v>1573</v>
      </c>
      <c r="G28" s="801"/>
      <c r="K28" s="2904"/>
    </row>
    <row r="29" spans="1:66">
      <c r="A29" s="804" t="s">
        <v>1574</v>
      </c>
      <c r="B29" s="798"/>
      <c r="C29" s="3233" t="s">
        <v>1575</v>
      </c>
      <c r="D29" s="3234"/>
      <c r="E29" s="798"/>
      <c r="F29" s="804" t="s">
        <v>1575</v>
      </c>
      <c r="G29" s="798"/>
      <c r="K29" s="2904"/>
    </row>
    <row r="30" spans="1:66">
      <c r="A30" s="804" t="s">
        <v>1576</v>
      </c>
      <c r="B30" s="798"/>
      <c r="C30" s="3233" t="s">
        <v>1576</v>
      </c>
      <c r="D30" s="3234"/>
      <c r="E30" s="798"/>
      <c r="F30" s="804" t="s">
        <v>1577</v>
      </c>
      <c r="G30" s="798"/>
      <c r="K30" s="2904"/>
    </row>
    <row r="31" spans="1:66">
      <c r="A31" s="804" t="s">
        <v>1578</v>
      </c>
      <c r="B31" s="798"/>
      <c r="C31" s="3221" t="s">
        <v>1579</v>
      </c>
      <c r="D31" s="811"/>
      <c r="E31" s="2627" t="str">
        <f>E32&amp;" "&amp;E33&amp;" "&amp;E34&amp;" "&amp;E35</f>
        <v xml:space="preserve">   </v>
      </c>
      <c r="F31" s="804" t="s">
        <v>1580</v>
      </c>
      <c r="G31" s="798"/>
    </row>
    <row r="32" spans="1:66">
      <c r="A32" s="804" t="s">
        <v>1581</v>
      </c>
      <c r="B32" s="798"/>
      <c r="C32" s="3222"/>
      <c r="D32" s="259" t="s">
        <v>1582</v>
      </c>
      <c r="E32" s="798"/>
      <c r="F32" s="804" t="s">
        <v>1583</v>
      </c>
      <c r="G32" s="798"/>
    </row>
    <row r="33" spans="1:7" ht="24.75" thickBot="1">
      <c r="A33" s="805" t="s">
        <v>1584</v>
      </c>
      <c r="B33" s="802"/>
      <c r="C33" s="3222"/>
      <c r="D33" s="259" t="s">
        <v>1585</v>
      </c>
      <c r="E33" s="798"/>
      <c r="F33" s="804" t="s">
        <v>1586</v>
      </c>
      <c r="G33" s="798"/>
    </row>
    <row r="34" spans="1:7">
      <c r="A34" s="803" t="s">
        <v>1587</v>
      </c>
      <c r="B34" s="801"/>
      <c r="C34" s="3222"/>
      <c r="D34" s="259" t="s">
        <v>1588</v>
      </c>
      <c r="E34" s="798"/>
      <c r="F34" s="804" t="s">
        <v>1589</v>
      </c>
      <c r="G34" s="798"/>
    </row>
    <row r="35" spans="1:7" ht="13.5" thickBot="1">
      <c r="A35" s="804" t="s">
        <v>1590</v>
      </c>
      <c r="B35" s="798"/>
      <c r="C35" s="3223"/>
      <c r="D35" s="259" t="s">
        <v>1591</v>
      </c>
      <c r="E35" s="798"/>
      <c r="F35" s="805" t="s">
        <v>1592</v>
      </c>
      <c r="G35" s="2628"/>
    </row>
    <row r="36" spans="1:7">
      <c r="A36" s="804" t="s">
        <v>1549</v>
      </c>
      <c r="B36" s="798"/>
      <c r="C36" s="3233" t="s">
        <v>1593</v>
      </c>
      <c r="D36" s="3234"/>
      <c r="E36" s="798"/>
      <c r="F36" s="2629" t="s">
        <v>1594</v>
      </c>
      <c r="G36" s="801"/>
    </row>
    <row r="37" spans="1:7" ht="13.5" thickBot="1">
      <c r="A37" s="804" t="s">
        <v>1595</v>
      </c>
      <c r="B37" s="798"/>
      <c r="C37" s="3235" t="s">
        <v>1596</v>
      </c>
      <c r="D37" s="3236"/>
      <c r="E37" s="802"/>
      <c r="F37" s="1463" t="s">
        <v>1597</v>
      </c>
      <c r="G37" s="798"/>
    </row>
    <row r="38" spans="1:7" ht="13.5" thickBot="1">
      <c r="A38" s="804" t="s">
        <v>1598</v>
      </c>
      <c r="B38" s="798"/>
      <c r="C38" s="3219" t="s">
        <v>1599</v>
      </c>
      <c r="D38" s="1443" t="s">
        <v>1583</v>
      </c>
      <c r="E38" s="801"/>
      <c r="F38" s="805" t="s">
        <v>1600</v>
      </c>
      <c r="G38" s="802"/>
    </row>
    <row r="39" spans="1:7">
      <c r="A39" s="804" t="s">
        <v>1601</v>
      </c>
      <c r="B39" s="798"/>
      <c r="C39" s="3226"/>
      <c r="D39" s="259" t="s">
        <v>1590</v>
      </c>
      <c r="E39" s="798"/>
      <c r="F39" s="803" t="s">
        <v>1602</v>
      </c>
      <c r="G39" s="801"/>
    </row>
    <row r="40" spans="1:7">
      <c r="A40" s="804" t="s">
        <v>1603</v>
      </c>
      <c r="B40" s="798"/>
      <c r="C40" s="3226" t="s">
        <v>1604</v>
      </c>
      <c r="D40" s="259" t="s">
        <v>1549</v>
      </c>
      <c r="E40" s="798"/>
      <c r="F40" s="804" t="s">
        <v>1605</v>
      </c>
      <c r="G40" s="798"/>
    </row>
    <row r="41" spans="1:7" ht="24.75" customHeight="1" thickBot="1">
      <c r="A41" s="805" t="s">
        <v>1606</v>
      </c>
      <c r="B41" s="802"/>
      <c r="C41" s="3227"/>
      <c r="D41" s="1446" t="s">
        <v>1551</v>
      </c>
      <c r="E41" s="802"/>
      <c r="F41" s="805" t="s">
        <v>1607</v>
      </c>
      <c r="G41" s="802"/>
    </row>
    <row r="42" spans="1:7">
      <c r="A42" s="806" t="s">
        <v>1608</v>
      </c>
      <c r="B42" s="2630"/>
      <c r="C42" s="3215" t="s">
        <v>1608</v>
      </c>
      <c r="D42" s="321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17" t="s">
        <v>1611</v>
      </c>
      <c r="D49" s="3218"/>
      <c r="E49" s="820"/>
      <c r="F49" s="805" t="s">
        <v>1612</v>
      </c>
      <c r="G49" s="802"/>
    </row>
    <row r="50" spans="1:66">
      <c r="A50" s="804" t="s">
        <v>1613</v>
      </c>
      <c r="B50" s="819"/>
      <c r="C50" s="3219" t="s">
        <v>1614</v>
      </c>
      <c r="D50" s="3220"/>
      <c r="E50" s="2632"/>
      <c r="F50" s="837"/>
      <c r="G50" s="838"/>
    </row>
    <row r="51" spans="1:66" ht="13.5" thickBot="1">
      <c r="A51" s="804" t="s">
        <v>1615</v>
      </c>
      <c r="B51" s="819"/>
      <c r="C51" s="3227" t="s">
        <v>1616</v>
      </c>
      <c r="D51" s="323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I38" sqref="I3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44461</v>
      </c>
      <c r="C2" s="1685"/>
      <c r="D2" s="324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2897</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2898</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85.14</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2899</v>
      </c>
      <c r="C10" s="1685"/>
      <c r="D10" s="2923" t="s">
        <v>1628</v>
      </c>
      <c r="E10" s="2927" t="s">
        <v>1629</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150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59661</v>
      </c>
      <c r="C12" s="1685"/>
      <c r="D12" s="2930" t="s">
        <v>1634</v>
      </c>
      <c r="E12" s="2652">
        <v>190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41.64</v>
      </c>
      <c r="C13" s="2967"/>
      <c r="D13" s="2933" t="s">
        <v>1636</v>
      </c>
      <c r="E13" s="2653"/>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0.95199999999999996</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0.05</v>
      </c>
      <c r="C15" s="2563" t="s">
        <v>2840</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2841</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0.08</v>
      </c>
      <c r="C17" s="2563" t="s">
        <v>2842</v>
      </c>
      <c r="D17" s="2926" t="s">
        <v>1645</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255420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ROUND(1-(2021-B27)/60,2)</f>
        <v>0.93</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2847</v>
      </c>
      <c r="I25" s="2968"/>
    </row>
    <row r="26" spans="1:41" ht="15" thickBot="1">
      <c r="A26" s="2946" t="s">
        <v>1656</v>
      </c>
      <c r="B26" s="2950">
        <f>B22-B23</f>
        <v>0</v>
      </c>
      <c r="D26" s="2930" t="s">
        <v>1659</v>
      </c>
      <c r="E26" s="2665">
        <v>0.02</v>
      </c>
      <c r="F26" s="2673" t="s">
        <v>2847</v>
      </c>
      <c r="G26" s="2969"/>
      <c r="H26" s="2969"/>
      <c r="I26" s="1685"/>
      <c r="J26" s="1685"/>
      <c r="K26" s="1685"/>
      <c r="L26" s="1685"/>
      <c r="M26" s="1685"/>
      <c r="N26" s="1685"/>
    </row>
    <row r="27" spans="1:41" ht="15.75" thickBot="1">
      <c r="A27" s="2951" t="s">
        <v>1658</v>
      </c>
      <c r="B27" s="2667">
        <v>2017</v>
      </c>
      <c r="C27" s="1685"/>
      <c r="D27" s="3157" t="s">
        <v>2901</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2900</v>
      </c>
      <c r="D29" s="2935" t="s">
        <v>1662</v>
      </c>
      <c r="E29" s="2954">
        <f>E30+E31</f>
        <v>5.5000000000000007E-2</v>
      </c>
      <c r="F29" s="1310"/>
      <c r="G29" s="2969"/>
      <c r="H29" s="2969"/>
      <c r="K29" s="1685"/>
      <c r="N29" s="1685"/>
    </row>
    <row r="30" spans="1:41" ht="14.25">
      <c r="A30" s="2930" t="str">
        <f>IF(B29="租赁期内按合同租金","合同租金","市场租金")</f>
        <v>市场租金</v>
      </c>
      <c r="B30" s="2670">
        <v>2</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5.000000000000001E-3</v>
      </c>
      <c r="F31" s="1310"/>
      <c r="G31" s="2969"/>
      <c r="H31" s="2969"/>
      <c r="K31" s="1685"/>
      <c r="N31" s="1685"/>
    </row>
    <row r="32" spans="1:41" ht="14.25">
      <c r="A32" s="2930" t="s">
        <v>1665</v>
      </c>
      <c r="B32" s="2655">
        <v>0.02</v>
      </c>
      <c r="D32" s="2937" t="s">
        <v>1668</v>
      </c>
      <c r="E32" s="2672">
        <v>0.05</v>
      </c>
      <c r="F32" s="2673" t="s">
        <v>2733</v>
      </c>
      <c r="G32" s="2969"/>
      <c r="H32" s="2969"/>
      <c r="K32" s="1685"/>
      <c r="L32" s="1685"/>
      <c r="M32" s="1685"/>
      <c r="N32" s="1685"/>
    </row>
    <row r="33" spans="1:14" ht="14.25">
      <c r="A33" s="2930" t="s">
        <v>1667</v>
      </c>
      <c r="B33" s="2655">
        <v>0.1</v>
      </c>
      <c r="D33" s="2937" t="s">
        <v>1670</v>
      </c>
      <c r="E33" s="2671">
        <v>0.03</v>
      </c>
      <c r="F33" s="1309" t="s">
        <v>1671</v>
      </c>
      <c r="G33" s="2969"/>
      <c r="H33" s="2969"/>
      <c r="K33" s="1685"/>
      <c r="L33" s="1685"/>
      <c r="M33" s="1685"/>
      <c r="N33" s="1685"/>
    </row>
    <row r="34" spans="1:14" s="2675" customFormat="1" ht="14.25">
      <c r="A34" s="2930" t="s">
        <v>1669</v>
      </c>
      <c r="B34" s="2958">
        <f>收益法!J54</f>
        <v>41.64</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1.4999999999999999E-2</v>
      </c>
      <c r="C45" s="2563" t="s">
        <v>2845</v>
      </c>
      <c r="D45" s="2683" t="s">
        <v>1695</v>
      </c>
      <c r="E45" s="2670"/>
      <c r="F45" s="1311">
        <v>12</v>
      </c>
      <c r="G45" s="2675"/>
      <c r="H45" s="2675"/>
      <c r="M45" s="1685"/>
      <c r="N45" s="1685"/>
    </row>
    <row r="46" spans="1:14" ht="14.25">
      <c r="A46" s="2930" t="s">
        <v>1694</v>
      </c>
      <c r="B46" s="2685">
        <v>1.5E-3</v>
      </c>
      <c r="C46" s="2563" t="s">
        <v>2843</v>
      </c>
      <c r="D46" s="2683" t="s">
        <v>1457</v>
      </c>
      <c r="E46" s="2670"/>
      <c r="F46" s="1311">
        <v>3</v>
      </c>
      <c r="G46" s="2675"/>
      <c r="H46" s="2675"/>
      <c r="M46" s="1685"/>
      <c r="N46" s="1685"/>
    </row>
    <row r="47" spans="1:14" ht="15" thickBot="1">
      <c r="A47" s="2933" t="s">
        <v>1696</v>
      </c>
      <c r="B47" s="2686">
        <v>1.4999999999999999E-2</v>
      </c>
      <c r="C47" s="2563" t="s">
        <v>2844</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1702</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3" customWidth="1"/>
    <col min="2" max="16384" width="14.625" style="2583"/>
  </cols>
  <sheetData>
    <row r="1" spans="1:9">
      <c r="A1" s="2581" t="s">
        <v>1212</v>
      </c>
      <c r="B1" s="2581">
        <f>SUM(B14:B23)</f>
        <v>85.14</v>
      </c>
      <c r="C1" s="1634"/>
      <c r="D1" s="1634"/>
      <c r="E1" s="1634"/>
      <c r="F1" s="1634"/>
      <c r="G1" s="2582"/>
    </row>
    <row r="2" spans="1:9">
      <c r="A2" s="2581" t="s">
        <v>1213</v>
      </c>
      <c r="B2" s="2581">
        <f>SUM(C14:C23)</f>
        <v>0</v>
      </c>
      <c r="C2" s="1634"/>
      <c r="D2" s="1634"/>
      <c r="E2" s="1634"/>
      <c r="F2" s="1634"/>
      <c r="G2" s="2582"/>
    </row>
    <row r="3" spans="1:9">
      <c r="A3" s="2581" t="s">
        <v>1214</v>
      </c>
      <c r="B3" s="2584">
        <f>项目基本情况!D2</f>
        <v>44461</v>
      </c>
      <c r="C3" s="1634"/>
      <c r="D3" s="1634"/>
      <c r="E3" s="1634"/>
      <c r="F3" s="1634"/>
      <c r="G3" s="2582"/>
    </row>
    <row r="4" spans="1:9" ht="27">
      <c r="A4" s="2581" t="s">
        <v>1215</v>
      </c>
      <c r="B4" s="2581" t="s">
        <v>1216</v>
      </c>
      <c r="C4" s="2581" t="s">
        <v>1217</v>
      </c>
      <c r="D4" s="2581" t="s">
        <v>1218</v>
      </c>
      <c r="E4" s="1634"/>
      <c r="F4" s="2582"/>
      <c r="G4" s="2582"/>
    </row>
    <row r="5" spans="1:9">
      <c r="A5" s="2581" t="s">
        <v>1219</v>
      </c>
      <c r="B5" s="2581">
        <f ca="1">SUM(D14:D23)</f>
        <v>145</v>
      </c>
      <c r="C5" s="2581">
        <f ca="1">ROUND(B5*10000/$B$1,0)</f>
        <v>17031</v>
      </c>
      <c r="D5" s="2581" t="e">
        <f ca="1">ROUND(B5*10000/$B$2,0)</f>
        <v>#DIV/0!</v>
      </c>
      <c r="E5" s="1634"/>
      <c r="F5" s="2582"/>
      <c r="G5" s="2582"/>
    </row>
    <row r="6" spans="1:9">
      <c r="A6" s="2581" t="s">
        <v>1220</v>
      </c>
      <c r="B6" s="2581">
        <f ca="1">SUM(G14:G23)</f>
        <v>145</v>
      </c>
      <c r="C6" s="2581">
        <f t="shared" ref="C6:C8" ca="1" si="0">ROUND(B6*10000/$B$1,0)</f>
        <v>17031</v>
      </c>
      <c r="D6" s="2581" t="e">
        <f t="shared" ref="D6:D8" ca="1" si="1">ROUND(B6*10000/$B$2,0)</f>
        <v>#DIV/0!</v>
      </c>
      <c r="E6" s="1634"/>
      <c r="F6" s="2582"/>
      <c r="G6" s="2582"/>
    </row>
    <row r="7" spans="1:9">
      <c r="A7" s="2581" t="s">
        <v>1221</v>
      </c>
      <c r="B7" s="2581">
        <f>SUM(H14:H23)</f>
        <v>0</v>
      </c>
      <c r="C7" s="2581">
        <f>ROUND(B7*10000/$B$1,0)</f>
        <v>0</v>
      </c>
      <c r="D7" s="2581" t="e">
        <f t="shared" si="1"/>
        <v>#DIV/0!</v>
      </c>
      <c r="E7" s="1634"/>
      <c r="F7" s="2582"/>
      <c r="G7" s="2582"/>
    </row>
    <row r="8" spans="1:9">
      <c r="A8" s="2581" t="s">
        <v>1222</v>
      </c>
      <c r="B8" s="2581">
        <f>SUM(I14:I23)</f>
        <v>0</v>
      </c>
      <c r="C8" s="2581">
        <f t="shared" si="0"/>
        <v>0</v>
      </c>
      <c r="D8" s="2581" t="e">
        <f t="shared" si="1"/>
        <v>#DIV/0!</v>
      </c>
      <c r="E8" s="1634"/>
      <c r="F8" s="2582"/>
      <c r="G8" s="2582"/>
    </row>
    <row r="9" spans="1:9">
      <c r="A9" s="2581" t="s">
        <v>1223</v>
      </c>
      <c r="B9" s="2585"/>
      <c r="C9" s="1634"/>
      <c r="D9" s="1634"/>
      <c r="E9" s="1634"/>
      <c r="F9" s="2582"/>
      <c r="G9" s="2582"/>
    </row>
    <row r="10" spans="1:9">
      <c r="A10" s="2581" t="s">
        <v>1224</v>
      </c>
      <c r="B10" s="2585"/>
      <c r="C10" s="1634"/>
      <c r="D10" s="1634"/>
      <c r="E10" s="1634"/>
      <c r="F10" s="2582"/>
      <c r="G10" s="2582"/>
    </row>
    <row r="11" spans="1:9">
      <c r="A11" s="2581" t="s">
        <v>1239</v>
      </c>
      <c r="B11" s="2585"/>
      <c r="C11" s="1634"/>
      <c r="D11" s="1634"/>
      <c r="E11" s="1634"/>
      <c r="F11" s="2582"/>
      <c r="G11" s="2582"/>
    </row>
    <row r="12" spans="1:9">
      <c r="A12" s="1634"/>
      <c r="B12" s="1634"/>
      <c r="C12" s="1634"/>
      <c r="D12" s="1634"/>
      <c r="E12" s="1634"/>
      <c r="F12" s="2582"/>
      <c r="G12" s="2582"/>
    </row>
    <row r="13" spans="1:9" ht="27">
      <c r="A13" s="2586" t="s">
        <v>1238</v>
      </c>
      <c r="B13" s="2587" t="s">
        <v>1212</v>
      </c>
      <c r="C13" s="2587" t="s">
        <v>1213</v>
      </c>
      <c r="D13" s="2587" t="s">
        <v>1225</v>
      </c>
      <c r="E13" s="2581" t="s">
        <v>1217</v>
      </c>
      <c r="F13" s="2581" t="s">
        <v>1218</v>
      </c>
      <c r="G13" s="2587" t="s">
        <v>1226</v>
      </c>
      <c r="H13" s="2587" t="s">
        <v>1227</v>
      </c>
      <c r="I13" s="2587" t="s">
        <v>1228</v>
      </c>
    </row>
    <row r="14" spans="1:9">
      <c r="A14" s="2887" t="s">
        <v>2902</v>
      </c>
      <c r="B14" s="2917">
        <f>项目基本情况!C12</f>
        <v>85.14</v>
      </c>
      <c r="C14" s="2917">
        <f>项目基本情况!C13</f>
        <v>0</v>
      </c>
      <c r="D14" s="2917">
        <f ca="1">IF('数据-取费表'!B3="万元",IF(A14="估价对象1（结果表）",结果表!H121,'结果表 (1修多)'!H125),IF(A14="估价对象1（结果表）",结果表!H121,'结果表 (1修多)'!H125)/10000)</f>
        <v>145</v>
      </c>
      <c r="E14" s="2917">
        <f ca="1">ROUND(D14*10000/B14,0)</f>
        <v>17031</v>
      </c>
      <c r="F14" s="2917" t="e">
        <f ca="1">ROUND(D14*10000/C14,0)</f>
        <v>#DIV/0!</v>
      </c>
      <c r="G14" s="2917">
        <f ca="1">IF('数据-取费表'!B3="万元",IF(A14="估价对象1（结果表）",结果表!D125,'结果表 (1修多)'!D129),IF(A14="估价对象1（结果表）",结果表!D125,'结果表 (1修多)'!D129)/10000)</f>
        <v>145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c r="A15" s="2588" t="s">
        <v>1229</v>
      </c>
      <c r="B15" s="2589"/>
      <c r="C15" s="2589"/>
      <c r="D15" s="2589"/>
      <c r="E15" s="2917" t="e">
        <f t="shared" ref="E15:E23" si="2">ROUND(D15*10000/B15,0)</f>
        <v>#DIV/0!</v>
      </c>
      <c r="F15" s="2917" t="e">
        <f t="shared" ref="F15:F23" si="3">ROUND(D15*10000/C15,0)</f>
        <v>#DIV/0!</v>
      </c>
      <c r="G15" s="1305"/>
      <c r="H15" s="1305"/>
      <c r="I15" s="2589"/>
    </row>
    <row r="16" spans="1:9">
      <c r="A16" s="2588" t="s">
        <v>1230</v>
      </c>
      <c r="B16" s="2589"/>
      <c r="C16" s="2589"/>
      <c r="D16" s="2589"/>
      <c r="E16" s="2917" t="e">
        <f t="shared" si="2"/>
        <v>#DIV/0!</v>
      </c>
      <c r="F16" s="2917" t="e">
        <f t="shared" si="3"/>
        <v>#DIV/0!</v>
      </c>
      <c r="G16" s="1305"/>
      <c r="H16" s="1305"/>
      <c r="I16" s="2589"/>
    </row>
    <row r="17" spans="1:9">
      <c r="A17" s="2588" t="s">
        <v>1231</v>
      </c>
      <c r="B17" s="2589"/>
      <c r="C17" s="2589"/>
      <c r="D17" s="2589"/>
      <c r="E17" s="2917" t="e">
        <f t="shared" si="2"/>
        <v>#DIV/0!</v>
      </c>
      <c r="F17" s="2917" t="e">
        <f t="shared" si="3"/>
        <v>#DIV/0!</v>
      </c>
      <c r="G17" s="1305"/>
      <c r="H17" s="1305"/>
      <c r="I17" s="2589"/>
    </row>
    <row r="18" spans="1:9">
      <c r="A18" s="2588" t="s">
        <v>1232</v>
      </c>
      <c r="B18" s="2589"/>
      <c r="C18" s="2589"/>
      <c r="D18" s="2589"/>
      <c r="E18" s="2917" t="e">
        <f t="shared" si="2"/>
        <v>#DIV/0!</v>
      </c>
      <c r="F18" s="2917" t="e">
        <f t="shared" si="3"/>
        <v>#DIV/0!</v>
      </c>
      <c r="G18" s="2589"/>
      <c r="H18" s="2589"/>
      <c r="I18" s="2589"/>
    </row>
    <row r="19" spans="1:9">
      <c r="A19" s="2588" t="s">
        <v>1233</v>
      </c>
      <c r="B19" s="2589"/>
      <c r="C19" s="2589"/>
      <c r="D19" s="2589"/>
      <c r="E19" s="2917" t="e">
        <f t="shared" si="2"/>
        <v>#DIV/0!</v>
      </c>
      <c r="F19" s="2917" t="e">
        <f t="shared" si="3"/>
        <v>#DIV/0!</v>
      </c>
      <c r="G19" s="2589"/>
      <c r="H19" s="2589"/>
      <c r="I19" s="2589"/>
    </row>
    <row r="20" spans="1:9">
      <c r="A20" s="2588" t="s">
        <v>1234</v>
      </c>
      <c r="B20" s="2589"/>
      <c r="C20" s="2589"/>
      <c r="D20" s="2589"/>
      <c r="E20" s="2917" t="e">
        <f t="shared" si="2"/>
        <v>#DIV/0!</v>
      </c>
      <c r="F20" s="2917" t="e">
        <f t="shared" si="3"/>
        <v>#DIV/0!</v>
      </c>
      <c r="G20" s="2589"/>
      <c r="H20" s="2589"/>
      <c r="I20" s="2589"/>
    </row>
    <row r="21" spans="1:9">
      <c r="A21" s="2588" t="s">
        <v>1235</v>
      </c>
      <c r="B21" s="2589"/>
      <c r="C21" s="2589"/>
      <c r="D21" s="2589"/>
      <c r="E21" s="2917" t="e">
        <f t="shared" si="2"/>
        <v>#DIV/0!</v>
      </c>
      <c r="F21" s="2917" t="e">
        <f t="shared" si="3"/>
        <v>#DIV/0!</v>
      </c>
      <c r="G21" s="2589"/>
      <c r="H21" s="2589"/>
      <c r="I21" s="2589"/>
    </row>
    <row r="22" spans="1:9">
      <c r="A22" s="2588" t="s">
        <v>1236</v>
      </c>
      <c r="B22" s="2589"/>
      <c r="C22" s="2589"/>
      <c r="D22" s="2589"/>
      <c r="E22" s="2917" t="e">
        <f t="shared" si="2"/>
        <v>#DIV/0!</v>
      </c>
      <c r="F22" s="2917" t="e">
        <f t="shared" si="3"/>
        <v>#DIV/0!</v>
      </c>
      <c r="G22" s="2589"/>
      <c r="H22" s="2589"/>
      <c r="I22" s="2589"/>
    </row>
    <row r="23" spans="1:9">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08" t="str">
        <f>项目基本情况!B1</f>
        <v>北京市房地产抵押价值预评估</v>
      </c>
      <c r="B2" s="3308"/>
      <c r="C2" s="3308"/>
      <c r="D2" s="3308"/>
      <c r="E2" s="3308"/>
      <c r="F2" s="3308"/>
      <c r="G2" s="3308"/>
      <c r="H2" s="3308"/>
      <c r="I2" s="3308"/>
      <c r="J2" s="2844"/>
    </row>
    <row r="3" spans="1:15" ht="12.75">
      <c r="A3" s="3311" t="s">
        <v>1710</v>
      </c>
      <c r="B3" s="3312"/>
      <c r="C3" s="3312"/>
      <c r="D3" s="3312"/>
      <c r="E3" s="3312"/>
      <c r="F3" s="3312"/>
      <c r="G3" s="3312"/>
      <c r="H3" s="3312"/>
      <c r="I3" s="3312"/>
      <c r="J3" s="2845"/>
    </row>
    <row r="4" spans="1:15" ht="14.25">
      <c r="A4" s="2713" t="s">
        <v>1711</v>
      </c>
      <c r="B4" s="2713" t="s">
        <v>1712</v>
      </c>
      <c r="C4" s="2714" t="s">
        <v>2916</v>
      </c>
      <c r="D4" s="2714" t="s">
        <v>2917</v>
      </c>
      <c r="E4" s="3257" t="s">
        <v>1713</v>
      </c>
      <c r="F4" s="3295"/>
      <c r="G4" s="3295"/>
      <c r="H4" s="3295"/>
      <c r="I4" s="3296"/>
      <c r="J4" s="2846"/>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88" t="s">
        <v>1714</v>
      </c>
      <c r="B5" s="3288">
        <v>25</v>
      </c>
      <c r="C5" s="3297"/>
      <c r="D5" s="3310"/>
      <c r="E5" s="12" t="s">
        <v>1715</v>
      </c>
      <c r="F5" s="2089"/>
      <c r="G5" s="2089"/>
      <c r="H5" s="2089"/>
      <c r="I5" s="2084"/>
      <c r="J5" s="2846"/>
    </row>
    <row r="6" spans="1:15" ht="12.75">
      <c r="A6" s="3288"/>
      <c r="B6" s="3288"/>
      <c r="C6" s="3313"/>
      <c r="D6" s="3310"/>
      <c r="E6" s="12" t="s">
        <v>1716</v>
      </c>
      <c r="F6" s="2089"/>
      <c r="G6" s="2089"/>
      <c r="H6" s="2089"/>
      <c r="I6" s="2084"/>
      <c r="J6" s="2846"/>
    </row>
    <row r="7" spans="1:15" ht="12.75">
      <c r="A7" s="3288"/>
      <c r="B7" s="3288"/>
      <c r="C7" s="3298"/>
      <c r="D7" s="3310"/>
      <c r="E7" s="12" t="s">
        <v>1717</v>
      </c>
      <c r="F7" s="2089"/>
      <c r="G7" s="2089"/>
      <c r="H7" s="2089"/>
      <c r="I7" s="2084"/>
      <c r="J7" s="2846"/>
    </row>
    <row r="8" spans="1:15" ht="12.75">
      <c r="A8" s="3288" t="s">
        <v>1718</v>
      </c>
      <c r="B8" s="3288">
        <v>15</v>
      </c>
      <c r="C8" s="3297"/>
      <c r="D8" s="3310"/>
      <c r="E8" s="12" t="s">
        <v>1719</v>
      </c>
      <c r="F8" s="2089"/>
      <c r="G8" s="2089"/>
      <c r="H8" s="2089"/>
      <c r="I8" s="2084"/>
      <c r="J8" s="2846"/>
    </row>
    <row r="9" spans="1:15" ht="12.75">
      <c r="A9" s="3288"/>
      <c r="B9" s="3288"/>
      <c r="C9" s="3298"/>
      <c r="D9" s="3310"/>
      <c r="E9" s="12" t="s">
        <v>1720</v>
      </c>
      <c r="F9" s="2089"/>
      <c r="G9" s="2089"/>
      <c r="H9" s="2089"/>
      <c r="I9" s="2084"/>
      <c r="J9" s="2846"/>
    </row>
    <row r="10" spans="1:15" ht="12.75">
      <c r="A10" s="3288" t="s">
        <v>1721</v>
      </c>
      <c r="B10" s="3288">
        <v>15</v>
      </c>
      <c r="C10" s="3297"/>
      <c r="D10" s="3310"/>
      <c r="E10" s="12" t="s">
        <v>1722</v>
      </c>
      <c r="F10" s="2089"/>
      <c r="G10" s="2089"/>
      <c r="H10" s="2089"/>
      <c r="I10" s="2084"/>
      <c r="J10" s="2846"/>
    </row>
    <row r="11" spans="1:15" ht="12.75">
      <c r="A11" s="3288"/>
      <c r="B11" s="3288"/>
      <c r="C11" s="3298"/>
      <c r="D11" s="3310"/>
      <c r="E11" s="12" t="s">
        <v>1723</v>
      </c>
      <c r="F11" s="2089"/>
      <c r="G11" s="2089"/>
      <c r="H11" s="2089"/>
      <c r="I11" s="2084"/>
      <c r="J11" s="2846"/>
    </row>
    <row r="12" spans="1:15" ht="12.75">
      <c r="A12" s="3288" t="s">
        <v>1724</v>
      </c>
      <c r="B12" s="3288">
        <v>15</v>
      </c>
      <c r="C12" s="3297"/>
      <c r="D12" s="3310"/>
      <c r="E12" s="12" t="s">
        <v>1725</v>
      </c>
      <c r="F12" s="2089"/>
      <c r="G12" s="2089"/>
      <c r="H12" s="2089"/>
      <c r="I12" s="2084"/>
      <c r="J12" s="2846"/>
    </row>
    <row r="13" spans="1:15" ht="12.75">
      <c r="A13" s="3288"/>
      <c r="B13" s="3288"/>
      <c r="C13" s="3298"/>
      <c r="D13" s="3310"/>
      <c r="E13" s="12" t="s">
        <v>1726</v>
      </c>
      <c r="F13" s="2089"/>
      <c r="G13" s="2089"/>
      <c r="H13" s="2089"/>
      <c r="I13" s="2084"/>
      <c r="J13" s="2846"/>
    </row>
    <row r="14" spans="1:15" ht="12.75">
      <c r="A14" s="3288" t="s">
        <v>1727</v>
      </c>
      <c r="B14" s="3288">
        <v>30</v>
      </c>
      <c r="C14" s="3297">
        <v>2</v>
      </c>
      <c r="D14" s="3310">
        <v>8</v>
      </c>
      <c r="E14" s="12" t="s">
        <v>1728</v>
      </c>
      <c r="F14" s="2089"/>
      <c r="G14" s="2089"/>
      <c r="H14" s="2089"/>
      <c r="I14" s="2084"/>
      <c r="J14" s="2846"/>
    </row>
    <row r="15" spans="1:15" ht="12.75">
      <c r="A15" s="3288"/>
      <c r="B15" s="3288"/>
      <c r="C15" s="3313"/>
      <c r="D15" s="3310"/>
      <c r="E15" s="12" t="s">
        <v>1729</v>
      </c>
      <c r="F15" s="2089"/>
      <c r="G15" s="2089"/>
      <c r="H15" s="2089"/>
      <c r="I15" s="2084"/>
      <c r="J15" s="2846"/>
    </row>
    <row r="16" spans="1:15" ht="12.75">
      <c r="A16" s="3288"/>
      <c r="B16" s="3288"/>
      <c r="C16" s="3298"/>
      <c r="D16" s="3310"/>
      <c r="E16" s="12" t="s">
        <v>1730</v>
      </c>
      <c r="F16" s="2089"/>
      <c r="G16" s="2089"/>
      <c r="H16" s="2089"/>
      <c r="I16" s="2084"/>
      <c r="J16" s="2846"/>
    </row>
    <row r="17" spans="1:36" ht="15">
      <c r="A17" s="2715" t="s">
        <v>1731</v>
      </c>
      <c r="B17" s="2094"/>
      <c r="C17" s="2716">
        <f>SUM(C5:C16)</f>
        <v>2</v>
      </c>
      <c r="D17" s="2716">
        <f>SUM(D5:D16)</f>
        <v>8</v>
      </c>
      <c r="E17" s="2563"/>
      <c r="F17" s="2563"/>
      <c r="G17" s="2563"/>
      <c r="H17" s="2563"/>
      <c r="I17" s="2563"/>
      <c r="J17" s="2847"/>
    </row>
    <row r="18" spans="1:36" ht="30" customHeight="1" thickBot="1">
      <c r="A18" s="2717" t="s">
        <v>1732</v>
      </c>
      <c r="B18" s="2718"/>
      <c r="C18" s="2719">
        <f>ROUND(C17/SUM(C17:D17),2)</f>
        <v>0.2</v>
      </c>
      <c r="D18" s="2719">
        <f>1-C18</f>
        <v>0.8</v>
      </c>
      <c r="E18" s="3306" t="s">
        <v>2818</v>
      </c>
      <c r="F18" s="3307"/>
      <c r="G18" s="3307"/>
      <c r="H18" s="3307"/>
      <c r="I18" s="3307"/>
      <c r="J18" s="2847"/>
    </row>
    <row r="19" spans="1:36" ht="15">
      <c r="A19" s="2720" t="s">
        <v>1733</v>
      </c>
      <c r="B19" s="2721" t="s">
        <v>1734</v>
      </c>
      <c r="C19" s="2722">
        <f ca="1">SUMIF(INDIRECT("'"&amp;C4&amp;"'"&amp;"!A:A"),结果表!B19,INDIRECT("'"&amp;C4&amp;"'"&amp;"!B:B"))</f>
        <v>113</v>
      </c>
      <c r="D19" s="2723">
        <f ca="1">SUMIF(INDIRECT("'"&amp;D4&amp;"'"&amp;"!A:A"),结果表!B19,INDIRECT("'"&amp;D4&amp;"'"&amp;"!B:B"))</f>
        <v>153</v>
      </c>
      <c r="E19" s="2720" t="s">
        <v>1735</v>
      </c>
      <c r="F19" s="2721" t="s">
        <v>1734</v>
      </c>
      <c r="G19" s="2724">
        <f ca="1">ROUND(C19*$C$18+D19*$D$18,0)</f>
        <v>145</v>
      </c>
      <c r="H19" s="2725" t="str">
        <f>'数据-取费表'!B3</f>
        <v>万元</v>
      </c>
      <c r="I19" s="2773"/>
      <c r="J19" s="2848"/>
    </row>
    <row r="20" spans="1:36" ht="15">
      <c r="A20" s="2726"/>
      <c r="B20" s="1694" t="s">
        <v>1736</v>
      </c>
      <c r="C20" s="1919">
        <f ca="1">SUMIF(INDIRECT("'"&amp;C4&amp;"'"&amp;"!A:A"),结果表!B20,INDIRECT("'"&amp;C4&amp;"'"&amp;"!B:B"))</f>
        <v>13230</v>
      </c>
      <c r="D20" s="1922">
        <f ca="1">SUMIF(INDIRECT("'"&amp;D4&amp;"'"&amp;"!A:A"),结果表!B20,INDIRECT("'"&amp;D4&amp;"'"&amp;"!B:B"))</f>
        <v>18000</v>
      </c>
      <c r="E20" s="2726"/>
      <c r="F20" s="1694" t="s">
        <v>1736</v>
      </c>
      <c r="G20" s="2093">
        <f ca="1">ROUND(C20*$C$18+D20*$D$18,0)</f>
        <v>17046</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0.35398230088495586</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145</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93</v>
      </c>
      <c r="D34" s="2750">
        <f ca="1">IF(D33="自定义",ROUND(C34/C32,3),1-D35)</f>
        <v>0.64400000000000002</v>
      </c>
      <c r="E34" s="1435" t="s">
        <v>1749</v>
      </c>
      <c r="F34" s="2751">
        <v>2000</v>
      </c>
      <c r="G34" s="947"/>
      <c r="H34" s="947"/>
      <c r="I34" s="947"/>
      <c r="J34" s="2847"/>
    </row>
    <row r="35" spans="1:17" ht="15.75" thickBot="1">
      <c r="A35" s="1467"/>
      <c r="B35" s="2752" t="s">
        <v>1750</v>
      </c>
      <c r="C35" s="2753">
        <f ca="1">IF(D33="自定义",F35,ROUND(C32*D35,0))</f>
        <v>52</v>
      </c>
      <c r="D35" s="2754">
        <f ca="1">IF(D33="自定义",ROUND(C35/C32,3),IF(D33="成本法成本比率",成本法!C56,IF(D33="收益法收益比率",收益法!J38,收益法!J41)))</f>
        <v>0.35599999999999998</v>
      </c>
      <c r="E35" s="2755" t="s">
        <v>1751</v>
      </c>
      <c r="F35" s="2756">
        <v>4460</v>
      </c>
      <c r="G35" s="947"/>
      <c r="H35" s="947"/>
      <c r="I35" s="947"/>
      <c r="J35" s="2847"/>
    </row>
    <row r="36" spans="1:17" ht="15.75" thickBot="1">
      <c r="A36" s="3299" t="s">
        <v>1752</v>
      </c>
      <c r="B36" s="1468" t="s">
        <v>1753</v>
      </c>
      <c r="C36" s="2757">
        <v>0</v>
      </c>
      <c r="D36" s="2758"/>
      <c r="E36" s="1680"/>
      <c r="F36" s="1680"/>
      <c r="G36" s="947"/>
      <c r="H36" s="947"/>
      <c r="I36" s="947"/>
      <c r="J36" s="2847"/>
    </row>
    <row r="37" spans="1:17" ht="15.75" thickBot="1">
      <c r="A37" s="3300"/>
      <c r="B37" s="2094" t="s">
        <v>1754</v>
      </c>
      <c r="C37" s="2759">
        <v>0</v>
      </c>
      <c r="D37" s="1311"/>
      <c r="E37" s="1311"/>
      <c r="F37" s="1680"/>
      <c r="G37" s="1311"/>
      <c r="H37" s="1311"/>
      <c r="I37" s="1311"/>
      <c r="J37" s="2851"/>
    </row>
    <row r="38" spans="1:17" ht="15.75" thickBot="1">
      <c r="A38" s="3301"/>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2817</v>
      </c>
      <c r="J44" s="2853"/>
      <c r="K44" s="1475" t="s">
        <v>1762</v>
      </c>
      <c r="L44" s="1476"/>
      <c r="M44" s="1476"/>
      <c r="N44" s="1476"/>
      <c r="O44" s="1476"/>
      <c r="P44" s="1476"/>
      <c r="Q44" s="1308"/>
    </row>
    <row r="45" spans="1:17" ht="14.25" customHeight="1" thickBot="1">
      <c r="A45" s="3303" t="s">
        <v>1763</v>
      </c>
      <c r="B45" s="3304"/>
      <c r="C45" s="3263"/>
      <c r="D45" s="246">
        <f ca="1">ROUND(I102*F45,0)</f>
        <v>145</v>
      </c>
      <c r="E45" s="1542" t="s">
        <v>1764</v>
      </c>
      <c r="F45" s="2561">
        <v>1</v>
      </c>
      <c r="G45" s="2562" t="s">
        <v>1765</v>
      </c>
      <c r="H45" s="947"/>
      <c r="I45" s="947"/>
      <c r="J45" s="2847"/>
      <c r="K45" s="3357" t="s">
        <v>2747</v>
      </c>
      <c r="L45" s="3357"/>
      <c r="M45" s="3357"/>
      <c r="N45" s="3357"/>
      <c r="O45" s="3357"/>
      <c r="P45" s="3357"/>
      <c r="Q45" s="1308"/>
    </row>
    <row r="46" spans="1:17" ht="14.25" customHeight="1">
      <c r="A46" s="3292" t="s">
        <v>1767</v>
      </c>
      <c r="B46" s="3293"/>
      <c r="C46" s="3293"/>
      <c r="D46" s="3293"/>
      <c r="E46" s="3293"/>
      <c r="F46" s="3293"/>
      <c r="G46" s="3294"/>
      <c r="H46" s="2979"/>
      <c r="I46" s="947"/>
      <c r="J46" s="2847"/>
      <c r="K46" s="2536">
        <v>1</v>
      </c>
      <c r="L46" s="3358" t="s">
        <v>2748</v>
      </c>
      <c r="M46" s="3358"/>
      <c r="N46" s="3359" t="str">
        <f>项目基本情况!B1</f>
        <v>北京市房地产抵押价值预评估</v>
      </c>
      <c r="O46" s="3359"/>
      <c r="P46" s="3359"/>
      <c r="Q46" s="1308"/>
    </row>
    <row r="47" spans="1:17" ht="12" customHeight="1">
      <c r="A47" s="38" t="s">
        <v>1769</v>
      </c>
      <c r="B47" s="39"/>
      <c r="C47" s="40"/>
      <c r="D47" s="1099" t="s">
        <v>1770</v>
      </c>
      <c r="E47" s="235" t="s">
        <v>1771</v>
      </c>
      <c r="F47" s="41" t="s">
        <v>1772</v>
      </c>
      <c r="G47" s="2564" t="s">
        <v>1773</v>
      </c>
      <c r="H47" s="2979"/>
      <c r="I47" s="947"/>
      <c r="J47" s="2847"/>
      <c r="K47" s="2536">
        <v>2</v>
      </c>
      <c r="L47" s="3358" t="s">
        <v>2749</v>
      </c>
      <c r="M47" s="3358"/>
      <c r="N47" s="3360">
        <f>'数据-取费表'!B2</f>
        <v>44461</v>
      </c>
      <c r="O47" s="3360"/>
      <c r="P47" s="3360"/>
      <c r="Q47" s="1308"/>
    </row>
    <row r="48" spans="1:17" ht="25.5">
      <c r="A48" s="3302" t="s">
        <v>1775</v>
      </c>
      <c r="B48" s="3256"/>
      <c r="C48" s="3256"/>
      <c r="D48" s="12">
        <f ca="1">IF(H48="情况1",0,IF(H48="情况2",D52,IF(H48="情况3",D53,IF(H48="情况4",D54))))</f>
        <v>8</v>
      </c>
      <c r="E48" s="2092" t="str">
        <f>IF(H48="情况4","(销售额-原购置价)×税（费）率","销售额×税（费）率")</f>
        <v>销售额×税（费）率</v>
      </c>
      <c r="F48" s="2565">
        <f>IF(H48="情况1","免征",'数据-取费表'!E29)</f>
        <v>5.5000000000000007E-2</v>
      </c>
      <c r="G48" s="2566" t="s">
        <v>1776</v>
      </c>
      <c r="H48" s="2567" t="s">
        <v>1777</v>
      </c>
      <c r="I48" s="2979"/>
      <c r="J48" s="2854"/>
      <c r="K48" s="2536">
        <v>3</v>
      </c>
      <c r="L48" s="3358" t="s">
        <v>2750</v>
      </c>
      <c r="M48" s="3358"/>
      <c r="N48" s="3359">
        <f ca="1">I102</f>
        <v>145</v>
      </c>
      <c r="O48" s="3359"/>
      <c r="P48" s="3359"/>
      <c r="Q48" s="1308"/>
    </row>
    <row r="49" spans="1:17" ht="25.5" customHeight="1">
      <c r="A49" s="2091" t="s">
        <v>1779</v>
      </c>
      <c r="B49" s="3295" t="s">
        <v>1780</v>
      </c>
      <c r="C49" s="3295"/>
      <c r="D49" s="2568">
        <v>0</v>
      </c>
      <c r="E49" s="261" t="s">
        <v>1781</v>
      </c>
      <c r="F49" s="2569" t="s">
        <v>48</v>
      </c>
      <c r="G49" s="3352"/>
      <c r="H49" s="2570" t="s">
        <v>2824</v>
      </c>
      <c r="I49" s="2571"/>
      <c r="J49" s="2855"/>
      <c r="K49" s="2536">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8"/>
    </row>
    <row r="50" spans="1:17" ht="25.5" customHeight="1">
      <c r="A50" s="2081"/>
      <c r="B50" s="3295" t="s">
        <v>1782</v>
      </c>
      <c r="C50" s="3295"/>
      <c r="D50" s="2572"/>
      <c r="E50" s="269"/>
      <c r="F50" s="2569"/>
      <c r="G50" s="3353"/>
      <c r="H50" s="2573" t="s">
        <v>2743</v>
      </c>
      <c r="I50" s="2571"/>
      <c r="J50" s="2855"/>
      <c r="K50" s="3358" t="s">
        <v>2751</v>
      </c>
      <c r="L50" s="3358"/>
      <c r="M50" s="3358"/>
      <c r="N50" s="3358"/>
      <c r="O50" s="3358"/>
      <c r="P50" s="3358"/>
      <c r="Q50" s="1308"/>
    </row>
    <row r="51" spans="1:17" ht="20.45" customHeight="1">
      <c r="A51" s="2574"/>
      <c r="B51" s="3295" t="s">
        <v>1784</v>
      </c>
      <c r="C51" s="3295"/>
      <c r="D51" s="1099"/>
      <c r="E51" s="264"/>
      <c r="F51" s="2569"/>
      <c r="G51" s="3354"/>
      <c r="H51" s="2573" t="s">
        <v>2744</v>
      </c>
      <c r="I51" s="2571"/>
      <c r="J51" s="2855"/>
      <c r="K51" s="2537" t="s">
        <v>2752</v>
      </c>
      <c r="L51" s="3358" t="s">
        <v>2753</v>
      </c>
      <c r="M51" s="3358"/>
      <c r="N51" s="2537" t="s">
        <v>2754</v>
      </c>
      <c r="O51" s="2537" t="s">
        <v>2755</v>
      </c>
      <c r="P51" s="2537" t="s">
        <v>2756</v>
      </c>
      <c r="Q51" s="1308"/>
    </row>
    <row r="52" spans="1:17" ht="24" customHeight="1">
      <c r="A52" s="2082" t="s">
        <v>1790</v>
      </c>
      <c r="B52" s="3295" t="s">
        <v>1791</v>
      </c>
      <c r="C52" s="3295"/>
      <c r="D52" s="1099">
        <f ca="1">ROUND(D45*'数据-取费表'!E29/(1+'数据-取费表'!F30),0)</f>
        <v>8</v>
      </c>
      <c r="E52" s="2092" t="s">
        <v>1792</v>
      </c>
      <c r="F52" s="2575">
        <f>'数据-取费表'!E29</f>
        <v>5.5000000000000007E-2</v>
      </c>
      <c r="G52" s="2576"/>
      <c r="H52" s="947"/>
      <c r="I52" s="2980"/>
      <c r="J52" s="2855"/>
      <c r="K52" s="2536">
        <v>1</v>
      </c>
      <c r="L52" s="3325" t="s">
        <v>2757</v>
      </c>
      <c r="M52" s="3325"/>
      <c r="N52" s="2538">
        <f ca="1">D48</f>
        <v>8</v>
      </c>
      <c r="O52" s="2536" t="str">
        <f>E48</f>
        <v>销售额×税（费）率</v>
      </c>
      <c r="P52" s="2539">
        <f>F48</f>
        <v>5.5000000000000007E-2</v>
      </c>
      <c r="Q52" s="1308"/>
    </row>
    <row r="53" spans="1:17" ht="12" customHeight="1">
      <c r="A53" s="2082" t="s">
        <v>1794</v>
      </c>
      <c r="B53" s="3257" t="s">
        <v>2836</v>
      </c>
      <c r="C53" s="3296"/>
      <c r="D53" s="1099">
        <f ca="1">ROUND(D45*'数据-取费表'!E29/(1+'数据-取费表'!F30),0)</f>
        <v>8</v>
      </c>
      <c r="E53" s="2092" t="s">
        <v>1792</v>
      </c>
      <c r="F53" s="2575">
        <f>'数据-取费表'!E29</f>
        <v>5.5000000000000007E-2</v>
      </c>
      <c r="G53" s="2576"/>
      <c r="H53" s="947"/>
      <c r="I53" s="2980"/>
      <c r="J53" s="2855"/>
      <c r="K53" s="2536">
        <v>2</v>
      </c>
      <c r="L53" s="3325" t="s">
        <v>2758</v>
      </c>
      <c r="M53" s="3325"/>
      <c r="N53" s="2538">
        <f t="shared" ref="N53:P54" si="1">D55</f>
        <v>0</v>
      </c>
      <c r="O53" s="2536" t="str">
        <f t="shared" si="1"/>
        <v>销售额×税（费）率</v>
      </c>
      <c r="P53" s="2539" t="str">
        <f t="shared" si="1"/>
        <v>免征</v>
      </c>
      <c r="Q53" s="1308"/>
    </row>
    <row r="54" spans="1:17" ht="12" customHeight="1">
      <c r="A54" s="2082" t="s">
        <v>1796</v>
      </c>
      <c r="B54" s="3257" t="s">
        <v>2837</v>
      </c>
      <c r="C54" s="3296"/>
      <c r="D54" s="1099">
        <f ca="1">C68</f>
        <v>8</v>
      </c>
      <c r="E54" s="264" t="s">
        <v>1797</v>
      </c>
      <c r="F54" s="2575">
        <f>'数据-取费表'!E29</f>
        <v>5.5000000000000007E-2</v>
      </c>
      <c r="G54" s="2576"/>
      <c r="H54" s="2981"/>
      <c r="I54" s="2980"/>
      <c r="J54" s="2855"/>
      <c r="K54" s="2536">
        <v>3</v>
      </c>
      <c r="L54" s="3325" t="s">
        <v>2759</v>
      </c>
      <c r="M54" s="3325"/>
      <c r="N54" s="2538">
        <f t="shared" si="1"/>
        <v>0</v>
      </c>
      <c r="O54" s="2536" t="str">
        <f t="shared" si="1"/>
        <v>增值额×税（费）率</v>
      </c>
      <c r="P54" s="2540" t="str">
        <f t="shared" si="1"/>
        <v>免征</v>
      </c>
      <c r="Q54" s="1308"/>
    </row>
    <row r="55" spans="1:17" ht="24" customHeight="1">
      <c r="A55" s="3255" t="s">
        <v>1799</v>
      </c>
      <c r="B55" s="3256"/>
      <c r="C55" s="3256"/>
      <c r="D55" s="12">
        <f>IF(H55="个人住宅",0,ROUND(D45*I55,0))</f>
        <v>0</v>
      </c>
      <c r="E55" s="2092" t="s">
        <v>1800</v>
      </c>
      <c r="F55" s="2575" t="str">
        <f>IF(H55="正常",I55,"免征")</f>
        <v>免征</v>
      </c>
      <c r="G55" s="2576"/>
      <c r="H55" s="2567" t="s">
        <v>2740</v>
      </c>
      <c r="I55" s="74">
        <f>'数据-取费表'!E37</f>
        <v>5.0000000000000001E-4</v>
      </c>
      <c r="J55" s="2855"/>
      <c r="K55" s="2536" t="str">
        <f>IF(H59="非个人房产","",4)</f>
        <v/>
      </c>
      <c r="L55" s="3325" t="str">
        <f>IF(H59="非个人房产","——","个人所得税")</f>
        <v>——</v>
      </c>
      <c r="M55" s="3325"/>
      <c r="N55" s="2541" t="str">
        <f>D59</f>
        <v>——</v>
      </c>
      <c r="O55" s="2542" t="str">
        <f>E59</f>
        <v>——</v>
      </c>
      <c r="P55" s="2543" t="str">
        <f>F59</f>
        <v>——</v>
      </c>
      <c r="Q55" s="1308"/>
    </row>
    <row r="56" spans="1:17" ht="24.75">
      <c r="A56" s="3255" t="s">
        <v>1802</v>
      </c>
      <c r="B56" s="3256"/>
      <c r="C56" s="3256"/>
      <c r="D56" s="12">
        <f>IF(H56="个人住宅",D57,D58)</f>
        <v>0</v>
      </c>
      <c r="E56" s="2092" t="s">
        <v>1803</v>
      </c>
      <c r="F56" s="2575" t="str">
        <f>IF(H56="正常",F58,"免征")</f>
        <v>免征</v>
      </c>
      <c r="G56" s="2577" t="s">
        <v>1804</v>
      </c>
      <c r="H56" s="2578" t="s">
        <v>2740</v>
      </c>
      <c r="I56" s="2982"/>
      <c r="J56" s="2855"/>
      <c r="K56" s="2536" t="str">
        <f>IF(项目基本情况!I6="上海银行",IF(K55="",4,K55+1),"")</f>
        <v/>
      </c>
      <c r="L56" s="3339" t="str">
        <f>IF(项目基本情况!I6="上海银行","其他处置费用","")</f>
        <v/>
      </c>
      <c r="M56" s="3340"/>
      <c r="N56" s="2538" t="str">
        <f>IF(项目基本情况!I6="上海银行",N69,"")</f>
        <v/>
      </c>
      <c r="O56" s="3339" t="str">
        <f>IF(项目基本情况!I6="上海银行","包含处置中涉及的律师、诉讼、拍卖、评估等费用","")</f>
        <v/>
      </c>
      <c r="P56" s="3351"/>
      <c r="Q56" s="1308"/>
    </row>
    <row r="57" spans="1:17" ht="12.75">
      <c r="A57" s="2082" t="s">
        <v>1779</v>
      </c>
      <c r="B57" s="3257" t="s">
        <v>1805</v>
      </c>
      <c r="C57" s="3296"/>
      <c r="D57" s="2568">
        <v>0</v>
      </c>
      <c r="E57" s="261" t="s">
        <v>1781</v>
      </c>
      <c r="F57" s="235"/>
      <c r="G57" s="2576"/>
      <c r="H57" s="2982"/>
      <c r="I57" s="2982"/>
      <c r="J57" s="2855"/>
      <c r="K57" s="3325">
        <f>IF(AND(K55="",K56=""),4,IF(项目基本情况!I6="上海银行",K56+1,K55+1))</f>
        <v>4</v>
      </c>
      <c r="L57" s="3325" t="s">
        <v>2760</v>
      </c>
      <c r="M57" s="2544" t="s">
        <v>2761</v>
      </c>
      <c r="N57" s="2545"/>
      <c r="O57" s="2546">
        <f ca="1">SUMIF(N52:N56,"&lt;9e307")</f>
        <v>8</v>
      </c>
      <c r="P57" s="2547"/>
      <c r="Q57" s="1306" t="e">
        <f ca="1">O57/N49</f>
        <v>#VALUE!</v>
      </c>
    </row>
    <row r="58" spans="1:17" ht="24.75">
      <c r="A58" s="2082" t="s">
        <v>1790</v>
      </c>
      <c r="B58" s="3257" t="s">
        <v>1808</v>
      </c>
      <c r="C58" s="3295"/>
      <c r="D58" s="12">
        <f ca="1">IF(H58="转让取得",C81,C97)</f>
        <v>82</v>
      </c>
      <c r="E58" s="2092" t="s">
        <v>1803</v>
      </c>
      <c r="F58" s="235" t="s">
        <v>48</v>
      </c>
      <c r="G58" s="2576"/>
      <c r="H58" s="2578" t="s">
        <v>1809</v>
      </c>
      <c r="I58" s="2982"/>
      <c r="J58" s="2855"/>
      <c r="K58" s="3325"/>
      <c r="L58" s="3325"/>
      <c r="M58" s="2544" t="s">
        <v>2762</v>
      </c>
      <c r="N58" s="2548"/>
      <c r="O58" s="2549" t="str">
        <f ca="1">IF(H19="元",NUMBERSTRING(INT(O57),2)&amp;"元整",NUMBERSTRING(INT(O57*10000),2)&amp;"元整")</f>
        <v>捌万元整</v>
      </c>
      <c r="P58" s="2550"/>
      <c r="Q58" s="1308"/>
    </row>
    <row r="59" spans="1:17" ht="24.75" thickBot="1">
      <c r="A59" s="3279" t="s">
        <v>1811</v>
      </c>
      <c r="B59" s="3280"/>
      <c r="C59" s="328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23">
        <f>K57+1</f>
        <v>5</v>
      </c>
      <c r="L59" s="3325"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24"/>
      <c r="L60" s="3325"/>
      <c r="M60" s="2544" t="s">
        <v>2762</v>
      </c>
      <c r="N60" s="2548"/>
      <c r="O60" s="2549" t="e">
        <f ca="1">IF(H19="元",NUMBERSTRING(INT(O59),2)&amp;"元整",NUMBERSTRING(INT(O59*10000),2)&amp;"元整")</f>
        <v>#VALUE!</v>
      </c>
      <c r="P60" s="2550"/>
      <c r="Q60" s="1308"/>
    </row>
    <row r="61" spans="1:17" ht="13.5" thickBot="1">
      <c r="A61" s="3305" t="s">
        <v>1813</v>
      </c>
      <c r="B61" s="3305"/>
      <c r="C61" s="3305"/>
      <c r="D61" s="3305"/>
      <c r="E61" s="3305"/>
      <c r="F61" s="2983"/>
      <c r="G61" s="2983"/>
      <c r="H61" s="2985"/>
      <c r="I61" s="31"/>
      <c r="K61" s="2536">
        <f>K59+1</f>
        <v>6</v>
      </c>
      <c r="L61" s="3325" t="s">
        <v>2764</v>
      </c>
      <c r="M61" s="3325"/>
      <c r="N61" s="2554"/>
      <c r="O61" s="2555" t="e">
        <f ca="1">IF(H19="元",ROUND(O59/项目基本情况!C12,0),ROUND(O59*10000/项目基本情况!C12,0))</f>
        <v>#VALUE!</v>
      </c>
      <c r="P61" s="2556"/>
      <c r="Q61" s="1308"/>
    </row>
    <row r="62" spans="1:17" ht="12.75">
      <c r="A62" s="3314" t="s">
        <v>1815</v>
      </c>
      <c r="B62" s="3315"/>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138</v>
      </c>
      <c r="D63" s="47"/>
      <c r="E63" s="48"/>
      <c r="F63" s="2983"/>
      <c r="G63" s="2983"/>
      <c r="H63" s="2985"/>
      <c r="I63" s="31"/>
      <c r="K63" s="3341"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145</v>
      </c>
      <c r="D64" s="50" t="s">
        <v>41</v>
      </c>
      <c r="E64" s="52"/>
      <c r="F64" s="2983"/>
      <c r="G64" s="2983"/>
      <c r="H64" s="2985"/>
      <c r="I64" s="31"/>
      <c r="K64" s="3341"/>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1824</v>
      </c>
      <c r="C65" s="2788"/>
      <c r="D65" s="50"/>
      <c r="E65" s="52"/>
      <c r="F65" s="2983"/>
      <c r="G65" s="2983"/>
      <c r="H65" s="2985"/>
      <c r="I65" s="31"/>
      <c r="K65" s="3341"/>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1826</v>
      </c>
      <c r="C66" s="2789"/>
      <c r="D66" s="54" t="s">
        <v>41</v>
      </c>
      <c r="E66" s="1316" t="s">
        <v>1827</v>
      </c>
      <c r="F66" s="2983"/>
      <c r="G66" s="2983"/>
      <c r="H66" s="2985"/>
      <c r="I66" s="31"/>
      <c r="K66" s="3341"/>
      <c r="L66" s="2558" t="s">
        <v>2770</v>
      </c>
      <c r="M66" s="2558" t="e">
        <f>N49*0.5%</f>
        <v>#VALUE!</v>
      </c>
      <c r="N66" s="2559" t="e">
        <f>IF(M66&gt;0.5,0.5,ROUND(M66,0))</f>
        <v>#VALUE!</v>
      </c>
      <c r="O66" s="2557" t="s">
        <v>2771</v>
      </c>
      <c r="P66" s="2557"/>
      <c r="Q66" s="1308"/>
    </row>
    <row r="67" spans="1:36" ht="12.75">
      <c r="A67" s="53" t="s">
        <v>42</v>
      </c>
      <c r="B67" s="54" t="s">
        <v>1830</v>
      </c>
      <c r="C67" s="2790">
        <f ca="1">C63-C66</f>
        <v>138</v>
      </c>
      <c r="D67" s="50" t="s">
        <v>41</v>
      </c>
      <c r="E67" s="52"/>
      <c r="F67" s="2983"/>
      <c r="G67" s="2983"/>
      <c r="H67" s="2985"/>
      <c r="I67" s="31"/>
      <c r="K67" s="3341"/>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8</v>
      </c>
      <c r="D68" s="2242">
        <f>'数据-取费表'!E29</f>
        <v>5.5000000000000007E-2</v>
      </c>
      <c r="E68" s="57"/>
      <c r="F68" s="2983"/>
      <c r="G68" s="2983"/>
      <c r="H68" s="2985"/>
      <c r="I68" s="31"/>
      <c r="K68" s="3341"/>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7" t="s">
        <v>1835</v>
      </c>
      <c r="B70" s="3318"/>
      <c r="C70" s="3318"/>
      <c r="D70" s="3318"/>
      <c r="E70" s="3318"/>
      <c r="F70" s="3318"/>
      <c r="G70" s="3318"/>
      <c r="H70" s="331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4" t="s">
        <v>1815</v>
      </c>
      <c r="B71" s="3315"/>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138</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57" t="s">
        <v>1845</v>
      </c>
      <c r="F76" s="3295"/>
      <c r="G76" s="3295"/>
      <c r="H76" s="330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v>
      </c>
      <c r="D78" s="2799">
        <f>'数据-取费表'!E31</f>
        <v>5.000000000000001E-3</v>
      </c>
      <c r="E78" s="3289" t="s">
        <v>1850</v>
      </c>
      <c r="F78" s="3290"/>
      <c r="G78" s="3290"/>
      <c r="H78" s="329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137</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82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7" t="s">
        <v>1854</v>
      </c>
      <c r="B83" s="3318"/>
      <c r="C83" s="3318"/>
      <c r="D83" s="3318"/>
      <c r="E83" s="3318"/>
      <c r="F83" s="3318"/>
      <c r="G83" s="3318"/>
      <c r="H83" s="331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4" t="s">
        <v>1815</v>
      </c>
      <c r="B84" s="3315"/>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138</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0" t="s">
        <v>2735</v>
      </c>
      <c r="H90" s="3350"/>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89" t="s">
        <v>1862</v>
      </c>
      <c r="F91" s="3290"/>
      <c r="G91" s="3290"/>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89" t="s">
        <v>1865</v>
      </c>
      <c r="F92" s="3290"/>
      <c r="G92" s="3290"/>
      <c r="H92" s="3291"/>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v>
      </c>
      <c r="D93" s="2799">
        <f>'数据-取费表'!E31</f>
        <v>5.000000000000001E-3</v>
      </c>
      <c r="E93" s="3289" t="s">
        <v>1850</v>
      </c>
      <c r="F93" s="3290"/>
      <c r="G93" s="3290"/>
      <c r="H93" s="329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89" t="s">
        <v>1867</v>
      </c>
      <c r="F94" s="3290"/>
      <c r="G94" s="3290"/>
      <c r="H94" s="329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137</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82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36" t="s">
        <v>1869</v>
      </c>
      <c r="B99" s="3337"/>
      <c r="C99" s="3337"/>
      <c r="D99" s="3338"/>
      <c r="E99" s="1461"/>
      <c r="F99" s="3345" t="s">
        <v>1870</v>
      </c>
      <c r="G99" s="3346"/>
      <c r="H99" s="3346"/>
      <c r="I99" s="3347"/>
      <c r="J99" s="2861"/>
    </row>
    <row r="100" spans="1:36" ht="15">
      <c r="A100" s="3348" t="s">
        <v>1871</v>
      </c>
      <c r="B100" s="3349"/>
      <c r="C100" s="1307" t="str">
        <f>C4</f>
        <v>收益法</v>
      </c>
      <c r="D100" s="2809" t="str">
        <f>D4</f>
        <v>比较法-办公</v>
      </c>
      <c r="E100" s="1461"/>
      <c r="F100" s="3260" t="s">
        <v>2779</v>
      </c>
      <c r="G100" s="3261"/>
      <c r="H100" s="3260" t="s">
        <v>2780</v>
      </c>
      <c r="I100" s="3259"/>
      <c r="J100" s="2862"/>
    </row>
    <row r="101" spans="1:36" ht="12.75">
      <c r="A101" s="3328" t="s">
        <v>2812</v>
      </c>
      <c r="B101" s="2307" t="str">
        <f>IF(H19="元","总价（元）","总价（万元）")</f>
        <v>总价（万元）</v>
      </c>
      <c r="C101" s="1307">
        <f ca="1">C19</f>
        <v>113</v>
      </c>
      <c r="D101" s="2809">
        <f ca="1">D19</f>
        <v>153</v>
      </c>
      <c r="E101" s="1461"/>
      <c r="F101" s="3260" t="str">
        <f>项目基本情况!I1</f>
        <v>北京市房地产</v>
      </c>
      <c r="G101" s="3261"/>
      <c r="H101" s="3258">
        <f>项目基本情况!C12</f>
        <v>85.14</v>
      </c>
      <c r="I101" s="3259"/>
      <c r="J101" s="2862"/>
    </row>
    <row r="102" spans="1:36" ht="12.75">
      <c r="A102" s="3328"/>
      <c r="B102" s="2307" t="s">
        <v>2813</v>
      </c>
      <c r="C102" s="2810">
        <f ca="1">C20</f>
        <v>13230</v>
      </c>
      <c r="D102" s="2811">
        <f ca="1">D20</f>
        <v>18000</v>
      </c>
      <c r="E102" s="1461"/>
      <c r="F102" s="3270" t="s">
        <v>2809</v>
      </c>
      <c r="G102" s="3271"/>
      <c r="H102" s="2819" t="str">
        <f>C106</f>
        <v>总价（万元）</v>
      </c>
      <c r="I102" s="2820">
        <f ca="1">H121</f>
        <v>145</v>
      </c>
      <c r="J102" s="2862"/>
    </row>
    <row r="103" spans="1:36" ht="12.75">
      <c r="A103" s="3328" t="s">
        <v>2814</v>
      </c>
      <c r="B103" s="2245" t="str">
        <f>B101</f>
        <v>总价（万元）</v>
      </c>
      <c r="C103" s="2814">
        <f ca="1">H121</f>
        <v>145</v>
      </c>
      <c r="D103" s="2812"/>
      <c r="E103" s="1461"/>
      <c r="F103" s="3270"/>
      <c r="G103" s="3271"/>
      <c r="H103" s="2819" t="s">
        <v>2782</v>
      </c>
      <c r="I103" s="52">
        <f ca="1">I121</f>
        <v>17031</v>
      </c>
      <c r="J103" s="2846"/>
    </row>
    <row r="104" spans="1:36" ht="13.5" thickBot="1">
      <c r="A104" s="3329"/>
      <c r="B104" s="2816" t="s">
        <v>2813</v>
      </c>
      <c r="C104" s="2817">
        <f ca="1">I121</f>
        <v>17031</v>
      </c>
      <c r="D104" s="2818"/>
      <c r="E104" s="1461"/>
      <c r="F104" s="3270"/>
      <c r="G104" s="3271"/>
      <c r="H104" s="3330"/>
      <c r="I104" s="3331"/>
      <c r="J104" s="2863"/>
    </row>
    <row r="105" spans="1:36" ht="15">
      <c r="A105" s="3336" t="s">
        <v>1872</v>
      </c>
      <c r="B105" s="3337"/>
      <c r="C105" s="3337"/>
      <c r="D105" s="3338"/>
      <c r="E105" s="1461"/>
      <c r="F105" s="3334" t="s">
        <v>2783</v>
      </c>
      <c r="G105" s="3335"/>
      <c r="H105" s="2821" t="str">
        <f>C108</f>
        <v>总额（万元）</v>
      </c>
      <c r="I105" s="2820">
        <f>SUMIF(I106:I108,"&lt;9E307")</f>
        <v>0</v>
      </c>
      <c r="J105" s="2862"/>
    </row>
    <row r="106" spans="1:36" ht="14.25">
      <c r="A106" s="3270" t="s">
        <v>2806</v>
      </c>
      <c r="B106" s="3271"/>
      <c r="C106" s="2819" t="str">
        <f>B101</f>
        <v>总价（万元）</v>
      </c>
      <c r="D106" s="2820">
        <f ca="1">H121</f>
        <v>145</v>
      </c>
      <c r="E106" s="1461"/>
      <c r="F106" s="3272" t="s">
        <v>2784</v>
      </c>
      <c r="G106" s="3273"/>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0"/>
      <c r="B107" s="3271"/>
      <c r="C107" s="2819" t="s">
        <v>2807</v>
      </c>
      <c r="D107" s="52">
        <f ca="1">I121</f>
        <v>17031</v>
      </c>
      <c r="E107" s="1461"/>
      <c r="F107" s="3272" t="s">
        <v>2785</v>
      </c>
      <c r="G107" s="3273"/>
      <c r="H107" s="2821" t="str">
        <f>C110</f>
        <v>总额（万元）</v>
      </c>
      <c r="I107" s="52">
        <f>C37</f>
        <v>0</v>
      </c>
      <c r="J107" s="2846"/>
    </row>
    <row r="108" spans="1:36" ht="12.75">
      <c r="A108" s="3277" t="s">
        <v>2783</v>
      </c>
      <c r="B108" s="3278"/>
      <c r="C108" s="2821" t="str">
        <f>IF(H19="元","总额（元）","总额（万元）")</f>
        <v>总额（万元）</v>
      </c>
      <c r="D108" s="2820">
        <f>IF(D36="正常操作",I106+I107+I108,I107+I108)</f>
        <v>0</v>
      </c>
      <c r="E108" s="1461"/>
      <c r="F108" s="3272" t="s">
        <v>2810</v>
      </c>
      <c r="G108" s="3273"/>
      <c r="H108" s="2821" t="str">
        <f>C111</f>
        <v>总额（万元）</v>
      </c>
      <c r="I108" s="52">
        <f>C38</f>
        <v>0</v>
      </c>
      <c r="J108" s="2846"/>
    </row>
    <row r="109" spans="1:36" ht="12.75">
      <c r="A109" s="3272" t="s">
        <v>2784</v>
      </c>
      <c r="B109" s="3273"/>
      <c r="C109" s="2821" t="str">
        <f>C108</f>
        <v>总额（万元）</v>
      </c>
      <c r="D109" s="52">
        <f>IF(D36="同一抵押权人同一抵押物续贷",C36&amp;"（未扣减，详见特别提示）",C36)</f>
        <v>0</v>
      </c>
      <c r="E109" s="1461"/>
      <c r="F109" s="3270"/>
      <c r="G109" s="3271"/>
      <c r="H109" s="3332"/>
      <c r="I109" s="3333"/>
      <c r="J109" s="2864"/>
    </row>
    <row r="110" spans="1:36" ht="28.5" customHeight="1">
      <c r="A110" s="3272" t="s">
        <v>2808</v>
      </c>
      <c r="B110" s="3273"/>
      <c r="C110" s="2821" t="str">
        <f>C108</f>
        <v>总额（万元）</v>
      </c>
      <c r="D110" s="52">
        <f>C37</f>
        <v>0</v>
      </c>
      <c r="E110" s="1461"/>
      <c r="F110" s="3262" t="str">
        <f>IF(项目基本情况!F5="已注销","——","3.房地产抵押价值")</f>
        <v>3.房地产抵押价值</v>
      </c>
      <c r="G110" s="3263"/>
      <c r="H110" s="2807" t="str">
        <f>C112</f>
        <v>总价（万元）</v>
      </c>
      <c r="I110" s="2820">
        <f ca="1">IF(F110="——","——",I102-I105)</f>
        <v>145</v>
      </c>
      <c r="J110" s="2862"/>
    </row>
    <row r="111" spans="1:36" ht="12.75">
      <c r="A111" s="3272" t="s">
        <v>2787</v>
      </c>
      <c r="B111" s="3273"/>
      <c r="C111" s="2821" t="str">
        <f>C108</f>
        <v>总额（万元）</v>
      </c>
      <c r="D111" s="52">
        <f>C38</f>
        <v>0</v>
      </c>
      <c r="E111" s="1461"/>
      <c r="F111" s="3361"/>
      <c r="G111" s="3362"/>
      <c r="H111" s="2819" t="s">
        <v>2782</v>
      </c>
      <c r="I111" s="2823">
        <f ca="1">D113</f>
        <v>17031</v>
      </c>
      <c r="J111" s="2865"/>
    </row>
    <row r="112" spans="1:36" ht="26.25" customHeight="1">
      <c r="A112" s="3270" t="str">
        <f>IF(项目基本情况!F5="已注销","——","3.房地产抵押价值")</f>
        <v>3.房地产抵押价值</v>
      </c>
      <c r="B112" s="3271"/>
      <c r="C112" s="2819" t="str">
        <f>B101</f>
        <v>总价（万元）</v>
      </c>
      <c r="D112" s="2820">
        <f ca="1">IF(A112="——","——",D106-D108)</f>
        <v>145</v>
      </c>
      <c r="E112" s="1461"/>
      <c r="F112" s="3262" t="str">
        <f>IF(项目基本情况!F5="已注销及未注销","4.抵押担保权已注销时的房地产抵押价值",IF(项目基本情况!F5="已注销","3.抵押担保权已注销时的房地产抵押价值","——"))</f>
        <v>——</v>
      </c>
      <c r="G112" s="3263"/>
      <c r="H112" s="2807" t="str">
        <f>C114</f>
        <v>总价（万元）</v>
      </c>
      <c r="I112" s="2820" t="str">
        <f>IF(F112="——","——",I102-I107-I108)</f>
        <v>——</v>
      </c>
      <c r="J112" s="2862"/>
    </row>
    <row r="113" spans="1:16" ht="12.75">
      <c r="A113" s="3270"/>
      <c r="B113" s="3271"/>
      <c r="C113" s="2819" t="s">
        <v>2775</v>
      </c>
      <c r="D113" s="52">
        <f ca="1">ROUND(IF(D112=D106,D107,IF(H19="元",D112/项目基本情况!C12,D112*10000/项目基本情况!C12)),0)</f>
        <v>17031</v>
      </c>
      <c r="E113" s="1461"/>
      <c r="F113" s="3361"/>
      <c r="G113" s="3362"/>
      <c r="H113" s="2819" t="s">
        <v>2811</v>
      </c>
      <c r="I113" s="52" t="str">
        <f>D115</f>
        <v>——</v>
      </c>
      <c r="J113" s="2846"/>
    </row>
    <row r="114" spans="1:16" ht="12.75">
      <c r="A114" s="3270" t="str">
        <f>IF(项目基本情况!F5="已注销及未注销","4.抵押担保权已注销时的房地产抵押价值",IF(项目基本情况!F5="已注销","3.抵押担保权已注销时的房地产抵押价值","——"))</f>
        <v>——</v>
      </c>
      <c r="B114" s="3271"/>
      <c r="C114" s="2819" t="str">
        <f>B101</f>
        <v>总价（万元）</v>
      </c>
      <c r="D114" s="2820" t="str">
        <f>IF(A114="——","——",D106-D110-D111)</f>
        <v>——</v>
      </c>
      <c r="E114" s="1461"/>
      <c r="F114" s="3262" t="str">
        <f>IF(项目基本情况!G5="抵押净值",IF(OR(项目基本情况!F5="已注销",项目基本情况!F5="房地产抵押价值"),"4.抵押净值","5.抵押净值"),"——")</f>
        <v>——</v>
      </c>
      <c r="G114" s="3263"/>
      <c r="H114" s="2819" t="str">
        <f>C116</f>
        <v>总价（万元）</v>
      </c>
      <c r="I114" s="2820" t="str">
        <f>IF(F114="——","——",O59)</f>
        <v>——</v>
      </c>
      <c r="J114" s="2862"/>
    </row>
    <row r="115" spans="1:16" ht="13.5" thickBot="1">
      <c r="A115" s="3270"/>
      <c r="B115" s="3271"/>
      <c r="C115" s="2819" t="s">
        <v>2775</v>
      </c>
      <c r="D115" s="52" t="str">
        <f>IF(A114="——","——",ROUND(IF(D114=D106,D107,IF(H19="元",D114/项目基本情况!C12,D114*10000/项目基本情况!C12)),0))</f>
        <v>——</v>
      </c>
      <c r="E115" s="1461"/>
      <c r="F115" s="3264"/>
      <c r="G115" s="3265"/>
      <c r="H115" s="2824" t="s">
        <v>2775</v>
      </c>
      <c r="I115" s="2808" t="str">
        <f ca="1">D117</f>
        <v>——</v>
      </c>
      <c r="J115" s="2846"/>
    </row>
    <row r="116" spans="1:16" ht="15.75">
      <c r="A116" s="3270" t="str">
        <f>IF(项目基本情况!G5="抵押净值",IF(OR(项目基本情况!F5="已注销",项目基本情况!F5="房地产抵押价值"),"4.抵押净值","5.抵押净值"),"——")</f>
        <v>——</v>
      </c>
      <c r="B116" s="3271"/>
      <c r="C116" s="2819" t="str">
        <f>B101</f>
        <v>总价（万元）</v>
      </c>
      <c r="D116" s="2820" t="str">
        <f>IF(A116="——","——",O59)</f>
        <v>——</v>
      </c>
      <c r="E116" s="1461"/>
      <c r="F116" s="3356"/>
      <c r="G116" s="3356"/>
      <c r="H116" s="3320"/>
      <c r="I116" s="3320"/>
      <c r="J116" s="2866"/>
      <c r="O116" s="32"/>
      <c r="P116" s="32"/>
    </row>
    <row r="117" spans="1:16" ht="13.5" thickBot="1">
      <c r="A117" s="3275"/>
      <c r="B117" s="3276"/>
      <c r="C117" s="2824" t="s">
        <v>2775</v>
      </c>
      <c r="D117" s="2808" t="str">
        <f ca="1">IF(D116=D112,D113,IF(A116="——","——",O61))</f>
        <v>——</v>
      </c>
      <c r="E117" s="1461"/>
      <c r="F117" s="3254" t="str">
        <f>IF(B32="总价","（以上估价结果中单价为总价除以建筑面积得出）","（以上估价结果中总价为楼面单价乘以建筑面积得出）")</f>
        <v>（以上估价结果中单价为总价除以建筑面积得出）</v>
      </c>
      <c r="G117" s="3254"/>
      <c r="H117" s="3254"/>
      <c r="I117" s="3254"/>
      <c r="J117" s="2867"/>
      <c r="O117" s="32"/>
      <c r="P117" s="32"/>
    </row>
    <row r="118" spans="1:16" ht="15">
      <c r="A118" s="3321" t="s">
        <v>1873</v>
      </c>
      <c r="B118" s="3322"/>
      <c r="C118" s="3322"/>
      <c r="D118" s="3322"/>
      <c r="E118" s="3322"/>
      <c r="F118" s="3322"/>
      <c r="G118" s="3322"/>
      <c r="H118" s="3322"/>
      <c r="I118" s="3322"/>
      <c r="J118" s="2868"/>
    </row>
    <row r="119" spans="1:16" ht="12.75">
      <c r="A119" s="3255" t="s">
        <v>2793</v>
      </c>
      <c r="B119" s="3281" t="s">
        <v>2803</v>
      </c>
      <c r="C119" s="3281" t="s">
        <v>2804</v>
      </c>
      <c r="D119" s="3343" t="s">
        <v>2795</v>
      </c>
      <c r="E119" s="3344"/>
      <c r="F119" s="3256" t="s">
        <v>2805</v>
      </c>
      <c r="G119" s="3256"/>
      <c r="H119" s="3256" t="s">
        <v>2796</v>
      </c>
      <c r="I119" s="3342"/>
      <c r="J119" s="2846"/>
    </row>
    <row r="120" spans="1:16" ht="12.75">
      <c r="A120" s="3255"/>
      <c r="B120" s="3282"/>
      <c r="C120" s="3282"/>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85.14</v>
      </c>
      <c r="C121" s="2092">
        <f>项目基本情况!C13</f>
        <v>0</v>
      </c>
      <c r="D121" s="2092">
        <f ca="1">ROUND(IF(B32="总价",C34,IF('数据-取费表'!B3="万元",E121*B121/10000,E121*B121)),0)</f>
        <v>93</v>
      </c>
      <c r="E121" s="2092">
        <f ca="1">ROUND(IF(B32="楼面单价",C34,IF(H19="元",D121/B121,D121*10000/B121)),0)</f>
        <v>10923</v>
      </c>
      <c r="F121" s="2092">
        <f ca="1">ROUND(IF(B32="总价",C35,IF('数据-取费表'!B3="万元",G121*B121/10000,G121*B121)),0)</f>
        <v>52</v>
      </c>
      <c r="G121" s="2092">
        <f ca="1">ROUND(IF(B32="楼面单价",C35,IF(H19="元",F121/B121,F121*10000/B121)),0)</f>
        <v>6108</v>
      </c>
      <c r="H121" s="2092">
        <f ca="1">ROUND(IF(B32="总价",C32,IF('数据-取费表'!B3="万元",I121*B121/10000,I121*B121)),0)</f>
        <v>145</v>
      </c>
      <c r="I121" s="52">
        <f ca="1">ROUND(IF(B32="楼面单价",C32,IF(H19="元",H121/B121,H121*10000/B121)),0)</f>
        <v>17031</v>
      </c>
      <c r="J121" s="2846"/>
    </row>
    <row r="122" spans="1:16" ht="12.75">
      <c r="A122" s="3255" t="s">
        <v>2799</v>
      </c>
      <c r="B122" s="3256"/>
      <c r="C122" s="3256"/>
      <c r="D122" s="3283" t="str">
        <f ca="1">IF(H19="元",NUMBERSTRING(INT(D121),2)&amp;"元整",NUMBERSTRING(INT(D121*10000),2)&amp;"元整")</f>
        <v>玖拾叁万元整</v>
      </c>
      <c r="E122" s="3326"/>
      <c r="F122" s="3283" t="str">
        <f ca="1">IF(H19="元",NUMBERSTRING(INT(F121),2)&amp;"元整",NUMBERSTRING(INT(F121*10000),2)&amp;"元整")</f>
        <v>伍拾贰万元整</v>
      </c>
      <c r="G122" s="3326"/>
      <c r="H122" s="3283" t="str">
        <f ca="1">IF(H19="元",NUMBERSTRING(INT(H121),2)&amp;"元整",NUMBERSTRING(INT(H121*10000),2)&amp;"元整")</f>
        <v>壹佰肆拾伍万元整</v>
      </c>
      <c r="I122" s="3284"/>
      <c r="J122" s="2869"/>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62"/>
    </row>
    <row r="124" spans="1:16" ht="12.75">
      <c r="A124" s="3327" t="s">
        <v>2799</v>
      </c>
      <c r="B124" s="3295"/>
      <c r="C124" s="3296"/>
      <c r="D124" s="3267">
        <f>H109</f>
        <v>0</v>
      </c>
      <c r="E124" s="3268"/>
      <c r="F124" s="3268"/>
      <c r="G124" s="3268"/>
      <c r="H124" s="3268"/>
      <c r="I124" s="3269"/>
      <c r="J124" s="2870"/>
    </row>
    <row r="125" spans="1:16" ht="12.75">
      <c r="A125" s="3270" t="str">
        <f>IF(项目基本情况!D5="房地产市场价值","——",MID(A112,3,LEN(A112)-2))</f>
        <v>房地产抵押价值</v>
      </c>
      <c r="B125" s="3271"/>
      <c r="C125" s="3271"/>
      <c r="D125" s="3258">
        <f ca="1">I110</f>
        <v>145</v>
      </c>
      <c r="E125" s="3266"/>
      <c r="F125" s="3266"/>
      <c r="G125" s="3266"/>
      <c r="H125" s="3266"/>
      <c r="I125" s="3259"/>
      <c r="J125" s="2862"/>
    </row>
    <row r="126" spans="1:16" ht="12.75">
      <c r="A126" s="3255" t="s">
        <v>2799</v>
      </c>
      <c r="B126" s="3256"/>
      <c r="C126" s="3256"/>
      <c r="D126" s="3267">
        <f ca="1">I111</f>
        <v>17031</v>
      </c>
      <c r="E126" s="3268"/>
      <c r="F126" s="3268"/>
      <c r="G126" s="3268"/>
      <c r="H126" s="3268"/>
      <c r="I126" s="3269"/>
      <c r="J126" s="2870"/>
    </row>
    <row r="127" spans="1:16" ht="13.5" thickBot="1">
      <c r="A127" s="3270" t="str">
        <f>IF(项目基本情况!D5="房地产市场价值","——",MID(A114,3,LEN(A114)-2))</f>
        <v/>
      </c>
      <c r="B127" s="3271"/>
      <c r="C127" s="3271"/>
      <c r="D127" s="3303" t="str">
        <f>I112</f>
        <v>——</v>
      </c>
      <c r="E127" s="3304"/>
      <c r="F127" s="3304"/>
      <c r="G127" s="3304"/>
      <c r="H127" s="3304"/>
      <c r="I127" s="3355"/>
      <c r="J127" s="2862"/>
    </row>
    <row r="128" spans="1:16" ht="14.25" thickTop="1" thickBot="1">
      <c r="A128" s="3255" t="s">
        <v>2799</v>
      </c>
      <c r="B128" s="3256"/>
      <c r="C128" s="3257"/>
      <c r="D128" s="3319" t="str">
        <f>I113</f>
        <v>——</v>
      </c>
      <c r="E128" s="3319"/>
      <c r="F128" s="3319"/>
      <c r="G128" s="3319"/>
      <c r="H128" s="3319"/>
      <c r="I128" s="3319"/>
      <c r="J128" s="2870"/>
    </row>
    <row r="129" spans="1:10" ht="14.25" thickTop="1" thickBot="1">
      <c r="A129" s="3270" t="str">
        <f>IF(项目基本情况!D5="房地产市场价值","——",MID(F114,3,LEN(F114)-2))</f>
        <v/>
      </c>
      <c r="B129" s="3271"/>
      <c r="C129" s="3258"/>
      <c r="D129" s="3274" t="str">
        <f>I114</f>
        <v>——</v>
      </c>
      <c r="E129" s="3274"/>
      <c r="F129" s="3274"/>
      <c r="G129" s="3274"/>
      <c r="H129" s="3274"/>
      <c r="I129" s="3274"/>
      <c r="J129" s="2862"/>
    </row>
    <row r="130" spans="1:10" ht="14.25" thickTop="1" thickBot="1">
      <c r="A130" s="3279" t="s">
        <v>2799</v>
      </c>
      <c r="B130" s="3280"/>
      <c r="C130" s="3280"/>
      <c r="D130" s="3285">
        <f>H116</f>
        <v>0</v>
      </c>
      <c r="E130" s="3286"/>
      <c r="F130" s="3286"/>
      <c r="G130" s="3286"/>
      <c r="H130" s="3286"/>
      <c r="I130" s="3287"/>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7" t="s">
        <v>1882</v>
      </c>
      <c r="B2" s="3387"/>
      <c r="C2" s="3387"/>
      <c r="D2" s="3387"/>
      <c r="E2" s="3387"/>
      <c r="F2" s="3387"/>
      <c r="G2" s="3387"/>
      <c r="H2" s="3387"/>
      <c r="I2" s="3387"/>
      <c r="J2" s="2875"/>
    </row>
    <row r="3" spans="1:15" ht="12.75">
      <c r="A3" s="3311" t="s">
        <v>1710</v>
      </c>
      <c r="B3" s="3312"/>
      <c r="C3" s="3312"/>
      <c r="D3" s="3312"/>
      <c r="E3" s="3312"/>
      <c r="F3" s="3312"/>
      <c r="G3" s="3312"/>
      <c r="H3" s="3312"/>
      <c r="I3" s="3312"/>
      <c r="J3" s="2845"/>
    </row>
    <row r="4" spans="1:15" ht="14.25">
      <c r="A4" s="2713" t="s">
        <v>1711</v>
      </c>
      <c r="B4" s="2713" t="s">
        <v>1712</v>
      </c>
      <c r="C4" s="2714"/>
      <c r="D4" s="2714"/>
      <c r="E4" s="3257" t="s">
        <v>1883</v>
      </c>
      <c r="F4" s="3295"/>
      <c r="G4" s="3295"/>
      <c r="H4" s="3295"/>
      <c r="I4" s="329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8" t="s">
        <v>1714</v>
      </c>
      <c r="B5" s="3288">
        <v>25</v>
      </c>
      <c r="C5" s="3297"/>
      <c r="D5" s="3310"/>
      <c r="E5" s="12" t="s">
        <v>1715</v>
      </c>
      <c r="F5" s="2089"/>
      <c r="G5" s="2089"/>
      <c r="H5" s="2089"/>
      <c r="I5" s="2084"/>
      <c r="J5" s="2846"/>
    </row>
    <row r="6" spans="1:15" ht="12.75">
      <c r="A6" s="3288"/>
      <c r="B6" s="3288"/>
      <c r="C6" s="3313"/>
      <c r="D6" s="3310"/>
      <c r="E6" s="12" t="s">
        <v>1716</v>
      </c>
      <c r="F6" s="2089"/>
      <c r="G6" s="2089"/>
      <c r="H6" s="2089"/>
      <c r="I6" s="2084"/>
      <c r="J6" s="2846"/>
    </row>
    <row r="7" spans="1:15" ht="12.75">
      <c r="A7" s="3288"/>
      <c r="B7" s="3288"/>
      <c r="C7" s="3298"/>
      <c r="D7" s="3310"/>
      <c r="E7" s="12" t="s">
        <v>1717</v>
      </c>
      <c r="F7" s="2089"/>
      <c r="G7" s="2089"/>
      <c r="H7" s="2089"/>
      <c r="I7" s="2084"/>
      <c r="J7" s="2846"/>
    </row>
    <row r="8" spans="1:15" ht="12.75">
      <c r="A8" s="3288" t="s">
        <v>1718</v>
      </c>
      <c r="B8" s="3288">
        <v>15</v>
      </c>
      <c r="C8" s="3297"/>
      <c r="D8" s="3310"/>
      <c r="E8" s="12" t="s">
        <v>1719</v>
      </c>
      <c r="F8" s="2089"/>
      <c r="G8" s="2089"/>
      <c r="H8" s="2089"/>
      <c r="I8" s="2084"/>
      <c r="J8" s="2846"/>
    </row>
    <row r="9" spans="1:15" ht="12.75">
      <c r="A9" s="3288"/>
      <c r="B9" s="3288"/>
      <c r="C9" s="3298"/>
      <c r="D9" s="3310"/>
      <c r="E9" s="12" t="s">
        <v>1720</v>
      </c>
      <c r="F9" s="2089"/>
      <c r="G9" s="2089"/>
      <c r="H9" s="2089"/>
      <c r="I9" s="2084"/>
      <c r="J9" s="2846"/>
    </row>
    <row r="10" spans="1:15" ht="12.75">
      <c r="A10" s="3288" t="s">
        <v>1721</v>
      </c>
      <c r="B10" s="3288">
        <v>15</v>
      </c>
      <c r="C10" s="3297"/>
      <c r="D10" s="3310"/>
      <c r="E10" s="12" t="s">
        <v>1722</v>
      </c>
      <c r="F10" s="2089"/>
      <c r="G10" s="2089"/>
      <c r="H10" s="2089"/>
      <c r="I10" s="2084"/>
      <c r="J10" s="2846"/>
    </row>
    <row r="11" spans="1:15" ht="12.75">
      <c r="A11" s="3288"/>
      <c r="B11" s="3288"/>
      <c r="C11" s="3298"/>
      <c r="D11" s="3310"/>
      <c r="E11" s="12" t="s">
        <v>1723</v>
      </c>
      <c r="F11" s="2089"/>
      <c r="G11" s="2089"/>
      <c r="H11" s="2089"/>
      <c r="I11" s="2084"/>
      <c r="J11" s="2846"/>
    </row>
    <row r="12" spans="1:15" ht="12.75">
      <c r="A12" s="3288" t="s">
        <v>1724</v>
      </c>
      <c r="B12" s="3288">
        <v>15</v>
      </c>
      <c r="C12" s="3297"/>
      <c r="D12" s="3310"/>
      <c r="E12" s="12" t="s">
        <v>1725</v>
      </c>
      <c r="F12" s="2089"/>
      <c r="G12" s="2089"/>
      <c r="H12" s="2089"/>
      <c r="I12" s="2084"/>
      <c r="J12" s="2846"/>
    </row>
    <row r="13" spans="1:15" ht="12.75">
      <c r="A13" s="3288"/>
      <c r="B13" s="3288"/>
      <c r="C13" s="3298"/>
      <c r="D13" s="3310"/>
      <c r="E13" s="12" t="s">
        <v>1726</v>
      </c>
      <c r="F13" s="2089"/>
      <c r="G13" s="2089"/>
      <c r="H13" s="2089"/>
      <c r="I13" s="2084"/>
      <c r="J13" s="2846"/>
    </row>
    <row r="14" spans="1:15" ht="12.75">
      <c r="A14" s="3288" t="s">
        <v>1727</v>
      </c>
      <c r="B14" s="3288">
        <v>30</v>
      </c>
      <c r="C14" s="3297"/>
      <c r="D14" s="3310"/>
      <c r="E14" s="12" t="s">
        <v>1728</v>
      </c>
      <c r="F14" s="2089"/>
      <c r="G14" s="2089"/>
      <c r="H14" s="2089"/>
      <c r="I14" s="2084"/>
      <c r="J14" s="2846"/>
    </row>
    <row r="15" spans="1:15" ht="12.75">
      <c r="A15" s="3288"/>
      <c r="B15" s="3288"/>
      <c r="C15" s="3313"/>
      <c r="D15" s="3310"/>
      <c r="E15" s="12" t="s">
        <v>1729</v>
      </c>
      <c r="F15" s="2089"/>
      <c r="G15" s="2089"/>
      <c r="H15" s="2089"/>
      <c r="I15" s="2084"/>
      <c r="J15" s="2846"/>
    </row>
    <row r="16" spans="1:15" ht="12.75">
      <c r="A16" s="3288"/>
      <c r="B16" s="3288"/>
      <c r="C16" s="3298"/>
      <c r="D16" s="3310"/>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06" t="s">
        <v>2818</v>
      </c>
      <c r="F18" s="3307"/>
      <c r="G18" s="3307"/>
      <c r="H18" s="3307"/>
      <c r="I18" s="3307"/>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4" t="s">
        <v>1886</v>
      </c>
      <c r="B32" s="3364"/>
      <c r="C32" s="3364"/>
      <c r="D32" s="3364"/>
      <c r="E32" s="3364"/>
      <c r="F32" s="3364"/>
      <c r="G32" s="3364"/>
      <c r="H32" s="3364"/>
      <c r="I32" s="336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299" t="s">
        <v>1895</v>
      </c>
      <c r="B38" s="1468" t="s">
        <v>1896</v>
      </c>
      <c r="C38" s="2757"/>
      <c r="D38" s="2758"/>
      <c r="E38" s="1680"/>
      <c r="F38" s="1680"/>
      <c r="G38" s="947"/>
      <c r="H38" s="947"/>
      <c r="I38" s="947"/>
      <c r="J38" s="2847"/>
    </row>
    <row r="39" spans="1:16" ht="15.75" thickBot="1">
      <c r="A39" s="3300"/>
      <c r="B39" s="2094" t="s">
        <v>1897</v>
      </c>
      <c r="C39" s="2759"/>
      <c r="D39" s="1311"/>
      <c r="E39" s="1311"/>
      <c r="F39" s="1680"/>
      <c r="G39" s="1311"/>
      <c r="H39" s="1311"/>
      <c r="I39" s="1311"/>
      <c r="J39" s="2851"/>
    </row>
    <row r="40" spans="1:16" ht="15.75" thickBot="1">
      <c r="A40" s="3301"/>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2817</v>
      </c>
      <c r="J46" s="2877"/>
      <c r="K46" s="1475" t="s">
        <v>1762</v>
      </c>
      <c r="L46" s="1476"/>
      <c r="M46" s="1476"/>
      <c r="N46" s="1476"/>
      <c r="O46" s="1476"/>
      <c r="P46" s="1476"/>
    </row>
    <row r="47" spans="1:16" ht="14.25" customHeight="1" thickBot="1">
      <c r="A47" s="3303" t="s">
        <v>1908</v>
      </c>
      <c r="B47" s="3304"/>
      <c r="C47" s="3263"/>
      <c r="D47" s="246">
        <f>ROUND(I104*F47,0)</f>
        <v>0</v>
      </c>
      <c r="E47" s="1542" t="s">
        <v>1909</v>
      </c>
      <c r="F47" s="2561">
        <v>1</v>
      </c>
      <c r="G47" s="2562" t="s">
        <v>1910</v>
      </c>
      <c r="H47" s="947"/>
      <c r="I47" s="947"/>
      <c r="J47" s="2847"/>
      <c r="K47" s="3389" t="s">
        <v>1766</v>
      </c>
      <c r="L47" s="3389"/>
      <c r="M47" s="3389"/>
      <c r="N47" s="3389"/>
      <c r="O47" s="3389"/>
      <c r="P47" s="3389"/>
    </row>
    <row r="48" spans="1:16" ht="14.25" customHeight="1">
      <c r="A48" s="3292" t="s">
        <v>1767</v>
      </c>
      <c r="B48" s="3293"/>
      <c r="C48" s="3293"/>
      <c r="D48" s="3293"/>
      <c r="E48" s="3293"/>
      <c r="F48" s="3293"/>
      <c r="G48" s="3294"/>
      <c r="H48" s="2979"/>
      <c r="I48" s="947"/>
      <c r="J48" s="2847"/>
      <c r="K48" s="2513">
        <v>1</v>
      </c>
      <c r="L48" s="3384" t="s">
        <v>1768</v>
      </c>
      <c r="M48" s="3384"/>
      <c r="N48" s="3390"/>
      <c r="O48" s="3390"/>
      <c r="P48" s="3390"/>
    </row>
    <row r="49" spans="1:17" ht="12" customHeight="1">
      <c r="A49" s="38" t="s">
        <v>1769</v>
      </c>
      <c r="B49" s="39"/>
      <c r="C49" s="40"/>
      <c r="D49" s="1099" t="s">
        <v>1770</v>
      </c>
      <c r="E49" s="235" t="s">
        <v>1771</v>
      </c>
      <c r="F49" s="41" t="s">
        <v>1772</v>
      </c>
      <c r="G49" s="2564" t="s">
        <v>1773</v>
      </c>
      <c r="H49" s="2979"/>
      <c r="I49" s="947"/>
      <c r="J49" s="2847"/>
      <c r="K49" s="2513">
        <v>2</v>
      </c>
      <c r="L49" s="3384" t="s">
        <v>1774</v>
      </c>
      <c r="M49" s="3384"/>
      <c r="N49" s="3391">
        <f>'数据-取费表'!B2</f>
        <v>44461</v>
      </c>
      <c r="O49" s="3391"/>
      <c r="P49" s="3391"/>
    </row>
    <row r="50" spans="1:17" ht="25.5">
      <c r="A50" s="3302" t="s">
        <v>1775</v>
      </c>
      <c r="B50" s="3256"/>
      <c r="C50" s="3256"/>
      <c r="D50" s="12">
        <f>IF(H50="情况1",0,IF(H50="情况2",D54,IF(H50="情况3",D55,IF(H50="情况4",D56))))</f>
        <v>0</v>
      </c>
      <c r="E50" s="2092" t="str">
        <f>IF(H50="情况4","(销售额-原购置价)×税（费）率","销售额×税（费）率")</f>
        <v>销售额×税（费）率</v>
      </c>
      <c r="F50" s="2565">
        <f>IF(H50="情况1","免征",'数据-取费表'!E29)</f>
        <v>5.5000000000000007E-2</v>
      </c>
      <c r="G50" s="2566" t="s">
        <v>1776</v>
      </c>
      <c r="H50" s="2567" t="s">
        <v>1777</v>
      </c>
      <c r="I50" s="2979"/>
      <c r="J50" s="2854"/>
      <c r="K50" s="2513">
        <v>3</v>
      </c>
      <c r="L50" s="3384" t="s">
        <v>1778</v>
      </c>
      <c r="M50" s="3384"/>
      <c r="N50" s="3385">
        <f>I104</f>
        <v>0</v>
      </c>
      <c r="O50" s="3385"/>
      <c r="P50" s="3385"/>
    </row>
    <row r="51" spans="1:17" ht="25.5" customHeight="1">
      <c r="A51" s="2091" t="s">
        <v>1779</v>
      </c>
      <c r="B51" s="3295" t="s">
        <v>1780</v>
      </c>
      <c r="C51" s="3295"/>
      <c r="D51" s="2568">
        <v>0</v>
      </c>
      <c r="E51" s="261" t="s">
        <v>1781</v>
      </c>
      <c r="F51" s="2569" t="s">
        <v>48</v>
      </c>
      <c r="G51" s="3352"/>
      <c r="H51" s="2570" t="s">
        <v>2742</v>
      </c>
      <c r="I51" s="2571"/>
      <c r="J51" s="2855"/>
      <c r="K51" s="2513">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customHeight="1">
      <c r="A52" s="2081"/>
      <c r="B52" s="3295" t="s">
        <v>1782</v>
      </c>
      <c r="C52" s="3295"/>
      <c r="D52" s="2572"/>
      <c r="E52" s="269"/>
      <c r="F52" s="2569"/>
      <c r="G52" s="3353"/>
      <c r="H52" s="2573" t="s">
        <v>2743</v>
      </c>
      <c r="I52" s="2571"/>
      <c r="J52" s="2855"/>
      <c r="K52" s="3384" t="s">
        <v>1783</v>
      </c>
      <c r="L52" s="3384"/>
      <c r="M52" s="3384"/>
      <c r="N52" s="3384"/>
      <c r="O52" s="3384"/>
      <c r="P52" s="3384"/>
    </row>
    <row r="53" spans="1:17" ht="20.45" customHeight="1">
      <c r="A53" s="2574"/>
      <c r="B53" s="3295" t="s">
        <v>1784</v>
      </c>
      <c r="C53" s="3295"/>
      <c r="D53" s="1099"/>
      <c r="E53" s="264"/>
      <c r="F53" s="2569"/>
      <c r="G53" s="3354"/>
      <c r="H53" s="2573" t="s">
        <v>2744</v>
      </c>
      <c r="I53" s="2571"/>
      <c r="J53" s="2855"/>
      <c r="K53" s="2514" t="s">
        <v>1785</v>
      </c>
      <c r="L53" s="3384" t="s">
        <v>1786</v>
      </c>
      <c r="M53" s="3384"/>
      <c r="N53" s="2514" t="s">
        <v>1787</v>
      </c>
      <c r="O53" s="2514" t="s">
        <v>1788</v>
      </c>
      <c r="P53" s="2514" t="s">
        <v>1789</v>
      </c>
    </row>
    <row r="54" spans="1:17" ht="24" customHeight="1">
      <c r="A54" s="2082" t="s">
        <v>1790</v>
      </c>
      <c r="B54" s="3295" t="s">
        <v>1791</v>
      </c>
      <c r="C54" s="3295"/>
      <c r="D54" s="1099">
        <f>ROUND(D47*'数据-取费表'!E29/(1+'数据-取费表'!F30),0)</f>
        <v>0</v>
      </c>
      <c r="E54" s="2092" t="s">
        <v>1792</v>
      </c>
      <c r="F54" s="2575">
        <f>'数据-取费表'!E29</f>
        <v>5.5000000000000007E-2</v>
      </c>
      <c r="G54" s="2576"/>
      <c r="H54" s="947"/>
      <c r="I54" s="2980"/>
      <c r="J54" s="2855"/>
      <c r="K54" s="2513">
        <v>1</v>
      </c>
      <c r="L54" s="3380" t="s">
        <v>1793</v>
      </c>
      <c r="M54" s="3380"/>
      <c r="N54" s="2515">
        <f>D50</f>
        <v>0</v>
      </c>
      <c r="O54" s="2513" t="str">
        <f>E50</f>
        <v>销售额×税（费）率</v>
      </c>
      <c r="P54" s="2516">
        <f>F50</f>
        <v>5.5000000000000007E-2</v>
      </c>
    </row>
    <row r="55" spans="1:17" ht="12" customHeight="1">
      <c r="A55" s="2082" t="s">
        <v>1794</v>
      </c>
      <c r="B55" s="3257" t="s">
        <v>2836</v>
      </c>
      <c r="C55" s="3296"/>
      <c r="D55" s="1099">
        <f>ROUND(D47*'数据-取费表'!E29/(1+'数据-取费表'!F30),0)</f>
        <v>0</v>
      </c>
      <c r="E55" s="2092" t="s">
        <v>1792</v>
      </c>
      <c r="F55" s="2575">
        <f>'数据-取费表'!E29</f>
        <v>5.5000000000000007E-2</v>
      </c>
      <c r="G55" s="2576"/>
      <c r="H55" s="947"/>
      <c r="I55" s="2980"/>
      <c r="J55" s="2855"/>
      <c r="K55" s="2513">
        <v>2</v>
      </c>
      <c r="L55" s="3380" t="s">
        <v>1795</v>
      </c>
      <c r="M55" s="3380"/>
      <c r="N55" s="2515">
        <f t="shared" ref="N55:P56" si="1">D57</f>
        <v>0</v>
      </c>
      <c r="O55" s="2513" t="str">
        <f t="shared" si="1"/>
        <v>销售额×税（费）率</v>
      </c>
      <c r="P55" s="2516">
        <f t="shared" si="1"/>
        <v>5.0000000000000001E-4</v>
      </c>
    </row>
    <row r="56" spans="1:17" ht="12" customHeight="1">
      <c r="A56" s="2082" t="s">
        <v>1796</v>
      </c>
      <c r="B56" s="3257" t="s">
        <v>2837</v>
      </c>
      <c r="C56" s="3296"/>
      <c r="D56" s="1099">
        <f>C70</f>
        <v>0</v>
      </c>
      <c r="E56" s="264" t="s">
        <v>1797</v>
      </c>
      <c r="F56" s="2575">
        <f>'数据-取费表'!E29</f>
        <v>5.5000000000000007E-2</v>
      </c>
      <c r="G56" s="2576"/>
      <c r="H56" s="2981"/>
      <c r="I56" s="2980"/>
      <c r="J56" s="2855"/>
      <c r="K56" s="2513">
        <v>3</v>
      </c>
      <c r="L56" s="3380" t="s">
        <v>1798</v>
      </c>
      <c r="M56" s="3380"/>
      <c r="N56" s="2515">
        <f t="shared" si="1"/>
        <v>0</v>
      </c>
      <c r="O56" s="2513" t="str">
        <f t="shared" si="1"/>
        <v>增值额×税（费）率</v>
      </c>
      <c r="P56" s="2517" t="str">
        <f t="shared" si="1"/>
        <v>——</v>
      </c>
    </row>
    <row r="57" spans="1:17" ht="24" customHeight="1">
      <c r="A57" s="3255" t="s">
        <v>1799</v>
      </c>
      <c r="B57" s="3256"/>
      <c r="C57" s="3256"/>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0" t="str">
        <f>IF(H61="非个人房产","——","个人所得税")</f>
        <v>个人所得税</v>
      </c>
      <c r="M57" s="3380"/>
      <c r="N57" s="2518">
        <f>D61</f>
        <v>0</v>
      </c>
      <c r="O57" s="2519" t="str">
        <f>E61</f>
        <v>销售额×税（费）率</v>
      </c>
      <c r="P57" s="2520">
        <f>F61</f>
        <v>0.01</v>
      </c>
    </row>
    <row r="58" spans="1:17" ht="24.75">
      <c r="A58" s="3255" t="s">
        <v>1802</v>
      </c>
      <c r="B58" s="3256"/>
      <c r="C58" s="3256"/>
      <c r="D58" s="12">
        <f>IF(H58="个人住宅",D59,D60)</f>
        <v>0</v>
      </c>
      <c r="E58" s="2092" t="s">
        <v>1803</v>
      </c>
      <c r="F58" s="2575" t="str">
        <f>IF(H58="正常",F60,"免征")</f>
        <v>——</v>
      </c>
      <c r="G58" s="2577" t="s">
        <v>1804</v>
      </c>
      <c r="H58" s="2578" t="s">
        <v>1801</v>
      </c>
      <c r="I58" s="2982"/>
      <c r="J58" s="2855"/>
      <c r="K58" s="2513" t="str">
        <f>IF(项目基本情况!I6="上海银行",IF(K57="",4,K57+1),"")</f>
        <v/>
      </c>
      <c r="L58" s="3382" t="str">
        <f>IF(项目基本情况!I6="上海银行","其他处置费用","")</f>
        <v/>
      </c>
      <c r="M58" s="3383"/>
      <c r="N58" s="2515" t="str">
        <f>IF(项目基本情况!I6="上海银行",N71,"")</f>
        <v/>
      </c>
      <c r="O58" s="3382" t="str">
        <f>IF(项目基本情况!I6="上海银行","包含处置中涉及的律师、诉讼、拍卖、评估等费用","")</f>
        <v/>
      </c>
      <c r="P58" s="3386"/>
    </row>
    <row r="59" spans="1:17" ht="12.75">
      <c r="A59" s="2082" t="s">
        <v>1779</v>
      </c>
      <c r="B59" s="3257" t="s">
        <v>1805</v>
      </c>
      <c r="C59" s="3296"/>
      <c r="D59" s="2568">
        <v>0</v>
      </c>
      <c r="E59" s="261" t="s">
        <v>1781</v>
      </c>
      <c r="F59" s="235"/>
      <c r="G59" s="2576"/>
      <c r="H59" s="2982"/>
      <c r="I59" s="2982"/>
      <c r="J59" s="2855"/>
      <c r="K59" s="3380">
        <f>IF(AND(K57="",K58=""),4,IF(项目基本情况!I6="上海银行",K58+1,K57+1))</f>
        <v>5</v>
      </c>
      <c r="L59" s="3380" t="s">
        <v>1806</v>
      </c>
      <c r="M59" s="2521" t="s">
        <v>1807</v>
      </c>
      <c r="N59" s="2522"/>
      <c r="O59" s="2523">
        <f>SUMIF(N54:N58,"&lt;9e307")</f>
        <v>0</v>
      </c>
      <c r="P59" s="2524"/>
      <c r="Q59" s="1306" t="e">
        <f>O59/N51</f>
        <v>#VALUE!</v>
      </c>
    </row>
    <row r="60" spans="1:17" ht="24.75">
      <c r="A60" s="2082" t="s">
        <v>1790</v>
      </c>
      <c r="B60" s="3257" t="s">
        <v>1808</v>
      </c>
      <c r="C60" s="3295"/>
      <c r="D60" s="12">
        <f>IF(H60="转让取得",C83,C99)</f>
        <v>0</v>
      </c>
      <c r="E60" s="2092" t="s">
        <v>1803</v>
      </c>
      <c r="F60" s="235" t="s">
        <v>48</v>
      </c>
      <c r="G60" s="2576"/>
      <c r="H60" s="2578" t="s">
        <v>1809</v>
      </c>
      <c r="I60" s="2982"/>
      <c r="J60" s="2855"/>
      <c r="K60" s="3380"/>
      <c r="L60" s="3380"/>
      <c r="M60" s="2521" t="s">
        <v>1810</v>
      </c>
      <c r="N60" s="2525"/>
      <c r="O60" s="2526" t="str">
        <f>IF(H19="元",NUMBERSTRING(INT(O59),2)&amp;"元整",NUMBERSTRING(INT(O59*10000),2)&amp;"元整")</f>
        <v>零元整</v>
      </c>
      <c r="P60" s="2527"/>
    </row>
    <row r="61" spans="1:17" ht="26.25" thickBot="1">
      <c r="A61" s="3279" t="s">
        <v>1811</v>
      </c>
      <c r="B61" s="3280"/>
      <c r="C61" s="328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78">
        <f>K59+1</f>
        <v>6</v>
      </c>
      <c r="L61" s="3380" t="s">
        <v>1812</v>
      </c>
      <c r="M61" s="2513" t="s">
        <v>1807</v>
      </c>
      <c r="N61" s="2528"/>
      <c r="O61" s="2529" t="e">
        <f>N51-O59</f>
        <v>#VALUE!</v>
      </c>
      <c r="P61" s="2530"/>
    </row>
    <row r="62" spans="1:17" ht="12" customHeight="1">
      <c r="A62" s="1457"/>
      <c r="B62" s="2563"/>
      <c r="C62" s="2563"/>
      <c r="D62" s="2563"/>
      <c r="E62" s="1457"/>
      <c r="F62" s="2982"/>
      <c r="G62" s="2982"/>
      <c r="H62" s="2977"/>
      <c r="I62" s="947"/>
      <c r="J62" s="2855"/>
      <c r="K62" s="3379"/>
      <c r="L62" s="3380"/>
      <c r="M62" s="2521" t="s">
        <v>1810</v>
      </c>
      <c r="N62" s="2525"/>
      <c r="O62" s="2526" t="e">
        <f>IF(H19="元",NUMBERSTRING(INT(O61),2)&amp;"元整",NUMBERSTRING(INT(O61*10000),2)&amp;"元整")</f>
        <v>#VALUE!</v>
      </c>
      <c r="P62" s="2527"/>
    </row>
    <row r="63" spans="1:17" ht="13.5" thickBot="1">
      <c r="A63" s="3381" t="s">
        <v>1813</v>
      </c>
      <c r="B63" s="3381"/>
      <c r="C63" s="3381"/>
      <c r="D63" s="3381"/>
      <c r="E63" s="3381"/>
      <c r="F63" s="2982"/>
      <c r="G63" s="2982"/>
      <c r="H63" s="2977"/>
      <c r="I63" s="947"/>
      <c r="J63" s="2847"/>
      <c r="K63" s="2513">
        <f>K61+1</f>
        <v>7</v>
      </c>
      <c r="L63" s="3380" t="s">
        <v>1814</v>
      </c>
      <c r="M63" s="3380"/>
      <c r="N63" s="2531"/>
      <c r="O63" s="2532" t="e">
        <f>IF(H19="元",ROUND(O61/项目基本情况!C12,0),ROUND(O61*10000/项目基本情况!C12,0))</f>
        <v>#VALUE!</v>
      </c>
      <c r="P63" s="2533"/>
    </row>
    <row r="64" spans="1:17" ht="12.75">
      <c r="A64" s="3314" t="s">
        <v>1815</v>
      </c>
      <c r="B64" s="3315"/>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88"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8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88"/>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88"/>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8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5.5000000000000007E-2</v>
      </c>
      <c r="E70" s="57"/>
      <c r="F70" s="2982"/>
      <c r="G70" s="2982"/>
      <c r="H70" s="2977"/>
      <c r="I70" s="947"/>
      <c r="J70" s="2847"/>
      <c r="K70" s="3388"/>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88"/>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5" t="s">
        <v>1835</v>
      </c>
      <c r="B72" s="3376"/>
      <c r="C72" s="3376"/>
      <c r="D72" s="3376"/>
      <c r="E72" s="3376"/>
      <c r="F72" s="3376"/>
      <c r="G72" s="3376"/>
      <c r="H72" s="337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4" t="s">
        <v>1815</v>
      </c>
      <c r="B73" s="3315"/>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57" t="s">
        <v>1845</v>
      </c>
      <c r="F78" s="3295"/>
      <c r="G78" s="3295"/>
      <c r="H78" s="330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5.000000000000001E-3</v>
      </c>
      <c r="E80" s="3289" t="s">
        <v>1850</v>
      </c>
      <c r="F80" s="3290"/>
      <c r="G80" s="3290"/>
      <c r="H80" s="329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5" t="s">
        <v>1854</v>
      </c>
      <c r="B85" s="3376"/>
      <c r="C85" s="3376"/>
      <c r="D85" s="3376"/>
      <c r="E85" s="3376"/>
      <c r="F85" s="3376"/>
      <c r="G85" s="3376"/>
      <c r="H85" s="337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4" t="s">
        <v>1815</v>
      </c>
      <c r="B86" s="3315"/>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0" t="s">
        <v>2736</v>
      </c>
      <c r="H92" s="3377"/>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89" t="s">
        <v>1862</v>
      </c>
      <c r="F93" s="3290"/>
      <c r="G93" s="3290"/>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89" t="s">
        <v>1865</v>
      </c>
      <c r="F94" s="3290"/>
      <c r="G94" s="3290"/>
      <c r="H94" s="3291"/>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5.000000000000001E-3</v>
      </c>
      <c r="E95" s="3289" t="s">
        <v>1850</v>
      </c>
      <c r="F95" s="3290"/>
      <c r="G95" s="3290"/>
      <c r="H95" s="329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89" t="s">
        <v>1867</v>
      </c>
      <c r="F96" s="3290"/>
      <c r="G96" s="3290"/>
      <c r="H96" s="329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36" t="s">
        <v>1869</v>
      </c>
      <c r="B101" s="3337"/>
      <c r="C101" s="3337"/>
      <c r="D101" s="3338"/>
      <c r="E101" s="1461"/>
      <c r="F101" s="3372" t="s">
        <v>2778</v>
      </c>
      <c r="G101" s="3373"/>
      <c r="H101" s="3373"/>
      <c r="I101" s="3374"/>
      <c r="J101" s="2882"/>
    </row>
    <row r="102" spans="1:36" ht="15">
      <c r="A102" s="3348" t="s">
        <v>1871</v>
      </c>
      <c r="B102" s="3349"/>
      <c r="C102" s="2805">
        <f>C4</f>
        <v>0</v>
      </c>
      <c r="D102" s="2806">
        <f>D4</f>
        <v>0</v>
      </c>
      <c r="E102" s="1461"/>
      <c r="F102" s="3260" t="s">
        <v>2779</v>
      </c>
      <c r="G102" s="3261"/>
      <c r="H102" s="3266" t="s">
        <v>2780</v>
      </c>
      <c r="I102" s="3259"/>
      <c r="J102" s="2862"/>
    </row>
    <row r="103" spans="1:36" ht="12.75">
      <c r="A103" s="3369" t="s">
        <v>2774</v>
      </c>
      <c r="B103" s="2307" t="str">
        <f>IF(H19="元","总价（元）","总价（万元）")</f>
        <v>总价（万元）</v>
      </c>
      <c r="C103" s="1307" t="e">
        <f ca="1">C19</f>
        <v>#REF!</v>
      </c>
      <c r="D103" s="2809" t="e">
        <f ca="1">D19</f>
        <v>#REF!</v>
      </c>
      <c r="E103" s="1461"/>
      <c r="F103" s="3370"/>
      <c r="G103" s="3371"/>
      <c r="H103" s="3258">
        <f>典型户型修正!B25</f>
        <v>0</v>
      </c>
      <c r="I103" s="3259"/>
      <c r="J103" s="2862"/>
    </row>
    <row r="104" spans="1:36" ht="12.75">
      <c r="A104" s="3369"/>
      <c r="B104" s="2307" t="s">
        <v>2775</v>
      </c>
      <c r="C104" s="2810" t="e">
        <f ca="1">C20</f>
        <v>#REF!</v>
      </c>
      <c r="D104" s="2811" t="e">
        <f ca="1">D20</f>
        <v>#REF!</v>
      </c>
      <c r="E104" s="1461"/>
      <c r="F104" s="3270" t="s">
        <v>2781</v>
      </c>
      <c r="G104" s="3271"/>
      <c r="H104" s="2819" t="str">
        <f>C110</f>
        <v>总价（万元）</v>
      </c>
      <c r="I104" s="2820">
        <f>H125</f>
        <v>0</v>
      </c>
      <c r="J104" s="2862"/>
    </row>
    <row r="105" spans="1:36" ht="12.75">
      <c r="A105" s="3369" t="s">
        <v>2776</v>
      </c>
      <c r="B105" s="2245" t="str">
        <f>B103</f>
        <v>总价（万元）</v>
      </c>
      <c r="C105" s="12" t="e">
        <f ca="1">ROUND(IF('数据-取费表'!B4="总价",G19,IF(H19="元",G20*'数据-取费表'!E5,G20*'数据-取费表'!E5/10000)),0)</f>
        <v>#REF!</v>
      </c>
      <c r="D105" s="2812"/>
      <c r="E105" s="1461"/>
      <c r="F105" s="3270"/>
      <c r="G105" s="3271"/>
      <c r="H105" s="2819" t="s">
        <v>2782</v>
      </c>
      <c r="I105" s="52" t="e">
        <f>I125</f>
        <v>#DIV/0!</v>
      </c>
      <c r="J105" s="2846"/>
    </row>
    <row r="106" spans="1:36" ht="12.75">
      <c r="A106" s="3369"/>
      <c r="B106" s="2307" t="s">
        <v>2775</v>
      </c>
      <c r="C106" s="1481" t="e">
        <f ca="1">ROUND(IF('数据-取费表'!B4="楼面单价",G20,IF(H19="元",G19/'数据-取费表'!E5,G19*10000/'数据-取费表'!E5)),0)</f>
        <v>#REF!</v>
      </c>
      <c r="D106" s="2812"/>
      <c r="E106" s="1461"/>
      <c r="F106" s="3270"/>
      <c r="G106" s="3271"/>
      <c r="H106" s="3330"/>
      <c r="I106" s="3331"/>
      <c r="J106" s="2863"/>
    </row>
    <row r="107" spans="1:36" ht="12.75">
      <c r="A107" s="3363" t="s">
        <v>2777</v>
      </c>
      <c r="B107" s="2813" t="str">
        <f>B103</f>
        <v>总价（万元）</v>
      </c>
      <c r="C107" s="2814">
        <f>H125</f>
        <v>0</v>
      </c>
      <c r="D107" s="2815"/>
      <c r="E107" s="1461"/>
      <c r="F107" s="3334" t="s">
        <v>2783</v>
      </c>
      <c r="G107" s="3335"/>
      <c r="H107" s="2821" t="str">
        <f>C112</f>
        <v>总额（万元）</v>
      </c>
      <c r="I107" s="2820">
        <f>SUMIF(I108:I110,"&lt;9E307")</f>
        <v>0</v>
      </c>
      <c r="J107" s="2862"/>
    </row>
    <row r="108" spans="1:36" ht="15" thickBot="1">
      <c r="A108" s="3329"/>
      <c r="B108" s="2816" t="s">
        <v>2775</v>
      </c>
      <c r="C108" s="2817" t="e">
        <f>I125</f>
        <v>#DIV/0!</v>
      </c>
      <c r="D108" s="2818"/>
      <c r="E108" s="1461"/>
      <c r="F108" s="3272" t="s">
        <v>2784</v>
      </c>
      <c r="G108" s="3273"/>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6" t="s">
        <v>1872</v>
      </c>
      <c r="B109" s="3367"/>
      <c r="C109" s="3367"/>
      <c r="D109" s="3368"/>
      <c r="E109" s="1461"/>
      <c r="F109" s="3272" t="s">
        <v>2785</v>
      </c>
      <c r="G109" s="3273"/>
      <c r="H109" s="2821" t="str">
        <f>C114</f>
        <v>总额（万元）</v>
      </c>
      <c r="I109" s="52">
        <f>C39</f>
        <v>0</v>
      </c>
      <c r="J109" s="2846"/>
    </row>
    <row r="110" spans="1:36" ht="12.75">
      <c r="A110" s="3270" t="s">
        <v>2788</v>
      </c>
      <c r="B110" s="3271"/>
      <c r="C110" s="2819" t="str">
        <f>B103</f>
        <v>总价（万元）</v>
      </c>
      <c r="D110" s="2820">
        <f>H125</f>
        <v>0</v>
      </c>
      <c r="E110" s="1461"/>
      <c r="F110" s="3272" t="s">
        <v>2786</v>
      </c>
      <c r="G110" s="3273"/>
      <c r="H110" s="2821" t="str">
        <f>C115</f>
        <v>总额（万元）</v>
      </c>
      <c r="I110" s="52">
        <f>C40</f>
        <v>0</v>
      </c>
      <c r="J110" s="2846"/>
    </row>
    <row r="111" spans="1:36" ht="12.75">
      <c r="A111" s="3270"/>
      <c r="B111" s="3271"/>
      <c r="C111" s="2819" t="s">
        <v>2789</v>
      </c>
      <c r="D111" s="52" t="e">
        <f>I125</f>
        <v>#DIV/0!</v>
      </c>
      <c r="E111" s="1461"/>
      <c r="F111" s="3270"/>
      <c r="G111" s="3271"/>
      <c r="H111" s="3332"/>
      <c r="I111" s="3333"/>
      <c r="J111" s="2864"/>
    </row>
    <row r="112" spans="1:36" ht="28.5" customHeight="1">
      <c r="A112" s="3277" t="s">
        <v>2783</v>
      </c>
      <c r="B112" s="3278"/>
      <c r="C112" s="2821" t="str">
        <f>IF(H19="元","总额（元）","总额（万元）")</f>
        <v>总额（万元）</v>
      </c>
      <c r="D112" s="2820">
        <f>IF(D38="正常操作",I108+I109+I110,I109+I110)</f>
        <v>0</v>
      </c>
      <c r="E112" s="1461"/>
      <c r="F112" s="3262" t="str">
        <f>IF(项目基本情况!F5="已注销","——","3.房地产抵押价值")</f>
        <v>3.房地产抵押价值</v>
      </c>
      <c r="G112" s="3263"/>
      <c r="H112" s="1481" t="str">
        <f>C116</f>
        <v>总价（万元）</v>
      </c>
      <c r="I112" s="2820">
        <f>IF(F112="——","——",I104-I107)</f>
        <v>0</v>
      </c>
      <c r="J112" s="2862"/>
    </row>
    <row r="113" spans="1:27" ht="12.75">
      <c r="A113" s="3272" t="s">
        <v>2790</v>
      </c>
      <c r="B113" s="3273"/>
      <c r="C113" s="2821" t="str">
        <f>C112</f>
        <v>总额（万元）</v>
      </c>
      <c r="D113" s="52">
        <f>IF(D38="同一抵押权人同一抵押物续贷",C38&amp;"（未扣减，详见特别提示）",C38)</f>
        <v>0</v>
      </c>
      <c r="E113" s="1461"/>
      <c r="F113" s="3361"/>
      <c r="G113" s="3362"/>
      <c r="H113" s="2819" t="s">
        <v>2782</v>
      </c>
      <c r="I113" s="2823" t="e">
        <f>D117</f>
        <v>#DIV/0!</v>
      </c>
      <c r="J113" s="2865"/>
    </row>
    <row r="114" spans="1:27" ht="12.75">
      <c r="A114" s="3272" t="s">
        <v>2791</v>
      </c>
      <c r="B114" s="3273"/>
      <c r="C114" s="2821" t="str">
        <f>C112</f>
        <v>总额（万元）</v>
      </c>
      <c r="D114" s="52">
        <f>C39</f>
        <v>0</v>
      </c>
      <c r="E114" s="1461"/>
      <c r="F114" s="3262" t="str">
        <f>IF(项目基本情况!F5="已注销及未注销","4.抵押担保权已注销时的房地产抵押价值",IF(项目基本情况!F5="已注销","3.抵押担保权已注销时的房地产抵押价值","——"))</f>
        <v>——</v>
      </c>
      <c r="G114" s="3263"/>
      <c r="H114" s="1481" t="str">
        <f>C118</f>
        <v>总价（万元）</v>
      </c>
      <c r="I114" s="2820" t="str">
        <f>IF(F114="——","——",I104-I109-I110)</f>
        <v>——</v>
      </c>
      <c r="J114" s="2862"/>
    </row>
    <row r="115" spans="1:27" ht="12.75">
      <c r="A115" s="3272" t="s">
        <v>2792</v>
      </c>
      <c r="B115" s="3273"/>
      <c r="C115" s="2821" t="str">
        <f>C112</f>
        <v>总额（万元）</v>
      </c>
      <c r="D115" s="52">
        <f>C40</f>
        <v>0</v>
      </c>
      <c r="E115" s="1461"/>
      <c r="F115" s="3361"/>
      <c r="G115" s="3362"/>
      <c r="H115" s="2819" t="s">
        <v>2782</v>
      </c>
      <c r="I115" s="52" t="str">
        <f>D119</f>
        <v>——</v>
      </c>
      <c r="J115" s="2846"/>
    </row>
    <row r="116" spans="1:27" ht="12.75">
      <c r="A116" s="3270" t="str">
        <f>IF(项目基本情况!F5="已注销","——","3.房地产抵押价值")</f>
        <v>3.房地产抵押价值</v>
      </c>
      <c r="B116" s="3271"/>
      <c r="C116" s="2819" t="str">
        <f>B103</f>
        <v>总价（万元）</v>
      </c>
      <c r="D116" s="2820">
        <f>IF(A116="——","——",D110-D112)</f>
        <v>0</v>
      </c>
      <c r="E116" s="1461"/>
      <c r="F116" s="3262" t="str">
        <f>IF(项目基本情况!G5="抵押净值",IF(OR(项目基本情况!F5="已注销",项目基本情况!F5="房地产抵押价值"),"4.抵押净值","5.抵押净值"),"——")</f>
        <v>——</v>
      </c>
      <c r="G116" s="3263"/>
      <c r="H116" s="2819" t="str">
        <f>C120</f>
        <v>总价（万元）</v>
      </c>
      <c r="I116" s="2820" t="str">
        <f>IF(F116="——","——",O61)</f>
        <v>——</v>
      </c>
      <c r="J116" s="2862"/>
    </row>
    <row r="117" spans="1:27" ht="13.5" thickBot="1">
      <c r="A117" s="3270"/>
      <c r="B117" s="3271"/>
      <c r="C117" s="2819" t="s">
        <v>2789</v>
      </c>
      <c r="D117" s="52" t="e">
        <f>ROUND(IF(D116=D110,D111,IF(H19="元",D116/B125,D116*10000/B125)),0)</f>
        <v>#DIV/0!</v>
      </c>
      <c r="E117" s="1461"/>
      <c r="F117" s="3264"/>
      <c r="G117" s="3265"/>
      <c r="H117" s="2824" t="s">
        <v>2782</v>
      </c>
      <c r="I117" s="2808" t="str">
        <f>D121</f>
        <v>——</v>
      </c>
      <c r="J117" s="2846"/>
    </row>
    <row r="118" spans="1:27" ht="15.75">
      <c r="A118" s="3270" t="str">
        <f>IF(项目基本情况!F5="已注销及未注销","4.抵押担保权已注销时的房地产抵押价值",IF(项目基本情况!F5="已注销","3.抵押担保权已注销时的房地产抵押价值","——"))</f>
        <v>——</v>
      </c>
      <c r="B118" s="3271"/>
      <c r="C118" s="2819" t="str">
        <f>B103</f>
        <v>总价（万元）</v>
      </c>
      <c r="D118" s="2820" t="str">
        <f>IF(A118="——","——",D110-D114-D115)</f>
        <v>——</v>
      </c>
      <c r="E118" s="1461"/>
      <c r="F118" s="3356"/>
      <c r="G118" s="3356"/>
      <c r="H118" s="3320"/>
      <c r="I118" s="3320"/>
      <c r="J118" s="2866"/>
      <c r="O118" s="32"/>
      <c r="P118" s="32"/>
    </row>
    <row r="119" spans="1:27" s="1308" customFormat="1" ht="12.75">
      <c r="A119" s="3270"/>
      <c r="B119" s="3271"/>
      <c r="C119" s="2819" t="s">
        <v>2789</v>
      </c>
      <c r="D119" s="52" t="str">
        <f>IF(A118="——","——",IF(H19="元",ROUND(D118/B125,0),ROUND(D118*10000/B125,0)))</f>
        <v>——</v>
      </c>
      <c r="E119" s="1461"/>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0" t="str">
        <f>IF(项目基本情况!G5="抵押净值",IF(OR(项目基本情况!F5="已注销",项目基本情况!F5="房地产抵押价值"),"4.抵押净值","5.抵押净值"),"——")</f>
        <v>——</v>
      </c>
      <c r="B120" s="3271"/>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5"/>
      <c r="B121" s="3276"/>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5" t="s">
        <v>2793</v>
      </c>
      <c r="B123" s="3281" t="s">
        <v>2794</v>
      </c>
      <c r="C123" s="3281" t="s">
        <v>2800</v>
      </c>
      <c r="D123" s="3343" t="s">
        <v>2795</v>
      </c>
      <c r="E123" s="3344"/>
      <c r="F123" s="3256" t="s">
        <v>2801</v>
      </c>
      <c r="G123" s="3256"/>
      <c r="H123" s="3256" t="s">
        <v>2796</v>
      </c>
      <c r="I123" s="334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5"/>
      <c r="B124" s="3282"/>
      <c r="C124" s="3282"/>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5" t="s">
        <v>2799</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7" t="s">
        <v>2799</v>
      </c>
      <c r="B128" s="3295"/>
      <c r="C128" s="3296"/>
      <c r="D128" s="3267">
        <f>H111</f>
        <v>0</v>
      </c>
      <c r="E128" s="3268"/>
      <c r="F128" s="3268"/>
      <c r="G128" s="3268"/>
      <c r="H128" s="3268"/>
      <c r="I128" s="326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0" t="str">
        <f>IF(项目基本情况!D5="房地产市场价值","——",MID(A116,3,LEN(A116)-2))</f>
        <v>房地产抵押价值</v>
      </c>
      <c r="B129" s="3271"/>
      <c r="C129" s="3271"/>
      <c r="D129" s="3258">
        <f>I112</f>
        <v>0</v>
      </c>
      <c r="E129" s="3266"/>
      <c r="F129" s="3266"/>
      <c r="G129" s="3266"/>
      <c r="H129" s="3266"/>
      <c r="I129" s="325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5" t="s">
        <v>2799</v>
      </c>
      <c r="B130" s="3256"/>
      <c r="C130" s="3256"/>
      <c r="D130" s="3267" t="e">
        <f>I113</f>
        <v>#DIV/0!</v>
      </c>
      <c r="E130" s="3268"/>
      <c r="F130" s="3268"/>
      <c r="G130" s="3268"/>
      <c r="H130" s="3268"/>
      <c r="I130" s="326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0" t="str">
        <f>IF(项目基本情况!D5="房地产市场价值","——",MID(A118,3,LEN(A118)-2))</f>
        <v/>
      </c>
      <c r="B131" s="3271"/>
      <c r="C131" s="3271"/>
      <c r="D131" s="3303" t="str">
        <f>I114</f>
        <v>——</v>
      </c>
      <c r="E131" s="3304"/>
      <c r="F131" s="3304"/>
      <c r="G131" s="3304"/>
      <c r="H131" s="3304"/>
      <c r="I131" s="335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5" t="s">
        <v>2799</v>
      </c>
      <c r="B132" s="3256"/>
      <c r="C132" s="3257"/>
      <c r="D132" s="3319" t="str">
        <f>I115</f>
        <v>——</v>
      </c>
      <c r="E132" s="3319"/>
      <c r="F132" s="3319"/>
      <c r="G132" s="3319"/>
      <c r="H132" s="3319"/>
      <c r="I132" s="331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0" t="str">
        <f>IF(项目基本情况!D5="房地产市场价值","——",MID(F116,3,LEN(F116)-2))</f>
        <v/>
      </c>
      <c r="B133" s="3271"/>
      <c r="C133" s="3258"/>
      <c r="D133" s="3274" t="str">
        <f>I116</f>
        <v>——</v>
      </c>
      <c r="E133" s="3274"/>
      <c r="F133" s="3274"/>
      <c r="G133" s="3274"/>
      <c r="H133" s="3274"/>
      <c r="I133" s="327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9" t="s">
        <v>2799</v>
      </c>
      <c r="B134" s="3280"/>
      <c r="C134" s="3280"/>
      <c r="D134" s="3285">
        <f>H118</f>
        <v>0</v>
      </c>
      <c r="E134" s="3286"/>
      <c r="F134" s="3286"/>
      <c r="G134" s="3286"/>
      <c r="H134" s="3286"/>
      <c r="I134" s="328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113</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13230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56007</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55937</v>
      </c>
      <c r="D6" s="36" t="s">
        <v>2701</v>
      </c>
      <c r="E6" s="235" t="s">
        <v>2015</v>
      </c>
      <c r="F6" s="236">
        <f>'数据-取费表'!B30</f>
        <v>2</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85.14</v>
      </c>
      <c r="G7" s="951"/>
      <c r="H7" s="237"/>
      <c r="I7" s="238"/>
      <c r="J7" s="239"/>
      <c r="K7" s="240"/>
      <c r="L7" s="235" t="s">
        <v>2016</v>
      </c>
      <c r="M7" s="236">
        <f>IF('数据-取费表'!B42="",IF(D1="仅计算典型户型",'数据-取费表'!E5,'数据-取费表'!B5),'数据-取费表'!B42)</f>
        <v>85.14</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70</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348020</v>
      </c>
      <c r="D13" s="1094" t="s">
        <v>2030</v>
      </c>
      <c r="E13" s="1094" t="s">
        <v>2031</v>
      </c>
      <c r="F13" s="1095">
        <f>'数据-取费表'!E20</f>
        <v>0.93</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255420</v>
      </c>
      <c r="D14" s="1328" t="s">
        <v>2034</v>
      </c>
      <c r="E14" s="1329"/>
      <c r="F14" s="799"/>
      <c r="G14" s="952"/>
      <c r="H14" s="253" t="s">
        <v>2013</v>
      </c>
      <c r="I14" s="235" t="s">
        <v>2035</v>
      </c>
      <c r="J14" s="13">
        <f ca="1">C29</f>
        <v>374215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7663</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5613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17028</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3831</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5.5000000000000007E-2</v>
      </c>
    </row>
    <row r="19" spans="1:37" s="257" customFormat="1" ht="18" customHeight="1">
      <c r="A19" s="253" t="s">
        <v>2050</v>
      </c>
      <c r="B19" s="235" t="s">
        <v>2058</v>
      </c>
      <c r="C19" s="13">
        <f>SUM(C14:C18)</f>
        <v>283942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5679</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5613</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12598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-5613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43443</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374215</v>
      </c>
      <c r="D29" s="1105"/>
      <c r="E29" s="1103"/>
      <c r="F29" s="1106"/>
      <c r="G29" s="652"/>
      <c r="H29" s="271" t="s">
        <v>24</v>
      </c>
      <c r="I29" s="272" t="s">
        <v>2108</v>
      </c>
      <c r="J29" s="273">
        <f ca="1">ROUND(J26/(1+F40)^F41,0)</f>
        <v>0</v>
      </c>
      <c r="K29" s="274" t="s">
        <v>2109</v>
      </c>
      <c r="L29" s="275"/>
      <c r="M29" s="276">
        <f>IF(D1="仅计算典型户型",'数据-取费表'!E5,'数据-取费表'!B5)</f>
        <v>85.14</v>
      </c>
    </row>
    <row r="30" spans="1:37" ht="18" customHeight="1" thickTop="1">
      <c r="A30" s="1092" t="s">
        <v>14</v>
      </c>
      <c r="B30" s="1093" t="s">
        <v>2110</v>
      </c>
      <c r="C30" s="243">
        <f ca="1">ROUND(C31+C36+C37+C38,0)</f>
        <v>10704</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3729</v>
      </c>
      <c r="D31" s="1328" t="s">
        <v>2112</v>
      </c>
      <c r="E31" s="1331" t="s">
        <v>2113</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0</v>
      </c>
      <c r="K35" s="944"/>
      <c r="L35" s="943"/>
      <c r="M35" s="943"/>
    </row>
    <row r="36" spans="1:18" ht="18" customHeight="1">
      <c r="A36" s="1060" t="s">
        <v>2020</v>
      </c>
      <c r="B36" s="235" t="s">
        <v>2119</v>
      </c>
      <c r="C36" s="13">
        <f ca="1">ROUND(C29*F36,0)</f>
        <v>5613</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522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840</v>
      </c>
      <c r="D38" s="1105" t="s">
        <v>2085</v>
      </c>
      <c r="E38" s="1103" t="s">
        <v>2081</v>
      </c>
      <c r="F38" s="1098">
        <f>'数据-取费表'!B47</f>
        <v>1.4999999999999999E-2</v>
      </c>
      <c r="G38" s="652"/>
      <c r="H38" s="943"/>
      <c r="I38" s="280" t="s">
        <v>2123</v>
      </c>
      <c r="J38" s="136">
        <f ca="1">ROUND(J34/C39,3)</f>
        <v>0</v>
      </c>
      <c r="K38" s="948"/>
      <c r="L38" s="943"/>
      <c r="M38" s="943"/>
    </row>
    <row r="39" spans="1:18" ht="18" customHeight="1" thickTop="1">
      <c r="A39" s="1092" t="s">
        <v>22</v>
      </c>
      <c r="B39" s="1107" t="s">
        <v>2124</v>
      </c>
      <c r="C39" s="243">
        <f ca="1">C5-C30</f>
        <v>45303</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976730</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41.64</v>
      </c>
      <c r="H41" s="950"/>
      <c r="I41" s="135" t="s">
        <v>2001</v>
      </c>
      <c r="J41" s="136">
        <f ca="1">ROUND(C13/C40,3)</f>
        <v>0.35599999999999998</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0.64400000000000002</v>
      </c>
      <c r="K42" s="947"/>
      <c r="L42" s="950"/>
      <c r="M42" s="950"/>
      <c r="Q42" s="656"/>
    </row>
    <row r="43" spans="1:18" s="652" customFormat="1" ht="18" customHeight="1" thickBot="1">
      <c r="A43" s="271" t="s">
        <v>24</v>
      </c>
      <c r="B43" s="272" t="s">
        <v>2130</v>
      </c>
      <c r="C43" s="273">
        <f ca="1">ROUND(C40/F43,0)</f>
        <v>11472</v>
      </c>
      <c r="D43" s="274" t="s">
        <v>2131</v>
      </c>
      <c r="E43" s="275" t="s">
        <v>2132</v>
      </c>
      <c r="F43" s="276">
        <f>IF(D1="仅计算典型户型",'数据-取费表'!E5,'数据-取费表'!B5)</f>
        <v>85.14</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976730</v>
      </c>
      <c r="R45" s="1050" t="s">
        <v>2139</v>
      </c>
    </row>
    <row r="46" spans="1:18" s="652" customFormat="1" ht="18" customHeight="1" thickBot="1">
      <c r="A46" s="649"/>
      <c r="D46" s="649"/>
      <c r="E46" s="649"/>
      <c r="F46" s="649"/>
      <c r="K46" s="653"/>
      <c r="O46" s="1047" t="s">
        <v>950</v>
      </c>
      <c r="P46" s="1048" t="s">
        <v>2140</v>
      </c>
      <c r="Q46" s="1049">
        <f ca="1">J61</f>
        <v>149686</v>
      </c>
      <c r="R46" s="1050" t="s">
        <v>2141</v>
      </c>
    </row>
    <row r="47" spans="1:18" s="652" customFormat="1" ht="21.75" thickBot="1">
      <c r="A47" s="1527" t="s">
        <v>2142</v>
      </c>
      <c r="C47" s="992">
        <f ca="1">IF(C2="元",C69-C40,ROUND((C69-C40)/10000,0))</f>
        <v>-108</v>
      </c>
      <c r="D47" s="1528" t="str">
        <f>C2</f>
        <v>万元</v>
      </c>
      <c r="E47" s="649"/>
      <c r="F47" s="649"/>
      <c r="I47" s="1529" t="s">
        <v>2143</v>
      </c>
      <c r="J47" s="1023"/>
      <c r="K47" s="1024"/>
      <c r="L47" s="1037">
        <f ca="1">IF(M48="住宅",0,IF(L49&gt;J52,L61,J61))</f>
        <v>149686</v>
      </c>
      <c r="O47" s="1051" t="s">
        <v>951</v>
      </c>
      <c r="P47" s="1048" t="s">
        <v>2144</v>
      </c>
      <c r="Q47" s="1049">
        <f ca="1">C29</f>
        <v>374215</v>
      </c>
      <c r="R47" s="1050" t="s">
        <v>2139</v>
      </c>
    </row>
    <row r="48" spans="1:18" s="652" customFormat="1" ht="15.75" thickBot="1">
      <c r="A48" s="228" t="s">
        <v>2145</v>
      </c>
      <c r="B48" s="229" t="s">
        <v>2146</v>
      </c>
      <c r="C48" s="229" t="s">
        <v>2147</v>
      </c>
      <c r="D48" s="229" t="s">
        <v>2148</v>
      </c>
      <c r="E48" s="986" t="s">
        <v>2149</v>
      </c>
      <c r="F48" s="987"/>
      <c r="I48" s="1530" t="s">
        <v>2150</v>
      </c>
      <c r="J48" s="1531" t="s">
        <v>2903</v>
      </c>
      <c r="K48" s="1532" t="s">
        <v>2151</v>
      </c>
      <c r="L48" s="1025">
        <f>'数据-取费表'!B11</f>
        <v>50</v>
      </c>
      <c r="M48" s="1038" t="str">
        <f>IF('数据-取费表'!B10="住宅","住宅","非住宅")</f>
        <v>非住宅</v>
      </c>
      <c r="O48" s="1051" t="s">
        <v>952</v>
      </c>
      <c r="P48" s="1048" t="s">
        <v>2152</v>
      </c>
      <c r="Q48" s="1052">
        <f>J59</f>
        <v>0.4</v>
      </c>
      <c r="R48" s="1050"/>
    </row>
    <row r="49" spans="1:18" s="652" customFormat="1" ht="15.75" thickBot="1">
      <c r="A49" s="1127" t="s">
        <v>1019</v>
      </c>
      <c r="B49" s="233" t="s">
        <v>2153</v>
      </c>
      <c r="C49" s="1128">
        <f ca="1">C50+C54+C56</f>
        <v>0</v>
      </c>
      <c r="D49" s="1129"/>
      <c r="E49" s="44"/>
      <c r="F49" s="15"/>
      <c r="I49" s="1533" t="s">
        <v>2154</v>
      </c>
      <c r="J49" s="1534" t="s">
        <v>2904</v>
      </c>
      <c r="K49" s="1535" t="s">
        <v>2155</v>
      </c>
      <c r="L49" s="863">
        <f>'数据-取费表'!B13</f>
        <v>41.64</v>
      </c>
      <c r="O49" s="1051" t="s">
        <v>953</v>
      </c>
      <c r="P49" s="1048" t="s">
        <v>2156</v>
      </c>
      <c r="Q49" s="1052">
        <f>J53</f>
        <v>0</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2017</v>
      </c>
      <c r="K50" s="1537" t="s">
        <v>2160</v>
      </c>
      <c r="L50" s="1026"/>
      <c r="O50" s="1051" t="s">
        <v>954</v>
      </c>
      <c r="P50" s="1048" t="s">
        <v>2161</v>
      </c>
      <c r="Q50" s="1049">
        <f>J54</f>
        <v>41.64</v>
      </c>
      <c r="R50" s="1050" t="s">
        <v>2162</v>
      </c>
    </row>
    <row r="51" spans="1:18" s="652" customFormat="1" ht="15.75" thickBot="1">
      <c r="A51" s="237"/>
      <c r="B51" s="238"/>
      <c r="C51" s="239"/>
      <c r="D51" s="240"/>
      <c r="E51" s="255" t="s">
        <v>2016</v>
      </c>
      <c r="F51" s="985">
        <f>F7</f>
        <v>85.14</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113</v>
      </c>
      <c r="R51" s="1050" t="s">
        <v>956</v>
      </c>
    </row>
    <row r="52" spans="1:18" s="652" customFormat="1" ht="16.5" thickBot="1">
      <c r="A52" s="237"/>
      <c r="B52" s="238"/>
      <c r="C52" s="239"/>
      <c r="D52" s="240"/>
      <c r="E52" s="235" t="s">
        <v>2018</v>
      </c>
      <c r="F52" s="236">
        <f>F8</f>
        <v>365</v>
      </c>
      <c r="I52" s="1538" t="s">
        <v>2165</v>
      </c>
      <c r="J52" s="1028">
        <f>IF(J50="",J51,J50+J51-YEAR('数据-取费表'!B2))</f>
        <v>56</v>
      </c>
      <c r="K52" s="1539" t="s">
        <v>2166</v>
      </c>
      <c r="L52" s="1029">
        <f ca="1">ROUND(-PV('数据-取费表'!B15,J52,(C40-C13*J35)),0)</f>
        <v>18263430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41.64</v>
      </c>
      <c r="K54" s="3395" t="s">
        <v>2700</v>
      </c>
      <c r="L54" s="3396"/>
      <c r="O54" s="1047" t="s">
        <v>949</v>
      </c>
      <c r="P54" s="1048" t="s">
        <v>2138</v>
      </c>
      <c r="Q54" s="1049">
        <f ca="1">C40+J29</f>
        <v>976730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f>ROUND(IF(J48="钢混",J58/J51,1-(1-2%)*(J51-J58)/J51),3)</f>
        <v>0.23899999999999999</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348020</v>
      </c>
      <c r="D57" s="983"/>
      <c r="E57" s="984"/>
      <c r="F57" s="991"/>
      <c r="I57" s="1547" t="s">
        <v>2175</v>
      </c>
      <c r="J57" s="1035" t="s">
        <v>2905</v>
      </c>
      <c r="K57" s="1533" t="s">
        <v>2176</v>
      </c>
      <c r="L57" s="863" t="str">
        <f>IF(L49&lt;J52,"——",L49-J52)</f>
        <v>——</v>
      </c>
      <c r="O57" s="1051" t="s">
        <v>952</v>
      </c>
      <c r="P57" s="1048" t="s">
        <v>2177</v>
      </c>
      <c r="Q57" s="1052">
        <f>L53</f>
        <v>0</v>
      </c>
      <c r="R57" s="1050"/>
    </row>
    <row r="58" spans="1:18" s="652" customFormat="1" ht="29.25" thickBot="1">
      <c r="A58" s="990"/>
      <c r="B58" s="235" t="s">
        <v>2107</v>
      </c>
      <c r="C58" s="104">
        <f ca="1">C29</f>
        <v>374215</v>
      </c>
      <c r="D58" s="983"/>
      <c r="E58" s="984"/>
      <c r="F58" s="991"/>
      <c r="I58" s="1548" t="s">
        <v>2178</v>
      </c>
      <c r="J58" s="1034">
        <f>IF(OR(M48="住宅",J52&lt;L49,J57="是"),"——",J52-L49)</f>
        <v>14.36</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6135</v>
      </c>
      <c r="D59" s="12" t="s">
        <v>2111</v>
      </c>
      <c r="E59" s="1333"/>
      <c r="F59" s="15"/>
      <c r="I59" s="1548" t="s">
        <v>2182</v>
      </c>
      <c r="J59" s="1319">
        <f>IF(J56&lt;0.4,0.4,J56)</f>
        <v>0.4</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7.0000000000000007E-2</v>
      </c>
      <c r="I60" s="1548" t="s">
        <v>2185</v>
      </c>
      <c r="J60" s="1034">
        <f ca="1">IF(OR(M48="住宅",J52&lt;L49,J57="是"),"——",ROUND(C29*J59,0))</f>
        <v>149686</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98</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f ca="1">IF(OR(M48="住宅",J52&lt;L49,J57="是"),"0",ROUND(J60/(1+J53)^J54,0))</f>
        <v>149686</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976730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5613</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18263430</v>
      </c>
      <c r="R65" s="1054" t="s">
        <v>2201</v>
      </c>
    </row>
    <row r="66" spans="1:18" s="652" customFormat="1" ht="20.25" thickBot="1">
      <c r="A66" s="253" t="s">
        <v>20</v>
      </c>
      <c r="B66" s="235" t="s">
        <v>2079</v>
      </c>
      <c r="C66" s="13">
        <f ca="1">ROUND(C57*F66,0)</f>
        <v>522</v>
      </c>
      <c r="D66" s="1331" t="s">
        <v>2080</v>
      </c>
      <c r="E66" s="235" t="s">
        <v>2081</v>
      </c>
      <c r="F66" s="266">
        <f t="shared" si="0"/>
        <v>1.5E-3</v>
      </c>
      <c r="I66" s="1551" t="s">
        <v>2202</v>
      </c>
      <c r="J66" s="1323">
        <v>40</v>
      </c>
      <c r="K66" s="1323">
        <v>30</v>
      </c>
      <c r="L66" s="1323">
        <v>50</v>
      </c>
      <c r="M66" s="1321">
        <v>0.02</v>
      </c>
      <c r="O66" s="1051" t="s">
        <v>952</v>
      </c>
      <c r="P66" s="1055" t="s">
        <v>2203</v>
      </c>
      <c r="Q66" s="1049">
        <f ca="1">ROUND(Q67-Q68*Q69,0)</f>
        <v>45303</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45303</v>
      </c>
      <c r="R67" s="1050" t="s">
        <v>2139</v>
      </c>
    </row>
    <row r="68" spans="1:18" ht="15.75" thickBot="1">
      <c r="A68" s="248" t="s">
        <v>22</v>
      </c>
      <c r="B68" s="41" t="s">
        <v>2089</v>
      </c>
      <c r="C68" s="250">
        <f ca="1">C49-C59</f>
        <v>-6135</v>
      </c>
      <c r="D68" s="1328" t="s">
        <v>2090</v>
      </c>
      <c r="E68" s="1330"/>
      <c r="F68" s="268"/>
      <c r="H68" s="652"/>
      <c r="I68" s="652"/>
      <c r="J68" s="652"/>
      <c r="K68" s="652"/>
      <c r="L68" s="652"/>
      <c r="M68" s="652"/>
      <c r="O68" s="1051" t="s">
        <v>958</v>
      </c>
      <c r="P68" s="1055" t="s">
        <v>2205</v>
      </c>
      <c r="Q68" s="1049">
        <f ca="1">C13</f>
        <v>348020</v>
      </c>
      <c r="R68" s="1050" t="s">
        <v>2139</v>
      </c>
    </row>
    <row r="69" spans="1:18" ht="15.75" thickBot="1">
      <c r="A69" s="232" t="s">
        <v>23</v>
      </c>
      <c r="B69" s="233" t="s">
        <v>2127</v>
      </c>
      <c r="C69" s="234">
        <f ca="1">ROUND(C68*(1-((1+F71)/(1+F69))^F70)/(F69-F71),0)</f>
        <v>-99544</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41.64</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-1169</v>
      </c>
      <c r="D72" s="274" t="s">
        <v>2131</v>
      </c>
      <c r="E72" s="275" t="s">
        <v>2132</v>
      </c>
      <c r="F72" s="276">
        <f>F43</f>
        <v>85.14</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98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46" sqref="H4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176</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20634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1030500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t="s">
        <v>2906</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16177</v>
      </c>
      <c r="D10" s="1172">
        <f>IF('数据-取费表'!B10&lt;&gt;"住宅",IF(B1="仅计算典型户型",'数据-取费表'!E5,'数据-取费表'!B5),0)</f>
        <v>85.14</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85.14</v>
      </c>
      <c r="E19" s="111">
        <f>'数据-取费表'!E15</f>
        <v>200</v>
      </c>
      <c r="F19" s="112"/>
      <c r="G19" s="1518" t="s">
        <v>2907</v>
      </c>
    </row>
    <row r="20" spans="1:123" s="91" customFormat="1" ht="13.5" customHeight="1">
      <c r="A20" s="120" t="s">
        <v>1941</v>
      </c>
      <c r="B20" s="89" t="s">
        <v>1942</v>
      </c>
      <c r="C20" s="99">
        <f>ROUND((C5+C19)*F20,0)</f>
        <v>20610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92500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897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157667</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157667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1408766</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283942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255420</v>
      </c>
      <c r="D34" s="1167"/>
      <c r="E34" s="115"/>
      <c r="F34" s="1178" t="str">
        <f>IF('数据-取费表'!B26=0,"",'数据-取费表'!E20)</f>
        <v/>
      </c>
      <c r="G34" s="95"/>
    </row>
    <row r="35" spans="1:123" ht="13.5" customHeight="1">
      <c r="A35" s="92" t="s">
        <v>1924</v>
      </c>
      <c r="B35" s="93" t="s">
        <v>1973</v>
      </c>
      <c r="C35" s="115">
        <f>ROUND(C34*F35,0)</f>
        <v>7663</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17028</v>
      </c>
      <c r="D37" s="1167">
        <f>IF(B1="仅计算典型户型",'数据-取费表'!E5,'数据-取费表'!B5)</f>
        <v>85.14</v>
      </c>
      <c r="E37" s="115">
        <f>'数据-取费表'!E23</f>
        <v>200</v>
      </c>
      <c r="F37" s="1179"/>
      <c r="G37" s="124" t="s">
        <v>1978</v>
      </c>
    </row>
    <row r="38" spans="1:123" ht="13.5" customHeight="1">
      <c r="A38" s="92" t="s">
        <v>1979</v>
      </c>
      <c r="B38" s="93" t="s">
        <v>1980</v>
      </c>
      <c r="C38" s="115">
        <f>ROUND(C34*F38,0)</f>
        <v>3831</v>
      </c>
      <c r="D38" s="115"/>
      <c r="E38" s="115"/>
      <c r="F38" s="1179">
        <f>'数据-取费表'!E24</f>
        <v>1.4999999999999999E-2</v>
      </c>
      <c r="G38" s="95" t="s">
        <v>1974</v>
      </c>
    </row>
    <row r="39" spans="1:123" s="91" customFormat="1" ht="13.5" customHeight="1">
      <c r="A39" s="120" t="s">
        <v>1939</v>
      </c>
      <c r="B39" s="89" t="s">
        <v>1942</v>
      </c>
      <c r="C39" s="99">
        <f>ROUND(C33*F20,0)</f>
        <v>5679</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12598</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12351</v>
      </c>
      <c r="D42" s="104"/>
      <c r="E42" s="104"/>
      <c r="F42" s="105"/>
      <c r="G42" s="3392" t="s">
        <v>1984</v>
      </c>
    </row>
    <row r="43" spans="1:123" ht="13.5" customHeight="1">
      <c r="A43" s="92" t="s">
        <v>1924</v>
      </c>
      <c r="B43" s="93" t="s">
        <v>1953</v>
      </c>
      <c r="C43" s="104">
        <f ca="1">ROUND(IF('数据-取费表'!B24&lt;=1,C39*F22*'数据-取费表'!B23/2,C39*(POWER((1+F22),'数据-取费表'!B23/2)-1)),0)</f>
        <v>247</v>
      </c>
      <c r="D43" s="104"/>
      <c r="E43" s="104"/>
      <c r="F43" s="105"/>
      <c r="G43" s="3393"/>
    </row>
    <row r="44" spans="1:123" ht="13.5" customHeight="1">
      <c r="A44" s="92" t="s">
        <v>1926</v>
      </c>
      <c r="B44" s="93" t="s">
        <v>1955</v>
      </c>
      <c r="C44" s="104">
        <f ca="1">ROUND(IF('数据-取费表'!B24&lt;=1,C40*F22*'数据-取费表'!B23/2,C40*(POWER((1+F22),'数据-取费表'!B23/2)-1)),4)</f>
        <v>8.9999999999999998E-4</v>
      </c>
      <c r="D44" s="104"/>
      <c r="E44" s="104"/>
      <c r="F44" s="105"/>
      <c r="G44" s="3394"/>
    </row>
    <row r="45" spans="1:123" s="91" customFormat="1" ht="13.5" customHeight="1">
      <c r="A45" s="120" t="s">
        <v>1948</v>
      </c>
      <c r="B45" s="110" t="s">
        <v>1960</v>
      </c>
      <c r="C45" s="111">
        <f>C46</f>
        <v>43443</v>
      </c>
      <c r="D45" s="101">
        <f>C47</f>
        <v>3.0000000000000001E-3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43443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8">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374215</v>
      </c>
      <c r="D49" s="99"/>
      <c r="E49" s="99"/>
      <c r="F49" s="126"/>
      <c r="G49" s="100" t="s">
        <v>1992</v>
      </c>
    </row>
    <row r="50" spans="1:123" s="122" customFormat="1" ht="24">
      <c r="A50" s="994" t="s">
        <v>1993</v>
      </c>
      <c r="B50" s="89" t="s">
        <v>1994</v>
      </c>
      <c r="C50" s="99"/>
      <c r="D50" s="99"/>
      <c r="E50" s="99"/>
      <c r="F50" s="126">
        <f>IF('数据-取费表'!B26=0,'数据-取费表'!E20,1)</f>
        <v>0.93</v>
      </c>
      <c r="G50" s="113" t="s">
        <v>1995</v>
      </c>
    </row>
    <row r="51" spans="1:123" ht="16.5" customHeight="1">
      <c r="A51" s="994" t="s">
        <v>1996</v>
      </c>
      <c r="B51" s="89" t="s">
        <v>1997</v>
      </c>
      <c r="C51" s="99">
        <f ca="1">ROUND(C49*F50,0)</f>
        <v>348020</v>
      </c>
      <c r="D51" s="99"/>
      <c r="E51" s="99"/>
      <c r="F51" s="126"/>
      <c r="G51" s="100" t="s">
        <v>1998</v>
      </c>
    </row>
    <row r="52" spans="1:123" s="88" customFormat="1" ht="16.5" thickBot="1">
      <c r="A52" s="127" t="s">
        <v>1999</v>
      </c>
      <c r="B52" s="128"/>
      <c r="C52" s="129">
        <f ca="1">C31+C51</f>
        <v>1756786</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0.19800000000000001</v>
      </c>
    </row>
    <row r="57" spans="1:123">
      <c r="B57" s="135" t="s">
        <v>2002</v>
      </c>
      <c r="C57" s="137">
        <f ca="1">1-C56</f>
        <v>0.80200000000000005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03" t="s">
        <v>1014</v>
      </c>
      <c r="B2" s="3404" t="s">
        <v>963</v>
      </c>
      <c r="C2" s="3404"/>
      <c r="D2" s="1062" t="s">
        <v>964</v>
      </c>
      <c r="E2" s="1062" t="s">
        <v>965</v>
      </c>
      <c r="F2" s="1062" t="s">
        <v>966</v>
      </c>
      <c r="G2" s="1062" t="s">
        <v>967</v>
      </c>
      <c r="H2" s="1062" t="s">
        <v>968</v>
      </c>
      <c r="I2" s="1063" t="s">
        <v>969</v>
      </c>
    </row>
    <row r="3" spans="1:9">
      <c r="A3" s="3403"/>
      <c r="B3" s="3404" t="s">
        <v>970</v>
      </c>
      <c r="C3" s="3404"/>
      <c r="D3" s="1064"/>
      <c r="E3" s="1062"/>
      <c r="F3" s="1065"/>
      <c r="G3" s="1065"/>
      <c r="H3" s="1066"/>
      <c r="I3" s="1067">
        <f>ROUND(D3*E3*F3*G3*H3/10000,0)</f>
        <v>0</v>
      </c>
    </row>
    <row r="4" spans="1:9">
      <c r="A4" s="3403"/>
      <c r="B4" s="3404" t="s">
        <v>971</v>
      </c>
      <c r="C4" s="3404"/>
      <c r="D4" s="1064"/>
      <c r="E4" s="1062"/>
      <c r="F4" s="1065"/>
      <c r="G4" s="1065"/>
      <c r="H4" s="1066"/>
      <c r="I4" s="1067">
        <f t="shared" ref="I4:I9" si="0">ROUND(D4*E4*F4*G4*H4/10000,0)</f>
        <v>0</v>
      </c>
    </row>
    <row r="5" spans="1:9">
      <c r="A5" s="3403"/>
      <c r="B5" s="3404" t="s">
        <v>972</v>
      </c>
      <c r="C5" s="3404"/>
      <c r="D5" s="1064"/>
      <c r="E5" s="1062"/>
      <c r="F5" s="1065"/>
      <c r="G5" s="1065"/>
      <c r="H5" s="1066"/>
      <c r="I5" s="1067">
        <f t="shared" si="0"/>
        <v>0</v>
      </c>
    </row>
    <row r="6" spans="1:9">
      <c r="A6" s="3403"/>
      <c r="B6" s="3404" t="s">
        <v>973</v>
      </c>
      <c r="C6" s="3404"/>
      <c r="D6" s="1064"/>
      <c r="E6" s="1062"/>
      <c r="F6" s="1065"/>
      <c r="G6" s="1065"/>
      <c r="H6" s="1066"/>
      <c r="I6" s="1067">
        <f t="shared" si="0"/>
        <v>0</v>
      </c>
    </row>
    <row r="7" spans="1:9">
      <c r="A7" s="3403"/>
      <c r="B7" s="3404" t="s">
        <v>974</v>
      </c>
      <c r="C7" s="3404"/>
      <c r="D7" s="1064"/>
      <c r="E7" s="1062"/>
      <c r="F7" s="1065"/>
      <c r="G7" s="1065"/>
      <c r="H7" s="1066"/>
      <c r="I7" s="1067">
        <f t="shared" si="0"/>
        <v>0</v>
      </c>
    </row>
    <row r="8" spans="1:9">
      <c r="A8" s="3403"/>
      <c r="B8" s="3404" t="s">
        <v>975</v>
      </c>
      <c r="C8" s="3404"/>
      <c r="D8" s="1064"/>
      <c r="E8" s="1062"/>
      <c r="F8" s="1065"/>
      <c r="G8" s="1065"/>
      <c r="H8" s="1066"/>
      <c r="I8" s="1067">
        <f t="shared" si="0"/>
        <v>0</v>
      </c>
    </row>
    <row r="9" spans="1:9">
      <c r="A9" s="3403"/>
      <c r="B9" s="3404" t="s">
        <v>976</v>
      </c>
      <c r="C9" s="3404"/>
      <c r="D9" s="1064"/>
      <c r="E9" s="1062"/>
      <c r="F9" s="1065"/>
      <c r="G9" s="1065"/>
      <c r="H9" s="1066"/>
      <c r="I9" s="1067">
        <f t="shared" si="0"/>
        <v>0</v>
      </c>
    </row>
    <row r="10" spans="1:9">
      <c r="A10" s="3403"/>
      <c r="B10" s="3405" t="s">
        <v>977</v>
      </c>
      <c r="C10" s="3405"/>
      <c r="D10" s="1068">
        <v>527</v>
      </c>
      <c r="E10" s="1068" t="e">
        <f>ROUND(D1*10000/D10/H9,0)</f>
        <v>#DIV/0!</v>
      </c>
      <c r="F10" s="1069"/>
      <c r="G10" s="1069"/>
      <c r="H10" s="1070"/>
      <c r="I10" s="1071">
        <f>SUM(I3:I9)</f>
        <v>0</v>
      </c>
    </row>
    <row r="11" spans="1:9" ht="14.25">
      <c r="A11" s="3403" t="s">
        <v>1015</v>
      </c>
      <c r="B11" s="3404" t="s">
        <v>978</v>
      </c>
      <c r="C11" s="3404"/>
      <c r="D11" s="1064" t="s">
        <v>979</v>
      </c>
      <c r="E11" s="1064" t="s">
        <v>980</v>
      </c>
      <c r="F11" s="1065" t="s">
        <v>981</v>
      </c>
      <c r="G11" s="1065" t="s">
        <v>968</v>
      </c>
      <c r="H11" s="1072" t="s">
        <v>982</v>
      </c>
      <c r="I11" s="1063" t="s">
        <v>969</v>
      </c>
    </row>
    <row r="12" spans="1:9">
      <c r="A12" s="3403"/>
      <c r="B12" s="3404" t="s">
        <v>983</v>
      </c>
      <c r="C12" s="3404"/>
      <c r="D12" s="1064"/>
      <c r="E12" s="1064"/>
      <c r="F12" s="1065"/>
      <c r="G12" s="1066"/>
      <c r="H12" s="1073"/>
      <c r="I12" s="1063">
        <f>ROUND(D12*E12*F12*G12/10000,0)</f>
        <v>0</v>
      </c>
    </row>
    <row r="13" spans="1:9">
      <c r="A13" s="3403"/>
      <c r="B13" s="3404" t="s">
        <v>984</v>
      </c>
      <c r="C13" s="3404"/>
      <c r="D13" s="1064"/>
      <c r="E13" s="1064"/>
      <c r="F13" s="1065"/>
      <c r="G13" s="1066"/>
      <c r="H13" s="1073"/>
      <c r="I13" s="1063">
        <f>ROUND(D13*E13*F13*G13/10000,0)</f>
        <v>0</v>
      </c>
    </row>
    <row r="14" spans="1:9">
      <c r="A14" s="3403"/>
      <c r="B14" s="3404" t="s">
        <v>985</v>
      </c>
      <c r="C14" s="3404"/>
      <c r="D14" s="1064"/>
      <c r="E14" s="1064"/>
      <c r="F14" s="1065"/>
      <c r="G14" s="1066"/>
      <c r="H14" s="1073"/>
      <c r="I14" s="1063">
        <f>ROUND(D14*E14*F14*G14/10000,0)</f>
        <v>0</v>
      </c>
    </row>
    <row r="15" spans="1:9">
      <c r="A15" s="3403"/>
      <c r="B15" s="3405" t="s">
        <v>977</v>
      </c>
      <c r="C15" s="3405"/>
      <c r="D15" s="1068"/>
      <c r="E15" s="1068">
        <f>SUM(E12:E14)</f>
        <v>0</v>
      </c>
      <c r="F15" s="1069"/>
      <c r="G15" s="1066"/>
      <c r="H15" s="1073"/>
      <c r="I15" s="1074">
        <f>SUM(I12:I14)</f>
        <v>0</v>
      </c>
    </row>
    <row r="16" spans="1:9" ht="24">
      <c r="A16" s="3403" t="s">
        <v>1016</v>
      </c>
      <c r="B16" s="3404" t="s">
        <v>986</v>
      </c>
      <c r="C16" s="3404"/>
      <c r="D16" s="1064" t="s">
        <v>964</v>
      </c>
      <c r="E16" s="1075" t="s">
        <v>987</v>
      </c>
      <c r="F16" s="1065" t="s">
        <v>988</v>
      </c>
      <c r="G16" s="1066" t="s">
        <v>968</v>
      </c>
      <c r="H16" s="1072" t="s">
        <v>982</v>
      </c>
      <c r="I16" s="1063" t="s">
        <v>969</v>
      </c>
    </row>
    <row r="17" spans="1:9" ht="14.25">
      <c r="A17" s="3403"/>
      <c r="B17" s="3404" t="s">
        <v>989</v>
      </c>
      <c r="C17" s="3404"/>
      <c r="D17" s="1064"/>
      <c r="E17" s="1064"/>
      <c r="F17" s="1065"/>
      <c r="G17" s="1066"/>
      <c r="H17" s="1076"/>
      <c r="I17" s="1077">
        <f>ROUND(D17*E17*F17*G17/10000,0)</f>
        <v>0</v>
      </c>
    </row>
    <row r="18" spans="1:9" ht="14.25">
      <c r="A18" s="3403"/>
      <c r="B18" s="3404" t="s">
        <v>990</v>
      </c>
      <c r="C18" s="3404"/>
      <c r="D18" s="1064"/>
      <c r="E18" s="1064"/>
      <c r="F18" s="1065"/>
      <c r="G18" s="1066"/>
      <c r="H18" s="1076"/>
      <c r="I18" s="1077">
        <f>ROUND(D18*E18*F18*G18/10000,0)</f>
        <v>0</v>
      </c>
    </row>
    <row r="19" spans="1:9" ht="14.25">
      <c r="A19" s="3403"/>
      <c r="B19" s="3404" t="s">
        <v>991</v>
      </c>
      <c r="C19" s="3404"/>
      <c r="D19" s="1064"/>
      <c r="E19" s="1064"/>
      <c r="F19" s="1065"/>
      <c r="G19" s="1066"/>
      <c r="H19" s="1076"/>
      <c r="I19" s="1077">
        <f>ROUND(D19*E19*F19*G19/10000,0)</f>
        <v>0</v>
      </c>
    </row>
    <row r="20" spans="1:9">
      <c r="A20" s="3403"/>
      <c r="B20" s="3405" t="s">
        <v>977</v>
      </c>
      <c r="C20" s="3405"/>
      <c r="D20" s="1068">
        <f>SUM(D17:D19)</f>
        <v>0</v>
      </c>
      <c r="E20" s="1068"/>
      <c r="F20" s="1069"/>
      <c r="G20" s="1066"/>
      <c r="H20" s="1073"/>
      <c r="I20" s="1074">
        <f>SUM(I17:I19)</f>
        <v>0</v>
      </c>
    </row>
    <row r="21" spans="1:9">
      <c r="A21" s="3403"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00">
        <f>C27-C30-C31-C32</f>
        <v>0</v>
      </c>
      <c r="F26" s="3400"/>
      <c r="G26" s="3400"/>
      <c r="H26" s="1304" t="s">
        <v>1206</v>
      </c>
    </row>
    <row r="27" spans="1:9">
      <c r="A27" s="1086">
        <v>1</v>
      </c>
      <c r="B27" s="1087" t="s">
        <v>996</v>
      </c>
      <c r="C27" s="1087">
        <f>C28+C29</f>
        <v>0</v>
      </c>
      <c r="D27" s="1087"/>
      <c r="E27" s="3401"/>
      <c r="F27" s="3401"/>
      <c r="G27" s="3401"/>
    </row>
    <row r="28" spans="1:9">
      <c r="A28" s="1088" t="s">
        <v>997</v>
      </c>
      <c r="B28" s="1087" t="s">
        <v>998</v>
      </c>
      <c r="C28" s="1087"/>
      <c r="D28" s="1087"/>
      <c r="E28" s="3401"/>
      <c r="F28" s="3401"/>
      <c r="G28" s="340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397" t="s">
        <v>1007</v>
      </c>
      <c r="B33" s="3398"/>
      <c r="C33" s="3398"/>
      <c r="D33" s="3399"/>
      <c r="E33" s="3400"/>
      <c r="F33" s="3400"/>
      <c r="G33" s="3400"/>
    </row>
    <row r="34" spans="1:7" hidden="1">
      <c r="A34" s="1090">
        <v>1</v>
      </c>
      <c r="B34" s="1087" t="s">
        <v>1008</v>
      </c>
      <c r="C34" s="1087"/>
      <c r="D34" s="1087"/>
      <c r="E34" s="3401"/>
      <c r="F34" s="3401"/>
      <c r="G34" s="3401"/>
    </row>
    <row r="35" spans="1:7" hidden="1">
      <c r="A35" s="1090">
        <v>2</v>
      </c>
      <c r="B35" s="1087" t="s">
        <v>1009</v>
      </c>
      <c r="C35" s="1087"/>
      <c r="D35" s="1087"/>
      <c r="E35" s="3401"/>
      <c r="F35" s="3401"/>
      <c r="G35" s="3401"/>
    </row>
    <row r="36" spans="1:7" hidden="1">
      <c r="A36" s="1090">
        <v>3</v>
      </c>
      <c r="B36" s="1087" t="s">
        <v>1010</v>
      </c>
      <c r="C36" s="1087"/>
      <c r="D36" s="1087"/>
      <c r="E36" s="3401"/>
      <c r="F36" s="3401"/>
      <c r="G36" s="3401"/>
    </row>
    <row r="37" spans="1:7" hidden="1">
      <c r="A37" s="1090">
        <v>4</v>
      </c>
      <c r="B37" s="1087" t="s">
        <v>1011</v>
      </c>
      <c r="C37" s="1087"/>
      <c r="D37" s="1087"/>
      <c r="E37" s="3401"/>
      <c r="F37" s="3401"/>
      <c r="G37" s="3401"/>
    </row>
    <row r="38" spans="1:7" hidden="1">
      <c r="A38" s="3397" t="s">
        <v>1012</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1" t="s">
        <v>2212</v>
      </c>
      <c r="D4" s="3422"/>
      <c r="E4" s="3422"/>
      <c r="F4" s="3422"/>
      <c r="G4" s="3422"/>
      <c r="H4" s="3422"/>
      <c r="I4" s="3422"/>
      <c r="J4" s="3422"/>
      <c r="K4" s="3422"/>
      <c r="L4" s="3422"/>
      <c r="M4" s="3422"/>
      <c r="N4" s="3422"/>
      <c r="O4" s="3422"/>
      <c r="P4" s="3422"/>
      <c r="Q4" s="3422"/>
      <c r="R4" s="3422"/>
      <c r="S4" s="342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85.14</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57" t="s">
        <v>2246</v>
      </c>
      <c r="D4" s="3458"/>
      <c r="E4" s="3459" t="s">
        <v>2247</v>
      </c>
      <c r="F4" s="3460"/>
      <c r="G4" s="3457" t="s">
        <v>2248</v>
      </c>
      <c r="H4" s="3458"/>
      <c r="I4" s="3457" t="s">
        <v>2249</v>
      </c>
      <c r="J4" s="3458"/>
      <c r="K4" s="1665" t="s">
        <v>2250</v>
      </c>
      <c r="L4" s="2997"/>
      <c r="M4" s="2998"/>
      <c r="N4" s="2998"/>
      <c r="O4" s="2998"/>
      <c r="P4" s="3461" t="s">
        <v>2251</v>
      </c>
      <c r="Q4" s="3462"/>
      <c r="R4" s="3446" t="s">
        <v>2247</v>
      </c>
      <c r="S4" s="3447"/>
      <c r="T4" s="3446" t="s">
        <v>2248</v>
      </c>
      <c r="U4" s="3447"/>
      <c r="V4" s="3467" t="s">
        <v>2249</v>
      </c>
      <c r="W4" s="3467"/>
      <c r="X4" s="1666"/>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670"/>
      <c r="L5" s="2997"/>
      <c r="M5" s="2998"/>
      <c r="N5" s="2998"/>
      <c r="O5" s="2998"/>
      <c r="P5" s="3463"/>
      <c r="Q5" s="3464"/>
      <c r="R5" s="3448"/>
      <c r="S5" s="3449"/>
      <c r="T5" s="3448"/>
      <c r="U5" s="3449"/>
      <c r="V5" s="3467"/>
      <c r="W5" s="3467"/>
      <c r="X5" s="1666"/>
      <c r="Y5" s="3448"/>
      <c r="Z5" s="3449"/>
      <c r="AA5" s="3455"/>
      <c r="AB5" s="3455"/>
      <c r="AC5" s="3455"/>
    </row>
    <row r="6" spans="1:29" ht="15.75" thickBot="1">
      <c r="A6" s="1671"/>
      <c r="B6" s="1672"/>
      <c r="C6" s="3440" t="s">
        <v>2256</v>
      </c>
      <c r="D6" s="3441"/>
      <c r="E6" s="3470" t="s">
        <v>2256</v>
      </c>
      <c r="F6" s="3471"/>
      <c r="G6" s="3440" t="s">
        <v>2256</v>
      </c>
      <c r="H6" s="3441"/>
      <c r="I6" s="3440" t="s">
        <v>2256</v>
      </c>
      <c r="J6" s="3441"/>
      <c r="K6" s="1670" t="s">
        <v>2257</v>
      </c>
      <c r="L6" s="2997"/>
      <c r="M6" s="2998"/>
      <c r="N6" s="2998"/>
      <c r="O6" s="2998"/>
      <c r="P6" s="3465"/>
      <c r="Q6" s="3466"/>
      <c r="R6" s="3448"/>
      <c r="S6" s="3449"/>
      <c r="T6" s="3450"/>
      <c r="U6" s="3451"/>
      <c r="V6" s="3467"/>
      <c r="W6" s="3467"/>
      <c r="X6" s="1666"/>
      <c r="Y6" s="3450"/>
      <c r="Z6" s="3451"/>
      <c r="AA6" s="3456"/>
      <c r="AB6" s="3456"/>
      <c r="AC6" s="3456"/>
    </row>
    <row r="7" spans="1:29" s="1685" customFormat="1" ht="15.75" thickBot="1">
      <c r="A7" s="1673" t="s">
        <v>2258</v>
      </c>
      <c r="B7" s="1674"/>
      <c r="C7" s="1675">
        <f>'数据-取费表'!B2</f>
        <v>44461</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4" t="s">
        <v>2259</v>
      </c>
      <c r="Q7" s="3452"/>
      <c r="R7" s="1681" t="s">
        <v>34</v>
      </c>
      <c r="S7" s="1682">
        <f t="shared" ref="S7:S15" si="0">F7</f>
        <v>0</v>
      </c>
      <c r="T7" s="1681" t="s">
        <v>34</v>
      </c>
      <c r="U7" s="1682">
        <f t="shared" ref="U7:U15" si="1">H7</f>
        <v>0</v>
      </c>
      <c r="V7" s="1681" t="s">
        <v>34</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4" t="s">
        <v>2262</v>
      </c>
      <c r="Q8" s="3445"/>
      <c r="R8" s="1681" t="s">
        <v>34</v>
      </c>
      <c r="S8" s="1682">
        <f t="shared" si="0"/>
        <v>0</v>
      </c>
      <c r="T8" s="1681" t="s">
        <v>34</v>
      </c>
      <c r="U8" s="1682">
        <f t="shared" si="1"/>
        <v>0</v>
      </c>
      <c r="V8" s="1681" t="s">
        <v>34</v>
      </c>
      <c r="W8" s="1682">
        <f t="shared" si="2"/>
        <v>0</v>
      </c>
      <c r="X8" s="1683"/>
      <c r="Y8" s="3444" t="s">
        <v>2262</v>
      </c>
      <c r="Z8" s="3445"/>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3"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3"/>
      <c r="Q10" s="163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3"/>
      <c r="Q11" s="1635" t="str">
        <f t="shared" si="6"/>
        <v>容积率</v>
      </c>
      <c r="R11" s="1681" t="s">
        <v>28</v>
      </c>
      <c r="S11" s="1682" t="e">
        <f t="shared" si="0"/>
        <v>#N/A</v>
      </c>
      <c r="T11" s="1681" t="s">
        <v>28</v>
      </c>
      <c r="U11" s="1682" t="e">
        <f t="shared" si="1"/>
        <v>#N/A</v>
      </c>
      <c r="V11" s="1681" t="s">
        <v>28</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3"/>
      <c r="Q12" s="1635">
        <f t="shared" si="6"/>
        <v>111</v>
      </c>
      <c r="R12" s="1681" t="s">
        <v>28</v>
      </c>
      <c r="S12" s="1682">
        <f t="shared" si="0"/>
        <v>100</v>
      </c>
      <c r="T12" s="1681" t="s">
        <v>28</v>
      </c>
      <c r="U12" s="1682">
        <f t="shared" si="1"/>
        <v>100</v>
      </c>
      <c r="V12" s="1681" t="s">
        <v>28</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3"/>
      <c r="Q13" s="1635">
        <f t="shared" si="6"/>
        <v>111</v>
      </c>
      <c r="R13" s="1681" t="s">
        <v>28</v>
      </c>
      <c r="S13" s="1682">
        <f t="shared" si="0"/>
        <v>100</v>
      </c>
      <c r="T13" s="1681" t="s">
        <v>28</v>
      </c>
      <c r="U13" s="1682">
        <f t="shared" si="1"/>
        <v>100</v>
      </c>
      <c r="V13" s="1681" t="s">
        <v>28</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3"/>
      <c r="Q14" s="1635">
        <f t="shared" si="6"/>
        <v>111</v>
      </c>
      <c r="R14" s="1681" t="s">
        <v>28</v>
      </c>
      <c r="S14" s="1682">
        <f t="shared" si="0"/>
        <v>100</v>
      </c>
      <c r="T14" s="1681" t="s">
        <v>28</v>
      </c>
      <c r="U14" s="1682">
        <f t="shared" si="1"/>
        <v>100</v>
      </c>
      <c r="V14" s="1681" t="s">
        <v>28</v>
      </c>
      <c r="W14" s="1682">
        <f t="shared" si="2"/>
        <v>100</v>
      </c>
      <c r="X14" s="1683"/>
      <c r="Y14" s="328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1" t="s">
        <v>2270</v>
      </c>
      <c r="Q15" s="1616" t="str">
        <f t="shared" si="6"/>
        <v>居住社区成熟度</v>
      </c>
      <c r="R15" s="1726" t="s">
        <v>28</v>
      </c>
      <c r="S15" s="1727">
        <f t="shared" si="0"/>
        <v>100</v>
      </c>
      <c r="T15" s="1726" t="s">
        <v>28</v>
      </c>
      <c r="U15" s="1727">
        <f t="shared" si="1"/>
        <v>100</v>
      </c>
      <c r="V15" s="1726" t="s">
        <v>28</v>
      </c>
      <c r="W15" s="1727">
        <f t="shared" si="2"/>
        <v>100</v>
      </c>
      <c r="X15" s="1666"/>
      <c r="Y15" s="3433"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2"/>
      <c r="Q16" s="1616"/>
      <c r="R16" s="1726"/>
      <c r="S16" s="1727"/>
      <c r="T16" s="1726"/>
      <c r="U16" s="1727"/>
      <c r="V16" s="1726"/>
      <c r="W16" s="1727"/>
      <c r="X16" s="1666"/>
      <c r="Y16" s="343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2"/>
      <c r="Q17" s="1616" t="str">
        <f>B17</f>
        <v>交通便捷度</v>
      </c>
      <c r="R17" s="1726" t="s">
        <v>28</v>
      </c>
      <c r="S17" s="1727">
        <f>F17</f>
        <v>100</v>
      </c>
      <c r="T17" s="1726" t="s">
        <v>28</v>
      </c>
      <c r="U17" s="1727">
        <f>H17</f>
        <v>100</v>
      </c>
      <c r="V17" s="1726" t="s">
        <v>28</v>
      </c>
      <c r="W17" s="1727">
        <f>J17</f>
        <v>100</v>
      </c>
      <c r="X17" s="1666"/>
      <c r="Y17" s="343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2"/>
      <c r="Q18" s="1616"/>
      <c r="R18" s="1726"/>
      <c r="S18" s="1727"/>
      <c r="T18" s="1726"/>
      <c r="U18" s="1727"/>
      <c r="V18" s="1726"/>
      <c r="W18" s="1727"/>
      <c r="X18" s="1666"/>
      <c r="Y18" s="343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2"/>
      <c r="Q19" s="1616" t="str">
        <f>B19</f>
        <v>公共配套设施</v>
      </c>
      <c r="R19" s="1726" t="s">
        <v>28</v>
      </c>
      <c r="S19" s="1727">
        <f>F19</f>
        <v>100</v>
      </c>
      <c r="T19" s="1726" t="s">
        <v>28</v>
      </c>
      <c r="U19" s="1727">
        <f>H19</f>
        <v>100</v>
      </c>
      <c r="V19" s="1726" t="s">
        <v>28</v>
      </c>
      <c r="W19" s="1727">
        <f>J19</f>
        <v>100</v>
      </c>
      <c r="X19" s="1666"/>
      <c r="Y19" s="343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2"/>
      <c r="Q20" s="1616"/>
      <c r="R20" s="1726"/>
      <c r="S20" s="1727"/>
      <c r="T20" s="1726"/>
      <c r="U20" s="1727"/>
      <c r="V20" s="1726"/>
      <c r="W20" s="1727"/>
      <c r="X20" s="1666"/>
      <c r="Y20" s="343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2"/>
      <c r="Q21" s="1616" t="str">
        <f>B21</f>
        <v>基础设施水平</v>
      </c>
      <c r="R21" s="1726" t="s">
        <v>28</v>
      </c>
      <c r="S21" s="1727">
        <f>F21</f>
        <v>100</v>
      </c>
      <c r="T21" s="1726" t="s">
        <v>28</v>
      </c>
      <c r="U21" s="1727">
        <f>H21</f>
        <v>100</v>
      </c>
      <c r="V21" s="1726" t="s">
        <v>28</v>
      </c>
      <c r="W21" s="1727">
        <f>J21</f>
        <v>100</v>
      </c>
      <c r="X21" s="1666"/>
      <c r="Y21" s="343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2"/>
      <c r="Q22" s="1616"/>
      <c r="R22" s="1726"/>
      <c r="S22" s="1727"/>
      <c r="T22" s="1726"/>
      <c r="U22" s="1727"/>
      <c r="V22" s="1726"/>
      <c r="W22" s="1727"/>
      <c r="X22" s="1666"/>
      <c r="Y22" s="343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2"/>
      <c r="Q23" s="1616" t="str">
        <f>B23</f>
        <v>自然及人文环境</v>
      </c>
      <c r="R23" s="1726" t="s">
        <v>28</v>
      </c>
      <c r="S23" s="1727">
        <f>F23</f>
        <v>100</v>
      </c>
      <c r="T23" s="1726" t="s">
        <v>28</v>
      </c>
      <c r="U23" s="1727">
        <f>H23</f>
        <v>100</v>
      </c>
      <c r="V23" s="1726" t="s">
        <v>28</v>
      </c>
      <c r="W23" s="1727">
        <f>J23</f>
        <v>100</v>
      </c>
      <c r="X23" s="1666"/>
      <c r="Y23" s="343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2"/>
      <c r="Q24" s="1616"/>
      <c r="R24" s="1726"/>
      <c r="S24" s="1727"/>
      <c r="T24" s="1726"/>
      <c r="U24" s="1727"/>
      <c r="V24" s="1726"/>
      <c r="W24" s="1727"/>
      <c r="X24" s="1666"/>
      <c r="Y24" s="3434"/>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2"/>
      <c r="Q25" s="1616" t="str">
        <f t="shared" ref="Q25:Q46" si="11">B25</f>
        <v>楼层-1</v>
      </c>
      <c r="R25" s="1726" t="s">
        <v>28</v>
      </c>
      <c r="S25" s="1727">
        <f>F25</f>
        <v>100</v>
      </c>
      <c r="T25" s="1726" t="s">
        <v>28</v>
      </c>
      <c r="U25" s="1727">
        <f>H25</f>
        <v>100</v>
      </c>
      <c r="V25" s="1726" t="s">
        <v>28</v>
      </c>
      <c r="W25" s="1727">
        <f>J25</f>
        <v>100</v>
      </c>
      <c r="X25" s="1666"/>
      <c r="Y25" s="3434"/>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2"/>
      <c r="Q26" s="1616" t="str">
        <f t="shared" si="11"/>
        <v>朝向</v>
      </c>
      <c r="R26" s="1726" t="s">
        <v>28</v>
      </c>
      <c r="S26" s="1727">
        <f>F26</f>
        <v>100</v>
      </c>
      <c r="T26" s="1726" t="s">
        <v>28</v>
      </c>
      <c r="U26" s="1727">
        <f>H26</f>
        <v>100</v>
      </c>
      <c r="V26" s="1726" t="s">
        <v>28</v>
      </c>
      <c r="W26" s="1727">
        <f>J26</f>
        <v>100</v>
      </c>
      <c r="X26" s="1666"/>
      <c r="Y26" s="3434"/>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2"/>
      <c r="Q27" s="1635" t="str">
        <f t="shared" si="11"/>
        <v>道路级别</v>
      </c>
      <c r="R27" s="1681" t="s">
        <v>28</v>
      </c>
      <c r="S27" s="1682">
        <f>F27</f>
        <v>100</v>
      </c>
      <c r="T27" s="1681" t="s">
        <v>28</v>
      </c>
      <c r="U27" s="1682">
        <f>H27</f>
        <v>100</v>
      </c>
      <c r="V27" s="1681" t="s">
        <v>28</v>
      </c>
      <c r="W27" s="1682">
        <f>J27</f>
        <v>100</v>
      </c>
      <c r="X27" s="1683"/>
      <c r="Y27" s="3434"/>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4"/>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2"/>
      <c r="Q29" s="1616">
        <f t="shared" si="11"/>
        <v>111</v>
      </c>
      <c r="R29" s="1726" t="s">
        <v>28</v>
      </c>
      <c r="S29" s="1727">
        <f t="shared" si="12"/>
        <v>100</v>
      </c>
      <c r="T29" s="1726" t="s">
        <v>28</v>
      </c>
      <c r="U29" s="1727">
        <f t="shared" si="13"/>
        <v>100</v>
      </c>
      <c r="V29" s="1726" t="s">
        <v>28</v>
      </c>
      <c r="W29" s="1727">
        <f t="shared" si="14"/>
        <v>100</v>
      </c>
      <c r="X29" s="1666"/>
      <c r="Y29" s="343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2"/>
      <c r="Q30" s="1616">
        <f t="shared" si="11"/>
        <v>111</v>
      </c>
      <c r="R30" s="1726" t="s">
        <v>28</v>
      </c>
      <c r="S30" s="1727">
        <f t="shared" si="12"/>
        <v>100</v>
      </c>
      <c r="T30" s="1726" t="s">
        <v>28</v>
      </c>
      <c r="U30" s="1727">
        <f t="shared" si="13"/>
        <v>100</v>
      </c>
      <c r="V30" s="1726" t="s">
        <v>28</v>
      </c>
      <c r="W30" s="1727">
        <f t="shared" si="14"/>
        <v>100</v>
      </c>
      <c r="X30" s="1666"/>
      <c r="Y30" s="343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2"/>
      <c r="Q31" s="1616">
        <f t="shared" si="11"/>
        <v>111</v>
      </c>
      <c r="R31" s="1726" t="s">
        <v>28</v>
      </c>
      <c r="S31" s="1727">
        <f t="shared" si="12"/>
        <v>100</v>
      </c>
      <c r="T31" s="1726" t="s">
        <v>28</v>
      </c>
      <c r="U31" s="1727">
        <f t="shared" si="13"/>
        <v>100</v>
      </c>
      <c r="V31" s="1726" t="s">
        <v>28</v>
      </c>
      <c r="W31" s="1727">
        <f t="shared" si="14"/>
        <v>100</v>
      </c>
      <c r="X31" s="1666"/>
      <c r="Y31" s="3434"/>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5" t="s">
        <v>2276</v>
      </c>
      <c r="Q32" s="1616" t="str">
        <f t="shared" si="11"/>
        <v>建筑类型</v>
      </c>
      <c r="R32" s="1726" t="s">
        <v>28</v>
      </c>
      <c r="S32" s="1727">
        <f t="shared" si="12"/>
        <v>100</v>
      </c>
      <c r="T32" s="1726" t="s">
        <v>28</v>
      </c>
      <c r="U32" s="1727">
        <f t="shared" si="13"/>
        <v>100</v>
      </c>
      <c r="V32" s="1726" t="s">
        <v>28</v>
      </c>
      <c r="W32" s="1727">
        <f t="shared" si="14"/>
        <v>100</v>
      </c>
      <c r="X32" s="1666"/>
      <c r="Y32" s="3438"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6"/>
      <c r="Q33" s="1767" t="str">
        <f t="shared" si="11"/>
        <v>项目建筑规模</v>
      </c>
      <c r="R33" s="1768" t="s">
        <v>28</v>
      </c>
      <c r="S33" s="1769" t="e">
        <f t="shared" si="12"/>
        <v>#N/A</v>
      </c>
      <c r="T33" s="1768" t="s">
        <v>28</v>
      </c>
      <c r="U33" s="1769" t="e">
        <f t="shared" si="13"/>
        <v>#N/A</v>
      </c>
      <c r="V33" s="1768" t="s">
        <v>28</v>
      </c>
      <c r="W33" s="1769" t="e">
        <f t="shared" si="14"/>
        <v>#N/A</v>
      </c>
      <c r="X33" s="1770"/>
      <c r="Y33" s="3438"/>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6"/>
      <c r="Q34" s="1616" t="str">
        <f t="shared" si="11"/>
        <v>建筑结构</v>
      </c>
      <c r="R34" s="1726" t="s">
        <v>28</v>
      </c>
      <c r="S34" s="1727">
        <f t="shared" si="12"/>
        <v>100</v>
      </c>
      <c r="T34" s="1726" t="s">
        <v>28</v>
      </c>
      <c r="U34" s="1727">
        <f t="shared" si="13"/>
        <v>100</v>
      </c>
      <c r="V34" s="1726" t="s">
        <v>28</v>
      </c>
      <c r="W34" s="1727">
        <f t="shared" si="14"/>
        <v>100</v>
      </c>
      <c r="X34" s="1666"/>
      <c r="Y34" s="3438"/>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6"/>
      <c r="Q35" s="1616" t="str">
        <f t="shared" si="11"/>
        <v>建筑品质</v>
      </c>
      <c r="R35" s="1726" t="s">
        <v>28</v>
      </c>
      <c r="S35" s="1727">
        <f t="shared" si="12"/>
        <v>100</v>
      </c>
      <c r="T35" s="1726" t="s">
        <v>28</v>
      </c>
      <c r="U35" s="1727">
        <f t="shared" si="13"/>
        <v>100</v>
      </c>
      <c r="V35" s="1726" t="s">
        <v>28</v>
      </c>
      <c r="W35" s="1727">
        <f t="shared" si="14"/>
        <v>100</v>
      </c>
      <c r="X35" s="1666"/>
      <c r="Y35" s="3438"/>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6"/>
      <c r="Q36" s="1616" t="str">
        <f t="shared" si="11"/>
        <v>公共部分装修</v>
      </c>
      <c r="R36" s="1726" t="s">
        <v>28</v>
      </c>
      <c r="S36" s="1727">
        <f t="shared" si="12"/>
        <v>100</v>
      </c>
      <c r="T36" s="1726" t="s">
        <v>28</v>
      </c>
      <c r="U36" s="1727">
        <f t="shared" si="13"/>
        <v>100</v>
      </c>
      <c r="V36" s="1726" t="s">
        <v>28</v>
      </c>
      <c r="W36" s="1727">
        <f t="shared" si="14"/>
        <v>100</v>
      </c>
      <c r="X36" s="1666"/>
      <c r="Y36" s="3438"/>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6"/>
      <c r="Q37" s="1635" t="str">
        <f t="shared" si="11"/>
        <v>成新度</v>
      </c>
      <c r="R37" s="1681" t="s">
        <v>28</v>
      </c>
      <c r="S37" s="1682" t="e">
        <f t="shared" si="12"/>
        <v>#N/A</v>
      </c>
      <c r="T37" s="1681" t="s">
        <v>28</v>
      </c>
      <c r="U37" s="1682" t="e">
        <f t="shared" si="13"/>
        <v>#N/A</v>
      </c>
      <c r="V37" s="1681" t="s">
        <v>28</v>
      </c>
      <c r="W37" s="1682" t="e">
        <f t="shared" si="14"/>
        <v>#N/A</v>
      </c>
      <c r="X37" s="1683"/>
      <c r="Y37" s="3438"/>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6" t="s">
        <v>2276</v>
      </c>
      <c r="Q38" s="1616" t="str">
        <f t="shared" si="11"/>
        <v>物业管理</v>
      </c>
      <c r="R38" s="1726" t="s">
        <v>28</v>
      </c>
      <c r="S38" s="1727">
        <f t="shared" si="12"/>
        <v>100</v>
      </c>
      <c r="T38" s="1726" t="s">
        <v>28</v>
      </c>
      <c r="U38" s="1727">
        <f t="shared" si="13"/>
        <v>100</v>
      </c>
      <c r="V38" s="1726" t="s">
        <v>28</v>
      </c>
      <c r="W38" s="1727">
        <f t="shared" si="14"/>
        <v>100</v>
      </c>
      <c r="X38" s="1666"/>
      <c r="Y38" s="3438"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6"/>
      <c r="Q39" s="1616" t="str">
        <f t="shared" si="11"/>
        <v>市政基础设施</v>
      </c>
      <c r="R39" s="1726" t="s">
        <v>28</v>
      </c>
      <c r="S39" s="1727">
        <f t="shared" si="12"/>
        <v>100</v>
      </c>
      <c r="T39" s="1726" t="s">
        <v>28</v>
      </c>
      <c r="U39" s="1727">
        <f t="shared" si="13"/>
        <v>100</v>
      </c>
      <c r="V39" s="1726" t="s">
        <v>28</v>
      </c>
      <c r="W39" s="1727">
        <f t="shared" si="14"/>
        <v>100</v>
      </c>
      <c r="X39" s="1666"/>
      <c r="Y39" s="3438"/>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6"/>
      <c r="Q40" s="1616" t="str">
        <f t="shared" si="11"/>
        <v>房型</v>
      </c>
      <c r="R40" s="1726" t="s">
        <v>28</v>
      </c>
      <c r="S40" s="1727">
        <f t="shared" si="12"/>
        <v>100</v>
      </c>
      <c r="T40" s="1726" t="s">
        <v>28</v>
      </c>
      <c r="U40" s="1727">
        <f t="shared" si="13"/>
        <v>100</v>
      </c>
      <c r="V40" s="1726" t="s">
        <v>28</v>
      </c>
      <c r="W40" s="1727">
        <f t="shared" si="14"/>
        <v>100</v>
      </c>
      <c r="X40" s="1666"/>
      <c r="Y40" s="3438"/>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6"/>
      <c r="Q41" s="1767" t="str">
        <f t="shared" si="11"/>
        <v>单套/主力户型建筑面积</v>
      </c>
      <c r="R41" s="1768" t="s">
        <v>28</v>
      </c>
      <c r="S41" s="1769">
        <f t="shared" si="12"/>
        <v>100</v>
      </c>
      <c r="T41" s="1768" t="s">
        <v>28</v>
      </c>
      <c r="U41" s="1769">
        <f t="shared" si="13"/>
        <v>100</v>
      </c>
      <c r="V41" s="1768" t="s">
        <v>28</v>
      </c>
      <c r="W41" s="1769">
        <f t="shared" si="14"/>
        <v>100</v>
      </c>
      <c r="X41" s="1770"/>
      <c r="Y41" s="3438"/>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6"/>
      <c r="Q42" s="1616" t="str">
        <f t="shared" si="11"/>
        <v>内部装修</v>
      </c>
      <c r="R42" s="1726" t="s">
        <v>28</v>
      </c>
      <c r="S42" s="1727">
        <f t="shared" si="12"/>
        <v>100</v>
      </c>
      <c r="T42" s="1726" t="s">
        <v>28</v>
      </c>
      <c r="U42" s="1727">
        <f t="shared" si="13"/>
        <v>100</v>
      </c>
      <c r="V42" s="1726" t="s">
        <v>28</v>
      </c>
      <c r="W42" s="1727">
        <f t="shared" si="14"/>
        <v>100</v>
      </c>
      <c r="X42" s="1666"/>
      <c r="Y42" s="3438"/>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6"/>
      <c r="Q43" s="1616" t="str">
        <f t="shared" si="11"/>
        <v>内部装修维护情况</v>
      </c>
      <c r="R43" s="1726" t="s">
        <v>28</v>
      </c>
      <c r="S43" s="1727">
        <f t="shared" si="12"/>
        <v>100</v>
      </c>
      <c r="T43" s="1726" t="s">
        <v>28</v>
      </c>
      <c r="U43" s="1727">
        <f t="shared" si="13"/>
        <v>100</v>
      </c>
      <c r="V43" s="1726" t="s">
        <v>28</v>
      </c>
      <c r="W43" s="1727">
        <f t="shared" si="14"/>
        <v>100</v>
      </c>
      <c r="X43" s="1666"/>
      <c r="Y43" s="343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6"/>
      <c r="Q44" s="1635">
        <f t="shared" si="11"/>
        <v>111</v>
      </c>
      <c r="R44" s="1681" t="s">
        <v>28</v>
      </c>
      <c r="S44" s="1682">
        <f t="shared" si="12"/>
        <v>100</v>
      </c>
      <c r="T44" s="1681" t="s">
        <v>28</v>
      </c>
      <c r="U44" s="1682">
        <f t="shared" si="13"/>
        <v>100</v>
      </c>
      <c r="V44" s="1681" t="s">
        <v>28</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6"/>
      <c r="Q45" s="1616">
        <f t="shared" si="11"/>
        <v>111</v>
      </c>
      <c r="R45" s="1726" t="s">
        <v>28</v>
      </c>
      <c r="S45" s="1727">
        <f t="shared" si="12"/>
        <v>100</v>
      </c>
      <c r="T45" s="1726" t="s">
        <v>28</v>
      </c>
      <c r="U45" s="1727">
        <f t="shared" si="13"/>
        <v>100</v>
      </c>
      <c r="V45" s="1726" t="s">
        <v>28</v>
      </c>
      <c r="W45" s="1727">
        <f t="shared" si="14"/>
        <v>100</v>
      </c>
      <c r="X45" s="1666"/>
      <c r="Y45" s="343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7"/>
      <c r="Q46" s="1616">
        <f t="shared" si="11"/>
        <v>111</v>
      </c>
      <c r="R46" s="1726" t="s">
        <v>27</v>
      </c>
      <c r="S46" s="1727">
        <f t="shared" si="12"/>
        <v>100</v>
      </c>
      <c r="T46" s="1726" t="s">
        <v>27</v>
      </c>
      <c r="U46" s="1727">
        <f t="shared" si="13"/>
        <v>100</v>
      </c>
      <c r="V46" s="1726" t="s">
        <v>27</v>
      </c>
      <c r="W46" s="1727">
        <f t="shared" si="14"/>
        <v>100</v>
      </c>
      <c r="X46" s="1666"/>
      <c r="Y46" s="3439"/>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30" t="str">
        <f>A47</f>
        <v>成交单价（元/平方米）</v>
      </c>
      <c r="Q47" s="3430"/>
      <c r="R47" s="3426">
        <f>E47</f>
        <v>0</v>
      </c>
      <c r="S47" s="3426"/>
      <c r="T47" s="3426">
        <f>G47</f>
        <v>0</v>
      </c>
      <c r="U47" s="3426"/>
      <c r="V47" s="3426">
        <f>I47</f>
        <v>0</v>
      </c>
      <c r="W47" s="3426"/>
      <c r="X47" s="1792"/>
      <c r="Y47" s="1793"/>
      <c r="Z47" s="1792"/>
      <c r="AA47" s="1792"/>
      <c r="AB47" s="1792"/>
      <c r="AC47" s="1792"/>
    </row>
    <row r="48" spans="1:29" ht="15.75" thickBot="1">
      <c r="A48" s="1794" t="s">
        <v>2289</v>
      </c>
      <c r="B48" s="1795"/>
      <c r="C48" s="1796" t="e">
        <f>R49</f>
        <v>#DIV/0!</v>
      </c>
      <c r="D48" s="1797" t="s">
        <v>2745</v>
      </c>
      <c r="E48" s="1798" t="e">
        <f>R48</f>
        <v>#DIV/0!</v>
      </c>
      <c r="F48" s="1799"/>
      <c r="G48" s="1796" t="e">
        <f>T48</f>
        <v>#DIV/0!</v>
      </c>
      <c r="H48" s="1799"/>
      <c r="I48" s="1798" t="e">
        <f>V48</f>
        <v>#DIV/0!</v>
      </c>
      <c r="J48" s="1799"/>
      <c r="K48" s="2512">
        <f>F48+H48+J48</f>
        <v>0</v>
      </c>
      <c r="L48" s="3003"/>
      <c r="P48" s="3430" t="str">
        <f>A48</f>
        <v>比较价值（元/平方米）</v>
      </c>
      <c r="Q48" s="3430"/>
      <c r="R48" s="3426" t="e">
        <f>IF(E1="售价",ROUND(PRODUCT(R47,AA7:AA46),0),ROUND(PRODUCT(R47,AA7:AA46),1))</f>
        <v>#DIV/0!</v>
      </c>
      <c r="S48" s="3426"/>
      <c r="T48" s="3424" t="e">
        <f>IF(E1="售价",ROUND(PRODUCT(T47,AB7:AB46),0),ROUND(PRODUCT(T47,AB7:AB46),1))</f>
        <v>#DIV/0!</v>
      </c>
      <c r="U48" s="3425"/>
      <c r="V48" s="3426" t="e">
        <f>IF(E1="售价",ROUND(PRODUCT(V47,AC7:AC46),0),ROUND(PRODUCT(V47,AC7:AC46),1))</f>
        <v>#DIV/0!</v>
      </c>
      <c r="W48" s="3426"/>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2021-9</v>
      </c>
      <c r="D58" s="1826">
        <f>EDATE(C58,-1)</f>
        <v>44409</v>
      </c>
      <c r="E58" s="1826">
        <f t="shared" ref="E58:O58" si="16">EDATE(D58,-1)</f>
        <v>44378</v>
      </c>
      <c r="F58" s="1826">
        <f t="shared" si="16"/>
        <v>44348</v>
      </c>
      <c r="G58" s="1826">
        <f t="shared" si="16"/>
        <v>44317</v>
      </c>
      <c r="H58" s="1826">
        <f t="shared" si="16"/>
        <v>44287</v>
      </c>
      <c r="I58" s="1826">
        <f t="shared" si="16"/>
        <v>44256</v>
      </c>
      <c r="J58" s="1826">
        <f t="shared" si="16"/>
        <v>44228</v>
      </c>
      <c r="K58" s="1826">
        <f t="shared" si="16"/>
        <v>44197</v>
      </c>
      <c r="L58" s="1826">
        <f t="shared" si="16"/>
        <v>44166</v>
      </c>
      <c r="M58" s="1826">
        <f t="shared" si="16"/>
        <v>44136</v>
      </c>
      <c r="N58" s="1826">
        <f t="shared" si="16"/>
        <v>44105</v>
      </c>
      <c r="O58" s="1826">
        <f t="shared" si="16"/>
        <v>44075</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85.14</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2075"/>
      <c r="Y4" s="3446" t="s">
        <v>2251</v>
      </c>
      <c r="Z4" s="3447"/>
      <c r="AA4" s="3454" t="s">
        <v>2247</v>
      </c>
      <c r="AB4" s="3467" t="s">
        <v>2248</v>
      </c>
      <c r="AC4" s="3454" t="s">
        <v>2249</v>
      </c>
    </row>
    <row r="5" spans="1:29"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2075"/>
      <c r="Y5" s="3448"/>
      <c r="Z5" s="3449"/>
      <c r="AA5" s="3455"/>
      <c r="AB5" s="3467"/>
      <c r="AC5" s="3455"/>
    </row>
    <row r="6" spans="1:29"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2075"/>
      <c r="Y6" s="3450"/>
      <c r="Z6" s="3451"/>
      <c r="AA6" s="3456"/>
      <c r="AB6" s="3467"/>
      <c r="AC6" s="3456"/>
    </row>
    <row r="7" spans="1:29" s="1685" customFormat="1" ht="15.75" thickBot="1">
      <c r="A7" s="1673" t="s">
        <v>2258</v>
      </c>
      <c r="B7" s="1674"/>
      <c r="C7" s="1675">
        <f>'数据-取费表'!B2</f>
        <v>44461</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3" t="s">
        <v>2265</v>
      </c>
      <c r="Q9" s="2066"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3"/>
      <c r="Q10" s="2066"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3"/>
      <c r="Q11" s="2066"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3"/>
      <c r="Q12" s="2066">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3"/>
      <c r="Q13" s="2066">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3"/>
      <c r="Q14" s="2066">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1" t="s">
        <v>2270</v>
      </c>
      <c r="Q15" s="2072" t="str">
        <f t="shared" si="6"/>
        <v>商业繁华度</v>
      </c>
      <c r="R15" s="1726" t="s">
        <v>25</v>
      </c>
      <c r="S15" s="1727">
        <f t="shared" si="0"/>
        <v>100</v>
      </c>
      <c r="T15" s="1726" t="s">
        <v>25</v>
      </c>
      <c r="U15" s="1727">
        <f t="shared" si="1"/>
        <v>100</v>
      </c>
      <c r="V15" s="1726" t="s">
        <v>25</v>
      </c>
      <c r="W15" s="1727">
        <f t="shared" si="2"/>
        <v>100</v>
      </c>
      <c r="X15" s="2075"/>
      <c r="Y15" s="3433"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2"/>
      <c r="Q16" s="2072"/>
      <c r="R16" s="1726"/>
      <c r="S16" s="1727"/>
      <c r="T16" s="1726"/>
      <c r="U16" s="1727"/>
      <c r="V16" s="1726"/>
      <c r="W16" s="1727"/>
      <c r="X16" s="2075"/>
      <c r="Y16" s="3434"/>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2"/>
      <c r="Q17" s="2072"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2"/>
      <c r="Q18" s="2072"/>
      <c r="R18" s="1726"/>
      <c r="S18" s="1727"/>
      <c r="T18" s="1726"/>
      <c r="U18" s="1727"/>
      <c r="V18" s="1726"/>
      <c r="W18" s="1727"/>
      <c r="X18" s="2075"/>
      <c r="Y18" s="3434"/>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2"/>
      <c r="Q19" s="2072"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2"/>
      <c r="Q20" s="2072"/>
      <c r="R20" s="1726"/>
      <c r="S20" s="1727"/>
      <c r="T20" s="1726"/>
      <c r="U20" s="1727"/>
      <c r="V20" s="1726"/>
      <c r="W20" s="1727"/>
      <c r="X20" s="2075"/>
      <c r="Y20" s="3434"/>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2"/>
      <c r="Q21" s="2072"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2"/>
      <c r="Q22" s="2072"/>
      <c r="R22" s="1726"/>
      <c r="S22" s="1727"/>
      <c r="T22" s="1726"/>
      <c r="U22" s="1727"/>
      <c r="V22" s="1726"/>
      <c r="W22" s="1727"/>
      <c r="X22" s="2075"/>
      <c r="Y22" s="3434"/>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2"/>
      <c r="Q23" s="2072" t="str">
        <f>B23</f>
        <v>自然及人文环境</v>
      </c>
      <c r="R23" s="1726" t="s">
        <v>25</v>
      </c>
      <c r="S23" s="1727">
        <f>F23</f>
        <v>100</v>
      </c>
      <c r="T23" s="1726" t="s">
        <v>25</v>
      </c>
      <c r="U23" s="1727">
        <f>H23</f>
        <v>100</v>
      </c>
      <c r="V23" s="1726" t="s">
        <v>25</v>
      </c>
      <c r="W23" s="1727">
        <f>J23</f>
        <v>100</v>
      </c>
      <c r="X23" s="2075"/>
      <c r="Y23" s="343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2"/>
      <c r="Q24" s="2072"/>
      <c r="R24" s="1726"/>
      <c r="S24" s="1727"/>
      <c r="T24" s="1726"/>
      <c r="U24" s="1727"/>
      <c r="V24" s="1726"/>
      <c r="W24" s="1727"/>
      <c r="X24" s="2075"/>
      <c r="Y24" s="3434"/>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2"/>
      <c r="Q25" s="2072" t="str">
        <f t="shared" ref="Q25:Q46" si="11">B25</f>
        <v>临街状况</v>
      </c>
      <c r="R25" s="1726" t="s">
        <v>25</v>
      </c>
      <c r="S25" s="1727">
        <f>F25</f>
        <v>100</v>
      </c>
      <c r="T25" s="1726" t="s">
        <v>25</v>
      </c>
      <c r="U25" s="1727">
        <f>H25</f>
        <v>100</v>
      </c>
      <c r="V25" s="1726" t="s">
        <v>25</v>
      </c>
      <c r="W25" s="1727">
        <f>J25</f>
        <v>100</v>
      </c>
      <c r="X25" s="2075"/>
      <c r="Y25" s="3434"/>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2"/>
      <c r="Q26" s="2072" t="str">
        <f t="shared" si="11"/>
        <v>平面位置/可视性</v>
      </c>
      <c r="R26" s="1726" t="s">
        <v>25</v>
      </c>
      <c r="S26" s="1727">
        <f>F26</f>
        <v>100</v>
      </c>
      <c r="T26" s="1726" t="s">
        <v>25</v>
      </c>
      <c r="U26" s="1727">
        <f>H26</f>
        <v>100</v>
      </c>
      <c r="V26" s="1726" t="s">
        <v>25</v>
      </c>
      <c r="W26" s="1727">
        <f>J26</f>
        <v>100</v>
      </c>
      <c r="X26" s="2075"/>
      <c r="Y26" s="3434"/>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2"/>
      <c r="Q27" s="2066" t="str">
        <f t="shared" si="11"/>
        <v>人流量</v>
      </c>
      <c r="R27" s="1681" t="s">
        <v>25</v>
      </c>
      <c r="S27" s="1682">
        <f>F27</f>
        <v>100</v>
      </c>
      <c r="T27" s="1681" t="s">
        <v>25</v>
      </c>
      <c r="U27" s="1682">
        <f>H27</f>
        <v>100</v>
      </c>
      <c r="V27" s="1681" t="s">
        <v>25</v>
      </c>
      <c r="W27" s="1682">
        <f>J27</f>
        <v>100</v>
      </c>
      <c r="X27" s="1683"/>
      <c r="Y27" s="3434"/>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2"/>
      <c r="Q29" s="2072">
        <f t="shared" si="11"/>
        <v>111</v>
      </c>
      <c r="R29" s="1726" t="s">
        <v>25</v>
      </c>
      <c r="S29" s="1727">
        <f t="shared" si="12"/>
        <v>100</v>
      </c>
      <c r="T29" s="1726" t="s">
        <v>25</v>
      </c>
      <c r="U29" s="1727">
        <f t="shared" si="13"/>
        <v>100</v>
      </c>
      <c r="V29" s="1726" t="s">
        <v>25</v>
      </c>
      <c r="W29" s="1727">
        <f t="shared" si="14"/>
        <v>100</v>
      </c>
      <c r="X29" s="2075"/>
      <c r="Y29" s="343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2"/>
      <c r="Q30" s="2072">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2"/>
      <c r="Q31" s="2072">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5" t="s">
        <v>2276</v>
      </c>
      <c r="Q32" s="2072" t="str">
        <f t="shared" si="11"/>
        <v>商业类型</v>
      </c>
      <c r="R32" s="1726" t="s">
        <v>25</v>
      </c>
      <c r="S32" s="1727">
        <f t="shared" si="12"/>
        <v>100</v>
      </c>
      <c r="T32" s="1726" t="s">
        <v>25</v>
      </c>
      <c r="U32" s="1727">
        <f t="shared" si="13"/>
        <v>100</v>
      </c>
      <c r="V32" s="1726" t="s">
        <v>25</v>
      </c>
      <c r="W32" s="1727">
        <f t="shared" si="14"/>
        <v>100</v>
      </c>
      <c r="X32" s="2075"/>
      <c r="Y32" s="3438"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36"/>
      <c r="Q33" s="1767" t="str">
        <f t="shared" si="11"/>
        <v>项目建筑规模</v>
      </c>
      <c r="R33" s="1768" t="s">
        <v>25</v>
      </c>
      <c r="S33" s="1769" t="e">
        <f t="shared" si="12"/>
        <v>#N/A</v>
      </c>
      <c r="T33" s="1768" t="s">
        <v>25</v>
      </c>
      <c r="U33" s="1769" t="e">
        <f t="shared" si="13"/>
        <v>#N/A</v>
      </c>
      <c r="V33" s="1768" t="s">
        <v>25</v>
      </c>
      <c r="W33" s="1769" t="e">
        <f t="shared" si="14"/>
        <v>#N/A</v>
      </c>
      <c r="X33" s="1770"/>
      <c r="Y33" s="3438"/>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6"/>
      <c r="Q34" s="2072" t="str">
        <f t="shared" si="11"/>
        <v>建筑结构</v>
      </c>
      <c r="R34" s="1726" t="s">
        <v>25</v>
      </c>
      <c r="S34" s="1727">
        <f t="shared" si="12"/>
        <v>100</v>
      </c>
      <c r="T34" s="1726" t="s">
        <v>25</v>
      </c>
      <c r="U34" s="1727">
        <f t="shared" si="13"/>
        <v>100</v>
      </c>
      <c r="V34" s="1726" t="s">
        <v>25</v>
      </c>
      <c r="W34" s="1727">
        <f t="shared" si="14"/>
        <v>100</v>
      </c>
      <c r="X34" s="2075"/>
      <c r="Y34" s="3438"/>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6"/>
      <c r="Q35" s="2072" t="str">
        <f t="shared" si="11"/>
        <v>公共部分装修</v>
      </c>
      <c r="R35" s="1726" t="s">
        <v>25</v>
      </c>
      <c r="S35" s="1727">
        <f t="shared" si="12"/>
        <v>100</v>
      </c>
      <c r="T35" s="1726" t="s">
        <v>25</v>
      </c>
      <c r="U35" s="1727">
        <f t="shared" si="13"/>
        <v>100</v>
      </c>
      <c r="V35" s="1726" t="s">
        <v>25</v>
      </c>
      <c r="W35" s="1727">
        <f t="shared" si="14"/>
        <v>100</v>
      </c>
      <c r="X35" s="2075"/>
      <c r="Y35" s="3438"/>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36"/>
      <c r="Q36" s="2072" t="str">
        <f t="shared" si="11"/>
        <v>成新度</v>
      </c>
      <c r="R36" s="1726" t="s">
        <v>25</v>
      </c>
      <c r="S36" s="1727" t="e">
        <f t="shared" si="12"/>
        <v>#N/A</v>
      </c>
      <c r="T36" s="1726" t="s">
        <v>25</v>
      </c>
      <c r="U36" s="1727" t="e">
        <f t="shared" si="13"/>
        <v>#N/A</v>
      </c>
      <c r="V36" s="1726" t="s">
        <v>25</v>
      </c>
      <c r="W36" s="1727" t="e">
        <f t="shared" si="14"/>
        <v>#N/A</v>
      </c>
      <c r="X36" s="2075"/>
      <c r="Y36" s="3438"/>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6"/>
      <c r="Q37" s="2066" t="str">
        <f t="shared" si="11"/>
        <v>市政基础设施</v>
      </c>
      <c r="R37" s="1681" t="s">
        <v>25</v>
      </c>
      <c r="S37" s="1682">
        <f t="shared" si="12"/>
        <v>100</v>
      </c>
      <c r="T37" s="1681" t="s">
        <v>25</v>
      </c>
      <c r="U37" s="1682">
        <f t="shared" si="13"/>
        <v>100</v>
      </c>
      <c r="V37" s="1681" t="s">
        <v>25</v>
      </c>
      <c r="W37" s="1682">
        <f t="shared" si="14"/>
        <v>100</v>
      </c>
      <c r="X37" s="1683"/>
      <c r="Y37" s="3438"/>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6" t="s">
        <v>2276</v>
      </c>
      <c r="Q38" s="2072" t="str">
        <f t="shared" si="11"/>
        <v>业态</v>
      </c>
      <c r="R38" s="1726" t="s">
        <v>25</v>
      </c>
      <c r="S38" s="1727">
        <f t="shared" si="12"/>
        <v>100</v>
      </c>
      <c r="T38" s="1726" t="s">
        <v>25</v>
      </c>
      <c r="U38" s="1727">
        <f t="shared" si="13"/>
        <v>100</v>
      </c>
      <c r="V38" s="1726" t="s">
        <v>25</v>
      </c>
      <c r="W38" s="1727">
        <f t="shared" si="14"/>
        <v>100</v>
      </c>
      <c r="X38" s="2075"/>
      <c r="Y38" s="3438"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6"/>
      <c r="Q39" s="2072" t="str">
        <f t="shared" si="11"/>
        <v>层高</v>
      </c>
      <c r="R39" s="1726" t="s">
        <v>25</v>
      </c>
      <c r="S39" s="1727">
        <f t="shared" si="12"/>
        <v>100</v>
      </c>
      <c r="T39" s="1726" t="s">
        <v>25</v>
      </c>
      <c r="U39" s="1727">
        <f t="shared" si="13"/>
        <v>100</v>
      </c>
      <c r="V39" s="1726" t="s">
        <v>25</v>
      </c>
      <c r="W39" s="1727">
        <f t="shared" si="14"/>
        <v>100</v>
      </c>
      <c r="X39" s="2075"/>
      <c r="Y39" s="3438"/>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6"/>
      <c r="Q40" s="2072" t="str">
        <f t="shared" si="11"/>
        <v>单套建筑面积</v>
      </c>
      <c r="R40" s="1726" t="s">
        <v>25</v>
      </c>
      <c r="S40" s="1727">
        <f t="shared" si="12"/>
        <v>100</v>
      </c>
      <c r="T40" s="1726" t="s">
        <v>25</v>
      </c>
      <c r="U40" s="1727">
        <f t="shared" si="13"/>
        <v>100</v>
      </c>
      <c r="V40" s="1726" t="s">
        <v>25</v>
      </c>
      <c r="W40" s="1727">
        <f t="shared" si="14"/>
        <v>100</v>
      </c>
      <c r="X40" s="2075"/>
      <c r="Y40" s="3438"/>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6"/>
      <c r="Q41" s="1767" t="str">
        <f t="shared" si="11"/>
        <v>进深比</v>
      </c>
      <c r="R41" s="1768" t="s">
        <v>25</v>
      </c>
      <c r="S41" s="1769">
        <f t="shared" si="12"/>
        <v>100</v>
      </c>
      <c r="T41" s="1768" t="s">
        <v>25</v>
      </c>
      <c r="U41" s="1769">
        <f t="shared" si="13"/>
        <v>100</v>
      </c>
      <c r="V41" s="1768" t="s">
        <v>25</v>
      </c>
      <c r="W41" s="1769">
        <f t="shared" si="14"/>
        <v>100</v>
      </c>
      <c r="X41" s="1770"/>
      <c r="Y41" s="3438"/>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6"/>
      <c r="Q42" s="2072" t="str">
        <f t="shared" si="11"/>
        <v>内部装修</v>
      </c>
      <c r="R42" s="1726" t="s">
        <v>25</v>
      </c>
      <c r="S42" s="1727">
        <f t="shared" si="12"/>
        <v>100</v>
      </c>
      <c r="T42" s="1726" t="s">
        <v>25</v>
      </c>
      <c r="U42" s="1727">
        <f t="shared" si="13"/>
        <v>100</v>
      </c>
      <c r="V42" s="1726" t="s">
        <v>25</v>
      </c>
      <c r="W42" s="1727">
        <f t="shared" si="14"/>
        <v>100</v>
      </c>
      <c r="X42" s="2075"/>
      <c r="Y42" s="3438"/>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6"/>
      <c r="Q43" s="2072" t="str">
        <f t="shared" si="11"/>
        <v>内部装修维护情况</v>
      </c>
      <c r="R43" s="1726" t="s">
        <v>25</v>
      </c>
      <c r="S43" s="1727">
        <f t="shared" si="12"/>
        <v>100</v>
      </c>
      <c r="T43" s="1726" t="s">
        <v>25</v>
      </c>
      <c r="U43" s="1727">
        <f t="shared" si="13"/>
        <v>100</v>
      </c>
      <c r="V43" s="1726" t="s">
        <v>25</v>
      </c>
      <c r="W43" s="1727">
        <f t="shared" si="14"/>
        <v>100</v>
      </c>
      <c r="X43" s="2075"/>
      <c r="Y43" s="343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6"/>
      <c r="Q44" s="2066">
        <f t="shared" si="11"/>
        <v>111</v>
      </c>
      <c r="R44" s="1681" t="s">
        <v>25</v>
      </c>
      <c r="S44" s="1682">
        <f t="shared" si="12"/>
        <v>100</v>
      </c>
      <c r="T44" s="1681" t="s">
        <v>25</v>
      </c>
      <c r="U44" s="1682">
        <f t="shared" si="13"/>
        <v>100</v>
      </c>
      <c r="V44" s="1681" t="s">
        <v>25</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6"/>
      <c r="Q45" s="2072">
        <f t="shared" si="11"/>
        <v>111</v>
      </c>
      <c r="R45" s="1726" t="s">
        <v>25</v>
      </c>
      <c r="S45" s="1727">
        <f t="shared" si="12"/>
        <v>100</v>
      </c>
      <c r="T45" s="1726" t="s">
        <v>25</v>
      </c>
      <c r="U45" s="1727">
        <f t="shared" si="13"/>
        <v>100</v>
      </c>
      <c r="V45" s="1726" t="s">
        <v>25</v>
      </c>
      <c r="W45" s="1727">
        <f t="shared" si="14"/>
        <v>100</v>
      </c>
      <c r="X45" s="2075"/>
      <c r="Y45" s="343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7"/>
      <c r="Q46" s="2072">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30" t="str">
        <f>A47</f>
        <v>成交单价（元/平方米）</v>
      </c>
      <c r="Q47" s="3430"/>
      <c r="R47" s="3426">
        <f>E47</f>
        <v>0</v>
      </c>
      <c r="S47" s="3426"/>
      <c r="T47" s="3426">
        <f>G47</f>
        <v>0</v>
      </c>
      <c r="U47" s="3426"/>
      <c r="V47" s="3426">
        <f>I47</f>
        <v>0</v>
      </c>
      <c r="W47" s="3426"/>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1">
        <f>F48+H48+J48</f>
        <v>0</v>
      </c>
      <c r="L48" s="3003"/>
      <c r="N48" s="2998"/>
      <c r="P48" s="3430" t="str">
        <f>A48</f>
        <v>比较价值（元/平方米）</v>
      </c>
      <c r="Q48" s="3430"/>
      <c r="R48" s="3426" t="e">
        <f>IF(E1="售价",ROUND(PRODUCT(R47,AA7:AA46),0),ROUND(PRODUCT(R47,AA7:AA46),1))</f>
        <v>#DIV/0!</v>
      </c>
      <c r="S48" s="3426"/>
      <c r="T48" s="3426" t="e">
        <f>IF(E1="售价",ROUND(PRODUCT(T47,AB7:AB46),0),ROUND(PRODUCT(T47,AB7:AB46),1))</f>
        <v>#DIV/0!</v>
      </c>
      <c r="U48" s="3426"/>
      <c r="V48" s="3426" t="e">
        <f>IF(E1="售价",ROUND(PRODUCT(V47,AC7:AC46),0),ROUND(PRODUCT(V47,AC7:AC46),1))</f>
        <v>#DIV/0!</v>
      </c>
      <c r="W48" s="3426"/>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2021-9</v>
      </c>
      <c r="D58" s="1826">
        <f>EDATE(C58,-1)</f>
        <v>44409</v>
      </c>
      <c r="E58" s="1826">
        <f t="shared" ref="E58:O58" si="16">EDATE(D58,-1)</f>
        <v>44378</v>
      </c>
      <c r="F58" s="1826">
        <f t="shared" si="16"/>
        <v>44348</v>
      </c>
      <c r="G58" s="1826">
        <f t="shared" si="16"/>
        <v>44317</v>
      </c>
      <c r="H58" s="1826">
        <f t="shared" si="16"/>
        <v>44287</v>
      </c>
      <c r="I58" s="1826">
        <f t="shared" si="16"/>
        <v>44256</v>
      </c>
      <c r="J58" s="1826">
        <f t="shared" si="16"/>
        <v>44228</v>
      </c>
      <c r="K58" s="1826">
        <f t="shared" si="16"/>
        <v>44197</v>
      </c>
      <c r="L58" s="1826">
        <f t="shared" si="16"/>
        <v>44166</v>
      </c>
      <c r="M58" s="1826">
        <f t="shared" si="16"/>
        <v>44136</v>
      </c>
      <c r="N58" s="1826">
        <f t="shared" si="16"/>
        <v>44105</v>
      </c>
      <c r="O58" s="1826">
        <f t="shared" si="16"/>
        <v>44075</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70" zoomScaleNormal="60" zoomScaleSheetLayoutView="70" workbookViewId="0">
      <selection activeCell="L35" sqref="L35"/>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t="s">
        <v>2748</v>
      </c>
      <c r="D1" s="1638"/>
      <c r="E1" s="1641" t="s">
        <v>2746</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f>IF(D2="——",IF(C2="元",ROUND(C50*D3,0),ROUND(C50*D3/10000,0)),IF(C2="元",ROUND(C50*D3,0),ROUND(C50*D3/10000,0))-E2)</f>
        <v>153</v>
      </c>
      <c r="C2" s="1651" t="str">
        <f>'数据-取费表'!B3</f>
        <v>万元</v>
      </c>
      <c r="D2" s="1652" t="s">
        <v>1240</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f>ROUND(IF(D2="——",C50,IF(C2="万元",B2*10000/D3,B2/D3)),0)</f>
        <v>18000</v>
      </c>
      <c r="C3" s="1660" t="s">
        <v>2244</v>
      </c>
      <c r="D3" s="1660">
        <f>IF(C1="仅计算典型户型",'数据-取费表'!E5,'数据-取费表'!B5)</f>
        <v>85.14</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2075"/>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2075"/>
      <c r="Y5" s="3448"/>
      <c r="Z5" s="3449"/>
      <c r="AA5" s="3455"/>
      <c r="AB5" s="3455"/>
      <c r="AC5" s="3455"/>
    </row>
    <row r="6" spans="1:29"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2075"/>
      <c r="Y6" s="3450"/>
      <c r="Z6" s="3451"/>
      <c r="AA6" s="3456"/>
      <c r="AB6" s="3456"/>
      <c r="AC6" s="3456"/>
    </row>
    <row r="7" spans="1:29" s="1685" customFormat="1" ht="15.75" thickBot="1">
      <c r="A7" s="1673" t="s">
        <v>2258</v>
      </c>
      <c r="B7" s="1674"/>
      <c r="C7" s="1675">
        <f>'数据-取费表'!B2</f>
        <v>44461</v>
      </c>
      <c r="D7" s="1676">
        <v>100</v>
      </c>
      <c r="E7" s="1677">
        <f>C7</f>
        <v>44461</v>
      </c>
      <c r="F7" s="1678">
        <f>SUMIF(59:59,YEAR(E7)&amp;"-"&amp;MONTH(E7),60:60)</f>
        <v>100</v>
      </c>
      <c r="G7" s="1967">
        <f>C7</f>
        <v>44461</v>
      </c>
      <c r="H7" s="1676">
        <f>SUMIF(59:59,YEAR(G7)&amp;"-"&amp;MONTH(G7),60:60)</f>
        <v>100</v>
      </c>
      <c r="I7" s="1967">
        <f>C7</f>
        <v>44461</v>
      </c>
      <c r="J7" s="1676">
        <f>SUMIF(59:59,YEAR(I7)&amp;"-"&amp;MONTH(I7),60:60)</f>
        <v>100</v>
      </c>
      <c r="K7" s="1968"/>
      <c r="L7" s="2997"/>
      <c r="M7" s="2970"/>
      <c r="N7" s="2970"/>
      <c r="O7" s="2970"/>
      <c r="P7" s="3444" t="s">
        <v>2259</v>
      </c>
      <c r="Q7" s="3452"/>
      <c r="R7" s="1681" t="s">
        <v>25</v>
      </c>
      <c r="S7" s="1682">
        <f t="shared" ref="S7:S15" si="0">F7</f>
        <v>100</v>
      </c>
      <c r="T7" s="1681" t="s">
        <v>25</v>
      </c>
      <c r="U7" s="1682">
        <f t="shared" ref="U7:U15" si="1">H7</f>
        <v>100</v>
      </c>
      <c r="V7" s="1681" t="s">
        <v>25</v>
      </c>
      <c r="W7" s="1682">
        <f t="shared" ref="W7:W15" si="2">J7</f>
        <v>100</v>
      </c>
      <c r="X7" s="1683"/>
      <c r="Y7" s="3444" t="s">
        <v>2259</v>
      </c>
      <c r="Z7" s="3445"/>
      <c r="AA7" s="1684">
        <f>D7/F7</f>
        <v>1</v>
      </c>
      <c r="AB7" s="1684">
        <f>D7/H7</f>
        <v>1</v>
      </c>
      <c r="AC7" s="1684">
        <f>D7/J7</f>
        <v>1</v>
      </c>
    </row>
    <row r="8" spans="1:29" s="1685" customFormat="1" ht="15.75" thickBot="1">
      <c r="A8" s="1673" t="s">
        <v>2260</v>
      </c>
      <c r="B8" s="1674"/>
      <c r="C8" s="1686" t="s">
        <v>2261</v>
      </c>
      <c r="D8" s="1676">
        <v>100</v>
      </c>
      <c r="E8" s="1686" t="s">
        <v>2884</v>
      </c>
      <c r="F8" s="1678">
        <f>SUMIF(62:62,E8,63:63)-SUMIF(62:62,C8,63:63)+100</f>
        <v>100</v>
      </c>
      <c r="G8" s="1686" t="s">
        <v>2884</v>
      </c>
      <c r="H8" s="1676">
        <f>SUMIF(62:62,G8,63:63)-SUMIF(62:62,C8,63:63)+100</f>
        <v>100</v>
      </c>
      <c r="I8" s="1686" t="s">
        <v>2884</v>
      </c>
      <c r="J8" s="1676">
        <f>SUMIF(62:62,I8,63:63)-SUMIF(62:62,C8,63:63)+100</f>
        <v>100</v>
      </c>
      <c r="K8" s="1968"/>
      <c r="L8" s="2997"/>
      <c r="M8" s="2970"/>
      <c r="N8" s="2970"/>
      <c r="O8" s="2970"/>
      <c r="P8" s="3444" t="s">
        <v>2262</v>
      </c>
      <c r="Q8" s="3445"/>
      <c r="R8" s="1681" t="s">
        <v>25</v>
      </c>
      <c r="S8" s="1682">
        <f t="shared" si="0"/>
        <v>100</v>
      </c>
      <c r="T8" s="1681" t="s">
        <v>25</v>
      </c>
      <c r="U8" s="1682">
        <f t="shared" si="1"/>
        <v>100</v>
      </c>
      <c r="V8" s="1681" t="s">
        <v>25</v>
      </c>
      <c r="W8" s="1682">
        <f t="shared" si="2"/>
        <v>100</v>
      </c>
      <c r="X8" s="1683"/>
      <c r="Y8" s="3444" t="s">
        <v>2262</v>
      </c>
      <c r="Z8" s="3445"/>
      <c r="AA8" s="1684">
        <f t="shared" ref="AA8:AA47" si="3">D8/F8</f>
        <v>1</v>
      </c>
      <c r="AB8" s="1684">
        <f t="shared" ref="AB8:AB47" si="4">D8/H8</f>
        <v>1</v>
      </c>
      <c r="AC8" s="1684">
        <f t="shared" ref="AC8:AC47" si="5">D8/J8</f>
        <v>1</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0" t="s">
        <v>2265</v>
      </c>
      <c r="Q9" s="291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0"/>
      <c r="Q10" s="291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30"/>
      <c r="Q11" s="2915" t="str">
        <f t="shared" si="6"/>
        <v>容积率</v>
      </c>
      <c r="R11" s="1681" t="s">
        <v>25</v>
      </c>
      <c r="S11" s="1682">
        <f t="shared" si="0"/>
        <v>100</v>
      </c>
      <c r="T11" s="1681" t="s">
        <v>25</v>
      </c>
      <c r="U11" s="1682">
        <f t="shared" si="1"/>
        <v>100</v>
      </c>
      <c r="V11" s="1681" t="s">
        <v>25</v>
      </c>
      <c r="W11" s="1682">
        <f t="shared" si="2"/>
        <v>100</v>
      </c>
      <c r="X11" s="1683"/>
      <c r="Y11" s="328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0"/>
      <c r="Q12" s="2915">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0"/>
      <c r="Q13" s="2915">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0"/>
      <c r="Q14" s="2915">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3" t="s">
        <v>2270</v>
      </c>
      <c r="Q15" s="2916" t="str">
        <f t="shared" si="6"/>
        <v>办公集聚程度</v>
      </c>
      <c r="R15" s="1726" t="s">
        <v>25</v>
      </c>
      <c r="S15" s="1727">
        <f t="shared" si="0"/>
        <v>100</v>
      </c>
      <c r="T15" s="1726" t="s">
        <v>25</v>
      </c>
      <c r="U15" s="1727">
        <f t="shared" si="1"/>
        <v>100</v>
      </c>
      <c r="V15" s="1726" t="s">
        <v>25</v>
      </c>
      <c r="W15" s="1727">
        <f t="shared" si="2"/>
        <v>100</v>
      </c>
      <c r="X15" s="2075"/>
      <c r="Y15" s="3433"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4"/>
      <c r="Q16" s="2916"/>
      <c r="R16" s="1726"/>
      <c r="S16" s="1727"/>
      <c r="T16" s="1726"/>
      <c r="U16" s="1727"/>
      <c r="V16" s="1726"/>
      <c r="W16" s="1727"/>
      <c r="X16" s="2075"/>
      <c r="Y16" s="3434"/>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4"/>
      <c r="Q17" s="2916"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4"/>
      <c r="Q18" s="2916"/>
      <c r="R18" s="1726"/>
      <c r="S18" s="1727"/>
      <c r="T18" s="1726"/>
      <c r="U18" s="1727"/>
      <c r="V18" s="1726"/>
      <c r="W18" s="1727"/>
      <c r="X18" s="2075"/>
      <c r="Y18" s="3434"/>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4"/>
      <c r="Q19" s="2916"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4"/>
      <c r="Q20" s="2916"/>
      <c r="R20" s="1726"/>
      <c r="S20" s="1727"/>
      <c r="T20" s="1726"/>
      <c r="U20" s="1727"/>
      <c r="V20" s="1726"/>
      <c r="W20" s="1727"/>
      <c r="X20" s="2075"/>
      <c r="Y20" s="3434"/>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4"/>
      <c r="Q21" s="2916"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4"/>
      <c r="Q22" s="2916"/>
      <c r="R22" s="1726"/>
      <c r="S22" s="1727"/>
      <c r="T22" s="1726"/>
      <c r="U22" s="1727"/>
      <c r="V22" s="1726"/>
      <c r="W22" s="1727"/>
      <c r="X22" s="2075"/>
      <c r="Y22" s="3434"/>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4"/>
      <c r="Q23" s="2916" t="str">
        <f>B23</f>
        <v>环境质量</v>
      </c>
      <c r="R23" s="1726" t="s">
        <v>25</v>
      </c>
      <c r="S23" s="1727">
        <f>F23</f>
        <v>100</v>
      </c>
      <c r="T23" s="1726" t="s">
        <v>25</v>
      </c>
      <c r="U23" s="1727">
        <f>H23</f>
        <v>100</v>
      </c>
      <c r="V23" s="1726" t="s">
        <v>25</v>
      </c>
      <c r="W23" s="1727">
        <f>J23</f>
        <v>100</v>
      </c>
      <c r="X23" s="2075"/>
      <c r="Y23" s="343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4"/>
      <c r="Q24" s="2916"/>
      <c r="R24" s="1726"/>
      <c r="S24" s="1727"/>
      <c r="T24" s="1726"/>
      <c r="U24" s="1727"/>
      <c r="V24" s="1726"/>
      <c r="W24" s="1727"/>
      <c r="X24" s="2075"/>
      <c r="Y24" s="3434"/>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4"/>
      <c r="Q25" s="2916" t="str">
        <f>B25</f>
        <v>毗邻道路的类型与等级</v>
      </c>
      <c r="R25" s="1726" t="s">
        <v>25</v>
      </c>
      <c r="S25" s="1727">
        <f>F25</f>
        <v>100</v>
      </c>
      <c r="T25" s="1726" t="s">
        <v>25</v>
      </c>
      <c r="U25" s="1727">
        <f>H25</f>
        <v>100</v>
      </c>
      <c r="V25" s="1726" t="s">
        <v>25</v>
      </c>
      <c r="W25" s="1727">
        <f>J25</f>
        <v>100</v>
      </c>
      <c r="X25" s="2075"/>
      <c r="Y25" s="343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4"/>
      <c r="Q26" s="2916"/>
      <c r="R26" s="1726"/>
      <c r="S26" s="1727"/>
      <c r="T26" s="1726"/>
      <c r="U26" s="1727"/>
      <c r="V26" s="1726"/>
      <c r="W26" s="1727"/>
      <c r="X26" s="2075"/>
      <c r="Y26" s="3434"/>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4"/>
      <c r="Q27" s="2916" t="str">
        <f t="shared" ref="Q27:Q47" si="11">B27</f>
        <v>楼层</v>
      </c>
      <c r="R27" s="1726" t="s">
        <v>25</v>
      </c>
      <c r="S27" s="1727">
        <f>F27</f>
        <v>100</v>
      </c>
      <c r="T27" s="1726" t="s">
        <v>25</v>
      </c>
      <c r="U27" s="1727">
        <f>H27</f>
        <v>100</v>
      </c>
      <c r="V27" s="1726" t="s">
        <v>25</v>
      </c>
      <c r="W27" s="1727">
        <f>J27</f>
        <v>100</v>
      </c>
      <c r="X27" s="2075"/>
      <c r="Y27" s="3434"/>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4"/>
      <c r="Q28" s="2915" t="str">
        <f t="shared" si="11"/>
        <v>朝向</v>
      </c>
      <c r="R28" s="1681" t="s">
        <v>25</v>
      </c>
      <c r="S28" s="1682">
        <f>F28</f>
        <v>100</v>
      </c>
      <c r="T28" s="1681" t="s">
        <v>25</v>
      </c>
      <c r="U28" s="1682">
        <f>H28</f>
        <v>100</v>
      </c>
      <c r="V28" s="1681" t="s">
        <v>25</v>
      </c>
      <c r="W28" s="1682">
        <f>J28</f>
        <v>100</v>
      </c>
      <c r="X28" s="1683"/>
      <c r="Y28" s="343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4"/>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4"/>
      <c r="Q30" s="2916">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4"/>
      <c r="Q31" s="2916">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4"/>
      <c r="Q32" s="2916">
        <f t="shared" si="11"/>
        <v>111</v>
      </c>
      <c r="R32" s="1726" t="s">
        <v>25</v>
      </c>
      <c r="S32" s="1727">
        <f t="shared" si="12"/>
        <v>100</v>
      </c>
      <c r="T32" s="1726" t="s">
        <v>25</v>
      </c>
      <c r="U32" s="1727">
        <f t="shared" si="13"/>
        <v>100</v>
      </c>
      <c r="V32" s="1726" t="s">
        <v>25</v>
      </c>
      <c r="W32" s="1727">
        <f t="shared" si="14"/>
        <v>100</v>
      </c>
      <c r="X32" s="2075"/>
      <c r="Y32" s="3434"/>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2" t="s">
        <v>2276</v>
      </c>
      <c r="Q33" s="2916" t="str">
        <f t="shared" si="11"/>
        <v>建筑类型</v>
      </c>
      <c r="R33" s="1726" t="s">
        <v>25</v>
      </c>
      <c r="S33" s="1727">
        <f t="shared" si="12"/>
        <v>100</v>
      </c>
      <c r="T33" s="1726" t="s">
        <v>25</v>
      </c>
      <c r="U33" s="1727">
        <f t="shared" si="13"/>
        <v>100</v>
      </c>
      <c r="V33" s="1726" t="s">
        <v>25</v>
      </c>
      <c r="W33" s="1727">
        <f t="shared" si="14"/>
        <v>100</v>
      </c>
      <c r="X33" s="2075"/>
      <c r="Y33" s="3438"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f>LOOKUP(E34,104:104,105:105)-LOOKUP(C34,104:104,105:105)+100</f>
        <v>100</v>
      </c>
      <c r="G34" s="1704"/>
      <c r="H34" s="1698">
        <f>LOOKUP(G34,104:104,105:105)-LOOKUP(C34,104:104,105:105)+100</f>
        <v>100</v>
      </c>
      <c r="I34" s="1704"/>
      <c r="J34" s="1698">
        <f>LOOKUP(I34,104:104,105:105)-LOOKUP(C34,104:104,105:105)+100</f>
        <v>100</v>
      </c>
      <c r="K34" s="1990"/>
      <c r="L34" s="3001"/>
      <c r="M34" s="2060"/>
      <c r="N34" s="2060"/>
      <c r="O34" s="2060"/>
      <c r="P34" s="3438"/>
      <c r="Q34" s="1767" t="str">
        <f t="shared" si="11"/>
        <v>项目建筑规模</v>
      </c>
      <c r="R34" s="1768" t="s">
        <v>25</v>
      </c>
      <c r="S34" s="1769">
        <f t="shared" si="12"/>
        <v>100</v>
      </c>
      <c r="T34" s="1768" t="s">
        <v>25</v>
      </c>
      <c r="U34" s="1769">
        <f t="shared" si="13"/>
        <v>100</v>
      </c>
      <c r="V34" s="1768" t="s">
        <v>25</v>
      </c>
      <c r="W34" s="1769">
        <f t="shared" si="14"/>
        <v>100</v>
      </c>
      <c r="X34" s="1770"/>
      <c r="Y34" s="3438"/>
      <c r="Z34" s="1771" t="str">
        <f t="shared" si="15"/>
        <v>项目建筑规模</v>
      </c>
      <c r="AA34" s="2070">
        <f t="shared" si="3"/>
        <v>1</v>
      </c>
      <c r="AB34" s="2070">
        <f t="shared" si="4"/>
        <v>1</v>
      </c>
      <c r="AC34" s="2070">
        <f t="shared" si="5"/>
        <v>1</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8"/>
      <c r="Q35" s="2916" t="str">
        <f t="shared" si="11"/>
        <v>建筑结构</v>
      </c>
      <c r="R35" s="1726" t="s">
        <v>25</v>
      </c>
      <c r="S35" s="1727">
        <f t="shared" si="12"/>
        <v>100</v>
      </c>
      <c r="T35" s="1726" t="s">
        <v>25</v>
      </c>
      <c r="U35" s="1727">
        <f t="shared" si="13"/>
        <v>100</v>
      </c>
      <c r="V35" s="1726" t="s">
        <v>25</v>
      </c>
      <c r="W35" s="1727">
        <f t="shared" si="14"/>
        <v>100</v>
      </c>
      <c r="X35" s="2075"/>
      <c r="Y35" s="3438"/>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8"/>
      <c r="Q36" s="2916" t="str">
        <f t="shared" si="11"/>
        <v>公共部分装修</v>
      </c>
      <c r="R36" s="1726" t="s">
        <v>25</v>
      </c>
      <c r="S36" s="1727">
        <f t="shared" si="12"/>
        <v>100</v>
      </c>
      <c r="T36" s="1726" t="s">
        <v>25</v>
      </c>
      <c r="U36" s="1727">
        <f t="shared" si="13"/>
        <v>100</v>
      </c>
      <c r="V36" s="1726" t="s">
        <v>25</v>
      </c>
      <c r="W36" s="1727">
        <f t="shared" si="14"/>
        <v>100</v>
      </c>
      <c r="X36" s="2075"/>
      <c r="Y36" s="3438"/>
      <c r="Z36" s="2079" t="str">
        <f t="shared" si="15"/>
        <v>公共部分装修</v>
      </c>
      <c r="AA36" s="2070">
        <f t="shared" si="3"/>
        <v>1</v>
      </c>
      <c r="AB36" s="2070">
        <f t="shared" si="4"/>
        <v>1</v>
      </c>
      <c r="AC36" s="2070">
        <f t="shared" si="5"/>
        <v>1</v>
      </c>
    </row>
    <row r="37" spans="1:29" ht="15">
      <c r="A37" s="1773"/>
      <c r="B37" s="1696" t="s">
        <v>2364</v>
      </c>
      <c r="C37" s="1777">
        <f>'数据-取费表'!E20</f>
        <v>0.93</v>
      </c>
      <c r="D37" s="1712">
        <v>100</v>
      </c>
      <c r="E37" s="1777">
        <v>0.9</v>
      </c>
      <c r="F37" s="1755">
        <f>LOOKUP(E37,111:111,112:112)-LOOKUP(C37,111:111,112:112)+100</f>
        <v>100</v>
      </c>
      <c r="G37" s="1777">
        <v>0.9</v>
      </c>
      <c r="H37" s="1755">
        <f>LOOKUP(G37,111:111,112:112)-LOOKUP(C37,111:111,112:112)+100</f>
        <v>100</v>
      </c>
      <c r="I37" s="1777">
        <v>0.9</v>
      </c>
      <c r="J37" s="1712">
        <f>LOOKUP(I37,111:111,112:112)-LOOKUP(C37,111:111,112:112)+100</f>
        <v>100</v>
      </c>
      <c r="K37" s="1993"/>
      <c r="L37" s="3002"/>
      <c r="M37" s="2998"/>
      <c r="N37" s="2998"/>
      <c r="O37" s="2998"/>
      <c r="P37" s="3438"/>
      <c r="Q37" s="2916" t="str">
        <f t="shared" si="11"/>
        <v>成新度</v>
      </c>
      <c r="R37" s="1726" t="s">
        <v>25</v>
      </c>
      <c r="S37" s="1727">
        <f t="shared" si="12"/>
        <v>100</v>
      </c>
      <c r="T37" s="1726" t="s">
        <v>25</v>
      </c>
      <c r="U37" s="1727">
        <f t="shared" si="13"/>
        <v>100</v>
      </c>
      <c r="V37" s="1726" t="s">
        <v>25</v>
      </c>
      <c r="W37" s="1727">
        <f t="shared" si="14"/>
        <v>100</v>
      </c>
      <c r="X37" s="2075"/>
      <c r="Y37" s="3438"/>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8"/>
      <c r="Q38" s="2915" t="str">
        <f t="shared" si="11"/>
        <v>写字楼等级</v>
      </c>
      <c r="R38" s="1681" t="s">
        <v>25</v>
      </c>
      <c r="S38" s="1682">
        <f t="shared" si="12"/>
        <v>100</v>
      </c>
      <c r="T38" s="1681" t="s">
        <v>25</v>
      </c>
      <c r="U38" s="1682">
        <f t="shared" si="13"/>
        <v>100</v>
      </c>
      <c r="V38" s="1681" t="s">
        <v>25</v>
      </c>
      <c r="W38" s="1682">
        <f t="shared" si="14"/>
        <v>100</v>
      </c>
      <c r="X38" s="1683"/>
      <c r="Y38" s="3438"/>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8" t="s">
        <v>2276</v>
      </c>
      <c r="Q39" s="2916" t="str">
        <f t="shared" si="11"/>
        <v>物业管理</v>
      </c>
      <c r="R39" s="1726" t="s">
        <v>25</v>
      </c>
      <c r="S39" s="1727">
        <f t="shared" si="12"/>
        <v>100</v>
      </c>
      <c r="T39" s="1726" t="s">
        <v>25</v>
      </c>
      <c r="U39" s="1727">
        <f t="shared" si="13"/>
        <v>100</v>
      </c>
      <c r="V39" s="1726" t="s">
        <v>25</v>
      </c>
      <c r="W39" s="1727">
        <f t="shared" si="14"/>
        <v>100</v>
      </c>
      <c r="X39" s="2075"/>
      <c r="Y39" s="3438"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8"/>
      <c r="Q40" s="2916" t="str">
        <f t="shared" si="11"/>
        <v>市政基础设施</v>
      </c>
      <c r="R40" s="1726" t="s">
        <v>25</v>
      </c>
      <c r="S40" s="1727">
        <f t="shared" si="12"/>
        <v>100</v>
      </c>
      <c r="T40" s="1726" t="s">
        <v>25</v>
      </c>
      <c r="U40" s="1727">
        <f t="shared" si="13"/>
        <v>100</v>
      </c>
      <c r="V40" s="1726" t="s">
        <v>25</v>
      </c>
      <c r="W40" s="1727">
        <f t="shared" si="14"/>
        <v>100</v>
      </c>
      <c r="X40" s="2075"/>
      <c r="Y40" s="3438"/>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8"/>
      <c r="Q41" s="2916" t="str">
        <f t="shared" si="11"/>
        <v>层高</v>
      </c>
      <c r="R41" s="1726" t="s">
        <v>25</v>
      </c>
      <c r="S41" s="1727">
        <f t="shared" si="12"/>
        <v>100</v>
      </c>
      <c r="T41" s="1726" t="s">
        <v>25</v>
      </c>
      <c r="U41" s="1727">
        <f t="shared" si="13"/>
        <v>100</v>
      </c>
      <c r="V41" s="1726" t="s">
        <v>25</v>
      </c>
      <c r="W41" s="1727">
        <f t="shared" si="14"/>
        <v>100</v>
      </c>
      <c r="X41" s="2075"/>
      <c r="Y41" s="3438"/>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8"/>
      <c r="Q42" s="1767" t="str">
        <f t="shared" si="11"/>
        <v>单套建筑面积</v>
      </c>
      <c r="R42" s="1768" t="s">
        <v>25</v>
      </c>
      <c r="S42" s="1769">
        <f t="shared" si="12"/>
        <v>100</v>
      </c>
      <c r="T42" s="1768" t="s">
        <v>25</v>
      </c>
      <c r="U42" s="1769">
        <f t="shared" si="13"/>
        <v>100</v>
      </c>
      <c r="V42" s="1768" t="s">
        <v>25</v>
      </c>
      <c r="W42" s="1769">
        <f t="shared" si="14"/>
        <v>100</v>
      </c>
      <c r="X42" s="1770"/>
      <c r="Y42" s="3438"/>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8"/>
      <c r="Q43" s="2916" t="str">
        <f t="shared" si="11"/>
        <v>内部装修</v>
      </c>
      <c r="R43" s="1726" t="s">
        <v>25</v>
      </c>
      <c r="S43" s="1727">
        <f t="shared" si="12"/>
        <v>100</v>
      </c>
      <c r="T43" s="1726" t="s">
        <v>25</v>
      </c>
      <c r="U43" s="1727">
        <f t="shared" si="13"/>
        <v>100</v>
      </c>
      <c r="V43" s="1726" t="s">
        <v>25</v>
      </c>
      <c r="W43" s="1727">
        <f t="shared" si="14"/>
        <v>100</v>
      </c>
      <c r="X43" s="2075"/>
      <c r="Y43" s="3438"/>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8"/>
      <c r="Q44" s="2916" t="str">
        <f t="shared" si="11"/>
        <v>内部装修维护情况</v>
      </c>
      <c r="R44" s="1726" t="s">
        <v>25</v>
      </c>
      <c r="S44" s="1727">
        <f t="shared" si="12"/>
        <v>100</v>
      </c>
      <c r="T44" s="1726" t="s">
        <v>25</v>
      </c>
      <c r="U44" s="1727">
        <f t="shared" si="13"/>
        <v>100</v>
      </c>
      <c r="V44" s="1726" t="s">
        <v>25</v>
      </c>
      <c r="W44" s="1727">
        <f t="shared" si="14"/>
        <v>100</v>
      </c>
      <c r="X44" s="2075"/>
      <c r="Y44" s="343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8"/>
      <c r="Q45" s="2915">
        <f t="shared" si="11"/>
        <v>111</v>
      </c>
      <c r="R45" s="1681" t="s">
        <v>25</v>
      </c>
      <c r="S45" s="1682">
        <f t="shared" si="12"/>
        <v>100</v>
      </c>
      <c r="T45" s="1681" t="s">
        <v>25</v>
      </c>
      <c r="U45" s="1682">
        <f t="shared" si="13"/>
        <v>100</v>
      </c>
      <c r="V45" s="1681" t="s">
        <v>25</v>
      </c>
      <c r="W45" s="1682">
        <f t="shared" si="14"/>
        <v>100</v>
      </c>
      <c r="X45" s="1683"/>
      <c r="Y45" s="343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8"/>
      <c r="Q46" s="2916">
        <f t="shared" si="11"/>
        <v>111</v>
      </c>
      <c r="R46" s="1726" t="s">
        <v>25</v>
      </c>
      <c r="S46" s="1727">
        <f t="shared" si="12"/>
        <v>100</v>
      </c>
      <c r="T46" s="1726" t="s">
        <v>25</v>
      </c>
      <c r="U46" s="1727">
        <f t="shared" si="13"/>
        <v>100</v>
      </c>
      <c r="V46" s="1726" t="s">
        <v>25</v>
      </c>
      <c r="W46" s="1727">
        <f t="shared" si="14"/>
        <v>100</v>
      </c>
      <c r="X46" s="2075"/>
      <c r="Y46" s="343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9"/>
      <c r="Q47" s="2916">
        <f t="shared" si="11"/>
        <v>111</v>
      </c>
      <c r="R47" s="1726" t="s">
        <v>25</v>
      </c>
      <c r="S47" s="1727">
        <f t="shared" si="12"/>
        <v>100</v>
      </c>
      <c r="T47" s="1726" t="s">
        <v>25</v>
      </c>
      <c r="U47" s="1727">
        <f t="shared" si="13"/>
        <v>100</v>
      </c>
      <c r="V47" s="1726" t="s">
        <v>25</v>
      </c>
      <c r="W47" s="1727">
        <f t="shared" si="14"/>
        <v>100</v>
      </c>
      <c r="X47" s="2075"/>
      <c r="Y47" s="3439"/>
      <c r="Z47" s="2079">
        <f t="shared" si="15"/>
        <v>111</v>
      </c>
      <c r="AA47" s="2070">
        <f t="shared" si="3"/>
        <v>1</v>
      </c>
      <c r="AB47" s="2070">
        <f t="shared" si="4"/>
        <v>1</v>
      </c>
      <c r="AC47" s="2070">
        <f t="shared" si="5"/>
        <v>1</v>
      </c>
    </row>
    <row r="48" spans="1:29" ht="15">
      <c r="A48" s="1782" t="s">
        <v>2288</v>
      </c>
      <c r="B48" s="1783"/>
      <c r="C48" s="1784" t="s">
        <v>1</v>
      </c>
      <c r="D48" s="1785"/>
      <c r="E48" s="1786">
        <v>18000</v>
      </c>
      <c r="F48" s="1787"/>
      <c r="G48" s="1788">
        <v>18000</v>
      </c>
      <c r="H48" s="1789"/>
      <c r="I48" s="1786">
        <v>18000</v>
      </c>
      <c r="J48" s="1789"/>
      <c r="K48" s="2014"/>
      <c r="L48" s="3003"/>
      <c r="M48" s="2998"/>
      <c r="N48" s="2998"/>
      <c r="O48" s="2998"/>
      <c r="P48" s="3430" t="str">
        <f>A48</f>
        <v>成交单价（元/平方米）</v>
      </c>
      <c r="Q48" s="3430"/>
      <c r="R48" s="3426">
        <f>E48</f>
        <v>18000</v>
      </c>
      <c r="S48" s="3426"/>
      <c r="T48" s="3426">
        <f>G48</f>
        <v>18000</v>
      </c>
      <c r="U48" s="3426"/>
      <c r="V48" s="3426">
        <f>I48</f>
        <v>18000</v>
      </c>
      <c r="W48" s="3426"/>
      <c r="X48" s="1792"/>
      <c r="Y48" s="2074"/>
      <c r="Z48" s="1792"/>
      <c r="AA48" s="1792"/>
      <c r="AB48" s="1792"/>
      <c r="AC48" s="1792"/>
    </row>
    <row r="49" spans="1:29" ht="15.75" thickBot="1">
      <c r="A49" s="1794" t="s">
        <v>2371</v>
      </c>
      <c r="B49" s="1795"/>
      <c r="C49" s="1796">
        <f>R50</f>
        <v>18000</v>
      </c>
      <c r="D49" s="1797" t="s">
        <v>2745</v>
      </c>
      <c r="E49" s="1798">
        <f>R49</f>
        <v>18000</v>
      </c>
      <c r="F49" s="1799"/>
      <c r="G49" s="1796">
        <f>T49</f>
        <v>18000</v>
      </c>
      <c r="H49" s="1799"/>
      <c r="I49" s="1798">
        <f>V49</f>
        <v>18000</v>
      </c>
      <c r="J49" s="1799"/>
      <c r="K49" s="2511">
        <f>F49+H49+J49</f>
        <v>0</v>
      </c>
      <c r="L49" s="3003"/>
      <c r="M49" s="2998"/>
      <c r="N49" s="2998"/>
      <c r="O49" s="2998"/>
      <c r="P49" s="3430" t="str">
        <f>A49</f>
        <v>比较价值（元/平方米）</v>
      </c>
      <c r="Q49" s="3430"/>
      <c r="R49" s="3426">
        <f>IF(E1="售价",ROUND(PRODUCT(R48,AA7:AA47),0),ROUND(PRODUCT(R48,AA7:AA47),1))</f>
        <v>18000</v>
      </c>
      <c r="S49" s="3426"/>
      <c r="T49" s="3426">
        <f>IF(E1="售价",ROUND(PRODUCT(T48,AB7:AB47),0),ROUND(PRODUCT(T48,AB7:AB47),1))</f>
        <v>18000</v>
      </c>
      <c r="U49" s="3426"/>
      <c r="V49" s="3426">
        <f>IF(E1="售价",ROUND(PRODUCT(V48,AC7:AC47),0),ROUND(PRODUCT(V48,AC7:AC47),1))</f>
        <v>18000</v>
      </c>
      <c r="W49" s="3426"/>
      <c r="X49" s="1792"/>
      <c r="Y49" s="1792"/>
      <c r="Z49" s="1792"/>
      <c r="AA49" s="1792"/>
      <c r="AB49" s="1792"/>
      <c r="AC49" s="1792"/>
    </row>
    <row r="50" spans="1:29" ht="15.75" thickBot="1">
      <c r="A50" s="1800" t="s">
        <v>2394</v>
      </c>
      <c r="B50" s="1801"/>
      <c r="C50" s="1803">
        <f>R50</f>
        <v>18000</v>
      </c>
      <c r="D50" s="1803"/>
      <c r="E50" s="1803"/>
      <c r="F50" s="1803"/>
      <c r="G50" s="1803"/>
      <c r="H50" s="1803"/>
      <c r="I50" s="1803"/>
      <c r="J50" s="1803"/>
      <c r="K50" s="2019"/>
      <c r="L50" s="3003"/>
      <c r="M50" s="2998"/>
      <c r="N50" s="2998"/>
      <c r="O50" s="2998"/>
      <c r="P50" s="3427" t="str">
        <f>A50</f>
        <v>估价对象XX用房的比较价值（楼面单价，元/平方米）</v>
      </c>
      <c r="Q50" s="3428"/>
      <c r="R50" s="3429">
        <f>IF(E1="售价",ROUND(IF(D49="简单平均",AVERAGE(R49:V49),R49*F49+T49*H49+V49*J49),0),ROUND(IF(D49="简单平均",AVERAGE(R49:V49),R49*F49+T49*H49+V49*J49),1))</f>
        <v>18000</v>
      </c>
      <c r="S50" s="3429"/>
      <c r="T50" s="3429"/>
      <c r="U50" s="3429"/>
      <c r="V50" s="3429"/>
      <c r="W50" s="3429"/>
      <c r="X50" s="1792"/>
      <c r="Y50" s="1792"/>
      <c r="Z50" s="1792"/>
      <c r="AA50" s="1792"/>
      <c r="AB50" s="1792"/>
      <c r="AC50" s="1792"/>
    </row>
    <row r="51" spans="1:29">
      <c r="G51" s="3007"/>
    </row>
    <row r="53" spans="1:29" ht="13.5" customHeight="1">
      <c r="C53" s="383" t="s">
        <v>2373</v>
      </c>
      <c r="D53" s="1808"/>
      <c r="E53" s="1809">
        <f>IF(E48&lt;E49,E49/E48-1,E48/E49-1)</f>
        <v>0</v>
      </c>
      <c r="F53" s="1810" t="str">
        <f>IF(OR(E53&gt;=0.3,E53&lt;=-0.3),"超过30%","")</f>
        <v/>
      </c>
      <c r="G53" s="1809">
        <f>IF(G48&lt;G49,G49/G48-1,G48/G49-1)</f>
        <v>0</v>
      </c>
      <c r="H53" s="1810" t="str">
        <f>IF(OR(G53&gt;=0.3,G53&lt;=-0.3),"超过30%","")</f>
        <v/>
      </c>
      <c r="I53" s="1809">
        <f>IF(I48&lt;I49,I49/I48-1,I48/I49-1)</f>
        <v>0</v>
      </c>
      <c r="J53" s="1810" t="str">
        <f>IF(OR(I53&gt;=0.3,I53&lt;=-0.3),"超过30%","")</f>
        <v/>
      </c>
    </row>
    <row r="54" spans="1:29" ht="13.5" customHeight="1">
      <c r="C54" s="383" t="s">
        <v>2374</v>
      </c>
      <c r="D54" s="1811"/>
      <c r="E54" s="1809">
        <f>IF(E49&lt;G49,G49/E49-1,E49/G49-1)</f>
        <v>0</v>
      </c>
      <c r="F54" s="1810" t="str">
        <f>IF(OR(E54&gt;=0.2,E54&lt;=-0.2),"超过20%","")</f>
        <v/>
      </c>
      <c r="G54" s="1809">
        <f>IF(G49&lt;I49,I49/G49-1,G49/I49-1)</f>
        <v>0</v>
      </c>
      <c r="H54" s="1810" t="str">
        <f>IF(OR(G54&gt;=0.2,G54&lt;=-0.2),"超过20%","")</f>
        <v/>
      </c>
      <c r="I54" s="1809">
        <f>IF(I49&lt;E49,E49/I49-1,I49/E49-1)</f>
        <v>0</v>
      </c>
      <c r="J54" s="1810" t="str">
        <f>IF(OR(I54&gt;=0.2,I54&lt;=-0.2),"超过20%","")</f>
        <v/>
      </c>
    </row>
    <row r="55" spans="1:29" s="1814" customFormat="1" ht="13.5" customHeight="1">
      <c r="C55" s="383" t="s">
        <v>2375</v>
      </c>
      <c r="D55" s="1811"/>
      <c r="E55" s="1809">
        <f>IF(E48&lt;G48,G48/E48-1,E48/G48-1)</f>
        <v>0</v>
      </c>
      <c r="F55" s="1810" t="str">
        <f>IF(OR(E55&gt;=0.3,E55&lt;=-0.3),"超过30%","")</f>
        <v/>
      </c>
      <c r="G55" s="1809">
        <f>IF(G48&lt;I48,I48/G48-1,G48/I48-1)</f>
        <v>0</v>
      </c>
      <c r="H55" s="1810" t="str">
        <f>IF(OR(G55&gt;=0.3,G55&lt;=-0.3),"超过30%","")</f>
        <v/>
      </c>
      <c r="I55" s="1809">
        <f>IF(I48&lt;E48,E48/I48-1,I48/E48-1)</f>
        <v>0</v>
      </c>
      <c r="J55" s="1810" t="str">
        <f>IF(OR(I55&gt;=0.3,I55&lt;=-0.3),"超过30%","")</f>
        <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2021-9</v>
      </c>
      <c r="D59" s="1826">
        <f>EDATE(C59,-1)</f>
        <v>44409</v>
      </c>
      <c r="E59" s="1826">
        <f t="shared" ref="E59:O59" si="16">EDATE(D59,-1)</f>
        <v>44378</v>
      </c>
      <c r="F59" s="1826">
        <f t="shared" si="16"/>
        <v>44348</v>
      </c>
      <c r="G59" s="1826">
        <f t="shared" si="16"/>
        <v>44317</v>
      </c>
      <c r="H59" s="1826">
        <f t="shared" si="16"/>
        <v>44287</v>
      </c>
      <c r="I59" s="1826">
        <f t="shared" si="16"/>
        <v>44256</v>
      </c>
      <c r="J59" s="1826">
        <f t="shared" si="16"/>
        <v>44228</v>
      </c>
      <c r="K59" s="1826">
        <f t="shared" si="16"/>
        <v>44197</v>
      </c>
      <c r="L59" s="1826">
        <f t="shared" si="16"/>
        <v>44166</v>
      </c>
      <c r="M59" s="1826">
        <f t="shared" si="16"/>
        <v>44136</v>
      </c>
      <c r="N59" s="1826">
        <f t="shared" si="16"/>
        <v>44105</v>
      </c>
      <c r="O59" s="1826">
        <f t="shared" si="16"/>
        <v>44075</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0（含）-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85.14</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44461</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1"/>
      <c r="Q16" s="1334"/>
      <c r="R16" s="631"/>
      <c r="S16" s="632"/>
      <c r="T16" s="631"/>
      <c r="U16" s="632"/>
      <c r="V16" s="631"/>
      <c r="W16" s="632"/>
      <c r="X16" s="1335"/>
      <c r="Y16" s="349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1"/>
      <c r="Q18" s="1334"/>
      <c r="R18" s="631"/>
      <c r="S18" s="632"/>
      <c r="T18" s="631"/>
      <c r="U18" s="632"/>
      <c r="V18" s="631"/>
      <c r="W18" s="632"/>
      <c r="X18" s="1335"/>
      <c r="Y18" s="349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1"/>
      <c r="Q19" s="1334" t="str">
        <f>B19</f>
        <v>公共配套设施</v>
      </c>
      <c r="R19" s="631" t="s">
        <v>25</v>
      </c>
      <c r="S19" s="632">
        <f>F19</f>
        <v>100</v>
      </c>
      <c r="T19" s="631" t="s">
        <v>25</v>
      </c>
      <c r="U19" s="632">
        <f>H19</f>
        <v>100</v>
      </c>
      <c r="V19" s="631" t="s">
        <v>25</v>
      </c>
      <c r="W19" s="632">
        <f>J19</f>
        <v>100</v>
      </c>
      <c r="X19" s="1335"/>
      <c r="Y19" s="349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1"/>
      <c r="Q20" s="1334"/>
      <c r="R20" s="631"/>
      <c r="S20" s="632"/>
      <c r="T20" s="631"/>
      <c r="U20" s="632"/>
      <c r="V20" s="631"/>
      <c r="W20" s="632"/>
      <c r="X20" s="1335"/>
      <c r="Y20" s="349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1"/>
      <c r="Q21" s="1334" t="str">
        <f>B21</f>
        <v>基础设施水平</v>
      </c>
      <c r="R21" s="631" t="s">
        <v>25</v>
      </c>
      <c r="S21" s="632">
        <f>F21</f>
        <v>100</v>
      </c>
      <c r="T21" s="631" t="s">
        <v>25</v>
      </c>
      <c r="U21" s="632">
        <f>H21</f>
        <v>100</v>
      </c>
      <c r="V21" s="631" t="s">
        <v>25</v>
      </c>
      <c r="W21" s="632">
        <f>J21</f>
        <v>100</v>
      </c>
      <c r="X21" s="1335"/>
      <c r="Y21" s="349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1"/>
      <c r="Q22" s="1334"/>
      <c r="R22" s="631"/>
      <c r="S22" s="632"/>
      <c r="T22" s="631"/>
      <c r="U22" s="632"/>
      <c r="V22" s="631"/>
      <c r="W22" s="632"/>
      <c r="X22" s="1335"/>
      <c r="Y22" s="349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1"/>
      <c r="Q23" s="1334" t="str">
        <f>B23</f>
        <v>环境质量</v>
      </c>
      <c r="R23" s="631" t="s">
        <v>25</v>
      </c>
      <c r="S23" s="632">
        <f>F23</f>
        <v>100</v>
      </c>
      <c r="T23" s="631" t="s">
        <v>25</v>
      </c>
      <c r="U23" s="632">
        <f>H23</f>
        <v>100</v>
      </c>
      <c r="V23" s="631" t="s">
        <v>25</v>
      </c>
      <c r="W23" s="632">
        <f>J23</f>
        <v>100</v>
      </c>
      <c r="X23" s="1335"/>
      <c r="Y23" s="349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1"/>
      <c r="Q24" s="1334"/>
      <c r="R24" s="631"/>
      <c r="S24" s="632"/>
      <c r="T24" s="631"/>
      <c r="U24" s="632"/>
      <c r="V24" s="631"/>
      <c r="W24" s="632"/>
      <c r="X24" s="1335"/>
      <c r="Y24" s="349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1"/>
      <c r="Q25" s="1334">
        <f>B25</f>
        <v>111</v>
      </c>
      <c r="R25" s="631" t="s">
        <v>25</v>
      </c>
      <c r="S25" s="632">
        <f>F25</f>
        <v>100</v>
      </c>
      <c r="T25" s="631" t="s">
        <v>25</v>
      </c>
      <c r="U25" s="632">
        <f>H25</f>
        <v>100</v>
      </c>
      <c r="V25" s="631" t="s">
        <v>25</v>
      </c>
      <c r="W25" s="632">
        <f>J25</f>
        <v>100</v>
      </c>
      <c r="X25" s="1335"/>
      <c r="Y25" s="349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1"/>
      <c r="Q26" s="1334">
        <f t="shared" ref="Q26:Q40" si="11">B26</f>
        <v>111</v>
      </c>
      <c r="R26" s="631" t="s">
        <v>25</v>
      </c>
      <c r="S26" s="632">
        <f>F26</f>
        <v>100</v>
      </c>
      <c r="T26" s="631" t="s">
        <v>25</v>
      </c>
      <c r="U26" s="632">
        <f>H26</f>
        <v>100</v>
      </c>
      <c r="V26" s="631" t="s">
        <v>25</v>
      </c>
      <c r="W26" s="632">
        <f>J26</f>
        <v>100</v>
      </c>
      <c r="X26" s="1335"/>
      <c r="Y26" s="349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1"/>
      <c r="Q27" s="1327">
        <f t="shared" si="11"/>
        <v>111</v>
      </c>
      <c r="R27" s="627" t="s">
        <v>25</v>
      </c>
      <c r="S27" s="628">
        <f>F27</f>
        <v>100</v>
      </c>
      <c r="T27" s="627" t="s">
        <v>25</v>
      </c>
      <c r="U27" s="628">
        <f>H27</f>
        <v>100</v>
      </c>
      <c r="V27" s="627" t="s">
        <v>25</v>
      </c>
      <c r="W27" s="628">
        <f>J27</f>
        <v>100</v>
      </c>
      <c r="X27" s="629"/>
      <c r="Y27" s="349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1"/>
      <c r="Q28" s="1334">
        <f t="shared" si="11"/>
        <v>111</v>
      </c>
      <c r="R28" s="631" t="s">
        <v>25</v>
      </c>
      <c r="S28" s="632">
        <f t="shared" ref="S28:S40" si="12">F28</f>
        <v>100</v>
      </c>
      <c r="T28" s="631" t="s">
        <v>25</v>
      </c>
      <c r="U28" s="632">
        <f t="shared" ref="U28:U40" si="13">H28</f>
        <v>100</v>
      </c>
      <c r="V28" s="631" t="s">
        <v>25</v>
      </c>
      <c r="W28" s="632">
        <f t="shared" ref="W28:W40" si="14">J28</f>
        <v>100</v>
      </c>
      <c r="X28" s="1335"/>
      <c r="Y28" s="349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78" t="s">
        <v>2276</v>
      </c>
      <c r="Q29" s="1334" t="str">
        <f t="shared" si="11"/>
        <v>建筑类型</v>
      </c>
      <c r="R29" s="631" t="s">
        <v>25</v>
      </c>
      <c r="S29" s="632">
        <f t="shared" si="12"/>
        <v>100</v>
      </c>
      <c r="T29" s="631" t="s">
        <v>25</v>
      </c>
      <c r="U29" s="632">
        <f t="shared" si="13"/>
        <v>100</v>
      </c>
      <c r="V29" s="631" t="s">
        <v>25</v>
      </c>
      <c r="W29" s="632">
        <f t="shared" si="14"/>
        <v>100</v>
      </c>
      <c r="X29" s="1335"/>
      <c r="Y29" s="347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79"/>
      <c r="Q31" s="1334" t="str">
        <f t="shared" si="11"/>
        <v>建筑结构</v>
      </c>
      <c r="R31" s="631" t="s">
        <v>25</v>
      </c>
      <c r="S31" s="632">
        <f t="shared" si="12"/>
        <v>100</v>
      </c>
      <c r="T31" s="631" t="s">
        <v>25</v>
      </c>
      <c r="U31" s="632">
        <f t="shared" si="13"/>
        <v>100</v>
      </c>
      <c r="V31" s="631" t="s">
        <v>25</v>
      </c>
      <c r="W31" s="632">
        <f t="shared" si="14"/>
        <v>100</v>
      </c>
      <c r="X31" s="1335"/>
      <c r="Y31" s="347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79"/>
      <c r="Q32" s="1334" t="str">
        <f t="shared" si="11"/>
        <v>公共部分装修</v>
      </c>
      <c r="R32" s="631" t="s">
        <v>25</v>
      </c>
      <c r="S32" s="632">
        <f t="shared" si="12"/>
        <v>100</v>
      </c>
      <c r="T32" s="631" t="s">
        <v>25</v>
      </c>
      <c r="U32" s="632">
        <f t="shared" si="13"/>
        <v>100</v>
      </c>
      <c r="V32" s="631" t="s">
        <v>25</v>
      </c>
      <c r="W32" s="632">
        <f t="shared" si="14"/>
        <v>100</v>
      </c>
      <c r="X32" s="1335"/>
      <c r="Y32" s="347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79"/>
      <c r="Q33" s="1334" t="str">
        <f t="shared" si="11"/>
        <v>成新度</v>
      </c>
      <c r="R33" s="631" t="s">
        <v>25</v>
      </c>
      <c r="S33" s="632" t="e">
        <f t="shared" si="12"/>
        <v>#N/A</v>
      </c>
      <c r="T33" s="631" t="s">
        <v>25</v>
      </c>
      <c r="U33" s="632" t="e">
        <f t="shared" si="13"/>
        <v>#N/A</v>
      </c>
      <c r="V33" s="631" t="s">
        <v>25</v>
      </c>
      <c r="W33" s="632" t="e">
        <f t="shared" si="14"/>
        <v>#N/A</v>
      </c>
      <c r="X33" s="1335"/>
      <c r="Y33" s="347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79"/>
      <c r="Q34" s="1327"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79" t="s">
        <v>2276</v>
      </c>
      <c r="Q35" s="1334" t="str">
        <f t="shared" si="11"/>
        <v>市政基础设施</v>
      </c>
      <c r="R35" s="631" t="s">
        <v>25</v>
      </c>
      <c r="S35" s="632">
        <f t="shared" si="12"/>
        <v>100</v>
      </c>
      <c r="T35" s="631" t="s">
        <v>25</v>
      </c>
      <c r="U35" s="632">
        <f t="shared" si="13"/>
        <v>100</v>
      </c>
      <c r="V35" s="631" t="s">
        <v>25</v>
      </c>
      <c r="W35" s="632">
        <f t="shared" si="14"/>
        <v>100</v>
      </c>
      <c r="X35" s="1335"/>
      <c r="Y35" s="347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79"/>
      <c r="Q36" s="1334" t="str">
        <f t="shared" si="11"/>
        <v>内部装修</v>
      </c>
      <c r="R36" s="631" t="s">
        <v>25</v>
      </c>
      <c r="S36" s="632">
        <f t="shared" si="12"/>
        <v>100</v>
      </c>
      <c r="T36" s="631" t="s">
        <v>25</v>
      </c>
      <c r="U36" s="632">
        <f t="shared" si="13"/>
        <v>100</v>
      </c>
      <c r="V36" s="631" t="s">
        <v>25</v>
      </c>
      <c r="W36" s="632">
        <f t="shared" si="14"/>
        <v>100</v>
      </c>
      <c r="X36" s="1335"/>
      <c r="Y36" s="347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79"/>
      <c r="Q37" s="1334" t="str">
        <f t="shared" si="11"/>
        <v>内部装修状况</v>
      </c>
      <c r="R37" s="631" t="s">
        <v>25</v>
      </c>
      <c r="S37" s="632">
        <f t="shared" si="12"/>
        <v>100</v>
      </c>
      <c r="T37" s="631" t="s">
        <v>25</v>
      </c>
      <c r="U37" s="632">
        <f t="shared" si="13"/>
        <v>100</v>
      </c>
      <c r="V37" s="631" t="s">
        <v>25</v>
      </c>
      <c r="W37" s="632">
        <f t="shared" si="14"/>
        <v>100</v>
      </c>
      <c r="X37" s="1335"/>
      <c r="Y37" s="347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79"/>
      <c r="Q39" s="1334">
        <f t="shared" si="11"/>
        <v>111</v>
      </c>
      <c r="R39" s="631" t="s">
        <v>25</v>
      </c>
      <c r="S39" s="632">
        <f t="shared" si="12"/>
        <v>100</v>
      </c>
      <c r="T39" s="631" t="s">
        <v>25</v>
      </c>
      <c r="U39" s="632">
        <f t="shared" si="13"/>
        <v>100</v>
      </c>
      <c r="V39" s="631" t="s">
        <v>25</v>
      </c>
      <c r="W39" s="632">
        <f t="shared" si="14"/>
        <v>100</v>
      </c>
      <c r="X39" s="1335"/>
      <c r="Y39" s="347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0"/>
      <c r="Q40" s="1334">
        <f t="shared" si="11"/>
        <v>111</v>
      </c>
      <c r="R40" s="631" t="s">
        <v>25</v>
      </c>
      <c r="S40" s="632">
        <f t="shared" si="12"/>
        <v>100</v>
      </c>
      <c r="T40" s="631" t="s">
        <v>25</v>
      </c>
      <c r="U40" s="632">
        <f t="shared" si="13"/>
        <v>100</v>
      </c>
      <c r="V40" s="631" t="s">
        <v>25</v>
      </c>
      <c r="W40" s="632">
        <f t="shared" si="14"/>
        <v>100</v>
      </c>
      <c r="X40" s="1335"/>
      <c r="Y40" s="348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7"/>
      <c r="N42" s="3026"/>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2021-9</v>
      </c>
      <c r="D52" s="1188">
        <f>EDATE(C52,-1)</f>
        <v>44409</v>
      </c>
      <c r="E52" s="1189">
        <f t="shared" ref="E52:O52" si="16">EDATE(D52,-1)</f>
        <v>44378</v>
      </c>
      <c r="F52" s="1189">
        <f t="shared" si="16"/>
        <v>44348</v>
      </c>
      <c r="G52" s="1189">
        <f t="shared" si="16"/>
        <v>44317</v>
      </c>
      <c r="H52" s="1189">
        <f t="shared" si="16"/>
        <v>44287</v>
      </c>
      <c r="I52" s="1189">
        <f t="shared" si="16"/>
        <v>44256</v>
      </c>
      <c r="J52" s="1189">
        <f t="shared" si="16"/>
        <v>44228</v>
      </c>
      <c r="K52" s="1189">
        <f t="shared" si="16"/>
        <v>44197</v>
      </c>
      <c r="L52" s="1189">
        <f t="shared" si="16"/>
        <v>44166</v>
      </c>
      <c r="M52" s="1189">
        <f t="shared" si="16"/>
        <v>44136</v>
      </c>
      <c r="N52" s="1189">
        <f t="shared" si="16"/>
        <v>44105</v>
      </c>
      <c r="O52" s="1189">
        <f t="shared" si="16"/>
        <v>44075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85.14</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44461</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1"/>
      <c r="Q15" s="1334"/>
      <c r="R15" s="631"/>
      <c r="S15" s="632"/>
      <c r="T15" s="631"/>
      <c r="U15" s="632"/>
      <c r="V15" s="631"/>
      <c r="W15" s="632"/>
      <c r="X15" s="1335"/>
      <c r="Y15" s="349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1"/>
      <c r="Q17" s="1334"/>
      <c r="R17" s="631"/>
      <c r="S17" s="632"/>
      <c r="T17" s="631"/>
      <c r="U17" s="632"/>
      <c r="V17" s="631"/>
      <c r="W17" s="632"/>
      <c r="X17" s="1335"/>
      <c r="Y17" s="349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1"/>
      <c r="Q19" s="1334"/>
      <c r="R19" s="631"/>
      <c r="S19" s="632"/>
      <c r="T19" s="631"/>
      <c r="U19" s="632"/>
      <c r="V19" s="631"/>
      <c r="W19" s="632"/>
      <c r="X19" s="1335"/>
      <c r="Y19" s="349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1"/>
      <c r="Q21" s="1334"/>
      <c r="R21" s="631"/>
      <c r="S21" s="632"/>
      <c r="T21" s="631"/>
      <c r="U21" s="632"/>
      <c r="V21" s="631"/>
      <c r="W21" s="632"/>
      <c r="X21" s="1335"/>
      <c r="Y21" s="349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1"/>
      <c r="Q24" s="1334">
        <f t="shared" ref="Q24:Q36"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79"/>
      <c r="Q28" s="1334" t="str">
        <f t="shared" si="11"/>
        <v>公共部分装修</v>
      </c>
      <c r="R28" s="631" t="s">
        <v>25</v>
      </c>
      <c r="S28" s="632">
        <f t="shared" si="12"/>
        <v>100</v>
      </c>
      <c r="T28" s="631" t="s">
        <v>25</v>
      </c>
      <c r="U28" s="632">
        <f t="shared" si="13"/>
        <v>100</v>
      </c>
      <c r="V28" s="631" t="s">
        <v>25</v>
      </c>
      <c r="W28" s="632">
        <f t="shared" si="14"/>
        <v>100</v>
      </c>
      <c r="X28" s="1335"/>
      <c r="Y28" s="347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79"/>
      <c r="Q29" s="1334" t="str">
        <f t="shared" si="11"/>
        <v>成新率</v>
      </c>
      <c r="R29" s="631" t="s">
        <v>25</v>
      </c>
      <c r="S29" s="632" t="e">
        <f t="shared" si="12"/>
        <v>#N/A</v>
      </c>
      <c r="T29" s="631" t="s">
        <v>25</v>
      </c>
      <c r="U29" s="632" t="e">
        <f t="shared" si="13"/>
        <v>#N/A</v>
      </c>
      <c r="V29" s="631" t="s">
        <v>25</v>
      </c>
      <c r="W29" s="632" t="e">
        <f t="shared" si="14"/>
        <v>#N/A</v>
      </c>
      <c r="X29" s="1335"/>
      <c r="Y29" s="347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79"/>
      <c r="Q30" s="1334" t="str">
        <f t="shared" si="11"/>
        <v>物业等级</v>
      </c>
      <c r="R30" s="631" t="s">
        <v>25</v>
      </c>
      <c r="S30" s="632">
        <f t="shared" si="12"/>
        <v>100</v>
      </c>
      <c r="T30" s="631" t="s">
        <v>25</v>
      </c>
      <c r="U30" s="632">
        <f t="shared" si="13"/>
        <v>100</v>
      </c>
      <c r="V30" s="631" t="s">
        <v>25</v>
      </c>
      <c r="W30" s="632">
        <f t="shared" si="14"/>
        <v>100</v>
      </c>
      <c r="X30" s="1335"/>
      <c r="Y30" s="347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79"/>
      <c r="Q31" s="1327"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79" t="s">
        <v>2276</v>
      </c>
      <c r="Q32" s="1334" t="str">
        <f t="shared" si="11"/>
        <v>车位类型</v>
      </c>
      <c r="R32" s="631" t="s">
        <v>25</v>
      </c>
      <c r="S32" s="632">
        <f t="shared" si="12"/>
        <v>100</v>
      </c>
      <c r="T32" s="631" t="s">
        <v>25</v>
      </c>
      <c r="U32" s="632">
        <f t="shared" si="13"/>
        <v>100</v>
      </c>
      <c r="V32" s="631" t="s">
        <v>25</v>
      </c>
      <c r="W32" s="632">
        <f t="shared" si="14"/>
        <v>100</v>
      </c>
      <c r="X32" s="1335"/>
      <c r="Y32" s="347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79"/>
      <c r="Q33" s="1334" t="str">
        <f t="shared" si="11"/>
        <v>是否直接入户</v>
      </c>
      <c r="R33" s="631" t="s">
        <v>25</v>
      </c>
      <c r="S33" s="632">
        <f t="shared" si="12"/>
        <v>100</v>
      </c>
      <c r="T33" s="631" t="s">
        <v>25</v>
      </c>
      <c r="U33" s="632">
        <f t="shared" si="13"/>
        <v>100</v>
      </c>
      <c r="V33" s="631" t="s">
        <v>25</v>
      </c>
      <c r="W33" s="632">
        <f t="shared" si="14"/>
        <v>100</v>
      </c>
      <c r="X33" s="1335"/>
      <c r="Y33" s="347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79"/>
      <c r="Q36" s="1334">
        <f t="shared" si="11"/>
        <v>111</v>
      </c>
      <c r="R36" s="631" t="s">
        <v>25</v>
      </c>
      <c r="S36" s="632">
        <f t="shared" si="12"/>
        <v>100</v>
      </c>
      <c r="T36" s="631" t="s">
        <v>25</v>
      </c>
      <c r="U36" s="632">
        <f t="shared" si="13"/>
        <v>100</v>
      </c>
      <c r="V36" s="631" t="s">
        <v>25</v>
      </c>
      <c r="W36" s="632">
        <f t="shared" si="14"/>
        <v>100</v>
      </c>
      <c r="X36" s="1335"/>
      <c r="Y36" s="347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2021-9</v>
      </c>
      <c r="D48" s="1188">
        <f>EDATE(C48,-1)</f>
        <v>44409</v>
      </c>
      <c r="E48" s="1188">
        <f t="shared" ref="E48:O48" si="16">EDATE(D48,-1)</f>
        <v>44378</v>
      </c>
      <c r="F48" s="1188">
        <f t="shared" si="16"/>
        <v>44348</v>
      </c>
      <c r="G48" s="1188">
        <f t="shared" si="16"/>
        <v>44317</v>
      </c>
      <c r="H48" s="1188">
        <f t="shared" si="16"/>
        <v>44287</v>
      </c>
      <c r="I48" s="1188">
        <f t="shared" si="16"/>
        <v>44256</v>
      </c>
      <c r="J48" s="1188">
        <f t="shared" si="16"/>
        <v>44228</v>
      </c>
      <c r="K48" s="1188">
        <f t="shared" si="16"/>
        <v>44197</v>
      </c>
      <c r="L48" s="1188">
        <f t="shared" si="16"/>
        <v>44166</v>
      </c>
      <c r="M48" s="1188">
        <f t="shared" si="16"/>
        <v>44136</v>
      </c>
      <c r="N48" s="1188">
        <f t="shared" si="16"/>
        <v>44105</v>
      </c>
      <c r="O48" s="1188">
        <f t="shared" si="16"/>
        <v>44075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85.14</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44461</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1"/>
      <c r="Q15" s="1334"/>
      <c r="R15" s="631"/>
      <c r="S15" s="632"/>
      <c r="T15" s="631"/>
      <c r="U15" s="632"/>
      <c r="V15" s="631"/>
      <c r="W15" s="632"/>
      <c r="X15" s="1335"/>
      <c r="Y15" s="349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1"/>
      <c r="Q17" s="1334"/>
      <c r="R17" s="631"/>
      <c r="S17" s="632"/>
      <c r="T17" s="631"/>
      <c r="U17" s="632"/>
      <c r="V17" s="631"/>
      <c r="W17" s="632"/>
      <c r="X17" s="1335"/>
      <c r="Y17" s="349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1"/>
      <c r="Q19" s="1334"/>
      <c r="R19" s="631"/>
      <c r="S19" s="632"/>
      <c r="T19" s="631"/>
      <c r="U19" s="632"/>
      <c r="V19" s="631"/>
      <c r="W19" s="632"/>
      <c r="X19" s="1335"/>
      <c r="Y19" s="349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1"/>
      <c r="Q21" s="1334"/>
      <c r="R21" s="631"/>
      <c r="S21" s="632"/>
      <c r="T21" s="631"/>
      <c r="U21" s="632"/>
      <c r="V21" s="631"/>
      <c r="W21" s="632"/>
      <c r="X21" s="1335"/>
      <c r="Y21" s="349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1"/>
      <c r="Q24" s="1334">
        <f t="shared" ref="Q24:Q34"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7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79"/>
      <c r="Q28" s="1334" t="str">
        <f t="shared" si="11"/>
        <v>物业等级</v>
      </c>
      <c r="R28" s="631" t="s">
        <v>25</v>
      </c>
      <c r="S28" s="632">
        <f t="shared" si="12"/>
        <v>100</v>
      </c>
      <c r="T28" s="631" t="s">
        <v>25</v>
      </c>
      <c r="U28" s="632">
        <f t="shared" si="13"/>
        <v>100</v>
      </c>
      <c r="V28" s="631" t="s">
        <v>25</v>
      </c>
      <c r="W28" s="632">
        <f t="shared" si="14"/>
        <v>100</v>
      </c>
      <c r="X28" s="1335"/>
      <c r="Y28" s="347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79"/>
      <c r="Q29" s="1334" t="str">
        <f t="shared" si="11"/>
        <v>有无电梯</v>
      </c>
      <c r="R29" s="631" t="s">
        <v>25</v>
      </c>
      <c r="S29" s="632">
        <f t="shared" si="12"/>
        <v>100</v>
      </c>
      <c r="T29" s="631" t="s">
        <v>25</v>
      </c>
      <c r="U29" s="632">
        <f t="shared" si="13"/>
        <v>100</v>
      </c>
      <c r="V29" s="631" t="s">
        <v>25</v>
      </c>
      <c r="W29" s="632">
        <f t="shared" si="14"/>
        <v>100</v>
      </c>
      <c r="X29" s="1335"/>
      <c r="Y29" s="347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79"/>
      <c r="Q30" s="1334" t="str">
        <f t="shared" si="11"/>
        <v>建筑面积</v>
      </c>
      <c r="R30" s="631" t="s">
        <v>25</v>
      </c>
      <c r="S30" s="632" t="e">
        <f t="shared" si="12"/>
        <v>#N/A</v>
      </c>
      <c r="T30" s="631" t="s">
        <v>25</v>
      </c>
      <c r="U30" s="632" t="e">
        <f t="shared" si="13"/>
        <v>#N/A</v>
      </c>
      <c r="V30" s="631" t="s">
        <v>25</v>
      </c>
      <c r="W30" s="632" t="e">
        <f t="shared" si="14"/>
        <v>#N/A</v>
      </c>
      <c r="X30" s="1335"/>
      <c r="Y30" s="347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79"/>
      <c r="Q31" s="1327"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79" t="s">
        <v>2276</v>
      </c>
      <c r="Q32" s="1334">
        <f t="shared" si="11"/>
        <v>111</v>
      </c>
      <c r="R32" s="631" t="s">
        <v>25</v>
      </c>
      <c r="S32" s="632">
        <f t="shared" si="12"/>
        <v>100</v>
      </c>
      <c r="T32" s="631" t="s">
        <v>25</v>
      </c>
      <c r="U32" s="632">
        <f t="shared" si="13"/>
        <v>100</v>
      </c>
      <c r="V32" s="631" t="s">
        <v>25</v>
      </c>
      <c r="W32" s="632">
        <f t="shared" si="14"/>
        <v>100</v>
      </c>
      <c r="X32" s="1335"/>
      <c r="Y32" s="347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79"/>
      <c r="Q33" s="1334">
        <f t="shared" si="11"/>
        <v>111</v>
      </c>
      <c r="R33" s="631" t="s">
        <v>25</v>
      </c>
      <c r="S33" s="632">
        <f t="shared" si="12"/>
        <v>100</v>
      </c>
      <c r="T33" s="631" t="s">
        <v>25</v>
      </c>
      <c r="U33" s="632">
        <f t="shared" si="13"/>
        <v>100</v>
      </c>
      <c r="V33" s="631" t="s">
        <v>25</v>
      </c>
      <c r="W33" s="632">
        <f t="shared" si="14"/>
        <v>100</v>
      </c>
      <c r="X33" s="1335"/>
      <c r="Y33" s="347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7"/>
      <c r="N36" s="3026"/>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2021-9</v>
      </c>
      <c r="D46" s="1188">
        <f>EDATE(C46,-1)</f>
        <v>44409</v>
      </c>
      <c r="E46" s="1188">
        <f t="shared" ref="E46:O46" si="16">EDATE(D46,-1)</f>
        <v>44378</v>
      </c>
      <c r="F46" s="1188">
        <f t="shared" si="16"/>
        <v>44348</v>
      </c>
      <c r="G46" s="1188">
        <f t="shared" si="16"/>
        <v>44317</v>
      </c>
      <c r="H46" s="1188">
        <f t="shared" si="16"/>
        <v>44287</v>
      </c>
      <c r="I46" s="1188">
        <f t="shared" si="16"/>
        <v>44256</v>
      </c>
      <c r="J46" s="1188">
        <f t="shared" si="16"/>
        <v>44228</v>
      </c>
      <c r="K46" s="1188">
        <f t="shared" si="16"/>
        <v>44197</v>
      </c>
      <c r="L46" s="1188">
        <f t="shared" si="16"/>
        <v>44166</v>
      </c>
      <c r="M46" s="1188">
        <f t="shared" si="16"/>
        <v>44136</v>
      </c>
      <c r="N46" s="1188">
        <f t="shared" si="16"/>
        <v>44105</v>
      </c>
      <c r="O46" s="1188">
        <f t="shared" si="16"/>
        <v>44075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1666"/>
      <c r="Y4" s="3446" t="s">
        <v>2251</v>
      </c>
      <c r="Z4" s="3447"/>
      <c r="AA4" s="3454" t="s">
        <v>2247</v>
      </c>
      <c r="AB4" s="3455" t="s">
        <v>2248</v>
      </c>
      <c r="AC4" s="3454" t="s">
        <v>2249</v>
      </c>
    </row>
    <row r="5" spans="1:30"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1666"/>
      <c r="Y5" s="3448"/>
      <c r="Z5" s="3449"/>
      <c r="AA5" s="3455"/>
      <c r="AB5" s="3455"/>
      <c r="AC5" s="3455"/>
    </row>
    <row r="6" spans="1:30"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1666"/>
      <c r="Y6" s="3450"/>
      <c r="Z6" s="3451"/>
      <c r="AA6" s="3456"/>
      <c r="AB6" s="3456"/>
      <c r="AC6" s="3456"/>
    </row>
    <row r="7" spans="1:30" s="1685" customFormat="1" ht="15.75" thickBot="1">
      <c r="A7" s="1673" t="s">
        <v>2258</v>
      </c>
      <c r="B7" s="1674"/>
      <c r="C7" s="1675">
        <f>'数据-取费表'!B2</f>
        <v>44461</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0"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105</v>
      </c>
      <c r="G10" s="1758"/>
      <c r="H10" s="1698">
        <f>ROUND(100/'数据-取费表'!B14,0)</f>
        <v>105</v>
      </c>
      <c r="I10" s="1758"/>
      <c r="J10" s="1698">
        <f>ROUND(100/'数据-取费表'!B14,0)</f>
        <v>105</v>
      </c>
      <c r="K10" s="1970"/>
      <c r="L10" s="2999"/>
      <c r="M10" s="3000"/>
      <c r="N10" s="3000"/>
      <c r="O10" s="3045"/>
      <c r="P10" s="3430"/>
      <c r="Q10" s="1635" t="str">
        <f t="shared" si="6"/>
        <v>土地使用年限（年）</v>
      </c>
      <c r="R10" s="1681" t="s">
        <v>25</v>
      </c>
      <c r="S10" s="1682">
        <f t="shared" si="0"/>
        <v>105</v>
      </c>
      <c r="T10" s="1681" t="s">
        <v>25</v>
      </c>
      <c r="U10" s="1682">
        <f t="shared" si="1"/>
        <v>105</v>
      </c>
      <c r="V10" s="1681" t="s">
        <v>25</v>
      </c>
      <c r="W10" s="1682">
        <f t="shared" si="2"/>
        <v>105</v>
      </c>
      <c r="X10" s="1683"/>
      <c r="Y10" s="3288"/>
      <c r="Z10" s="1694" t="str">
        <f t="shared" si="7"/>
        <v>土地使用年限（年）</v>
      </c>
      <c r="AA10" s="1684">
        <f t="shared" si="3"/>
        <v>0.95238095238095233</v>
      </c>
      <c r="AB10" s="1684">
        <f t="shared" si="4"/>
        <v>0.95238095238095233</v>
      </c>
      <c r="AC10" s="1684">
        <f t="shared" si="5"/>
        <v>0.95238095238095233</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0"/>
      <c r="Q11" s="1635"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0"/>
      <c r="Q12" s="1635" t="str">
        <f t="shared" si="6"/>
        <v>配建</v>
      </c>
      <c r="R12" s="1681" t="s">
        <v>25</v>
      </c>
      <c r="S12" s="1682">
        <f t="shared" si="0"/>
        <v>100</v>
      </c>
      <c r="T12" s="1681" t="s">
        <v>25</v>
      </c>
      <c r="U12" s="1682">
        <f t="shared" si="1"/>
        <v>100</v>
      </c>
      <c r="V12" s="1681" t="s">
        <v>25</v>
      </c>
      <c r="W12" s="1682">
        <f t="shared" si="2"/>
        <v>100</v>
      </c>
      <c r="X12" s="1683"/>
      <c r="Y12" s="328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0"/>
      <c r="Q13" s="1635">
        <f t="shared" si="6"/>
        <v>111</v>
      </c>
      <c r="R13" s="1681" t="s">
        <v>25</v>
      </c>
      <c r="S13" s="1682">
        <f t="shared" si="0"/>
        <v>100</v>
      </c>
      <c r="T13" s="1681" t="s">
        <v>25</v>
      </c>
      <c r="U13" s="1682">
        <f t="shared" si="1"/>
        <v>100</v>
      </c>
      <c r="V13" s="1681" t="s">
        <v>25</v>
      </c>
      <c r="W13" s="1682">
        <f t="shared" si="2"/>
        <v>100</v>
      </c>
      <c r="X13" s="1683"/>
      <c r="Y13" s="328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0"/>
      <c r="Q14" s="1635">
        <f t="shared" si="6"/>
        <v>111</v>
      </c>
      <c r="R14" s="1681" t="s">
        <v>25</v>
      </c>
      <c r="S14" s="1682">
        <f t="shared" si="0"/>
        <v>100</v>
      </c>
      <c r="T14" s="1681" t="s">
        <v>25</v>
      </c>
      <c r="U14" s="1682">
        <f t="shared" si="1"/>
        <v>100</v>
      </c>
      <c r="V14" s="1681" t="s">
        <v>25</v>
      </c>
      <c r="W14" s="1682">
        <f t="shared" si="2"/>
        <v>100</v>
      </c>
      <c r="X14" s="1683"/>
      <c r="Y14" s="328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3" t="s">
        <v>2270</v>
      </c>
      <c r="Q15" s="1616" t="str">
        <f t="shared" si="6"/>
        <v>居住社区成熟度</v>
      </c>
      <c r="R15" s="1726" t="s">
        <v>25</v>
      </c>
      <c r="S15" s="1727">
        <f t="shared" si="0"/>
        <v>100</v>
      </c>
      <c r="T15" s="1726" t="s">
        <v>25</v>
      </c>
      <c r="U15" s="1727">
        <f t="shared" si="1"/>
        <v>100</v>
      </c>
      <c r="V15" s="1726" t="s">
        <v>25</v>
      </c>
      <c r="W15" s="1727">
        <f t="shared" si="2"/>
        <v>100</v>
      </c>
      <c r="X15" s="1666"/>
      <c r="Y15" s="3433"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4"/>
      <c r="Q16" s="1616"/>
      <c r="R16" s="1726"/>
      <c r="S16" s="1727"/>
      <c r="T16" s="1726"/>
      <c r="U16" s="1727"/>
      <c r="V16" s="1726"/>
      <c r="W16" s="1727"/>
      <c r="X16" s="1666"/>
      <c r="Y16" s="3434"/>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4"/>
      <c r="Q17" s="1616" t="str">
        <f>B17</f>
        <v>商业繁华度</v>
      </c>
      <c r="R17" s="1726" t="s">
        <v>25</v>
      </c>
      <c r="S17" s="1727">
        <f>F17</f>
        <v>100</v>
      </c>
      <c r="T17" s="1726" t="s">
        <v>25</v>
      </c>
      <c r="U17" s="1727">
        <f>H17</f>
        <v>100</v>
      </c>
      <c r="V17" s="1726" t="s">
        <v>25</v>
      </c>
      <c r="W17" s="1727">
        <f>J17</f>
        <v>100</v>
      </c>
      <c r="X17" s="1666"/>
      <c r="Y17" s="343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4"/>
      <c r="Q18" s="1616"/>
      <c r="R18" s="1726"/>
      <c r="S18" s="1727"/>
      <c r="T18" s="1726"/>
      <c r="U18" s="1727"/>
      <c r="V18" s="1726"/>
      <c r="W18" s="1727"/>
      <c r="X18" s="1666"/>
      <c r="Y18" s="3434"/>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4"/>
      <c r="Q19" s="1616" t="str">
        <f>B19</f>
        <v>办公集聚程度</v>
      </c>
      <c r="R19" s="1726" t="s">
        <v>25</v>
      </c>
      <c r="S19" s="1727">
        <f>F19</f>
        <v>100</v>
      </c>
      <c r="T19" s="1726" t="s">
        <v>25</v>
      </c>
      <c r="U19" s="1727">
        <f>H19</f>
        <v>100</v>
      </c>
      <c r="V19" s="1726" t="s">
        <v>25</v>
      </c>
      <c r="W19" s="1727">
        <f>J19</f>
        <v>100</v>
      </c>
      <c r="X19" s="1666"/>
      <c r="Y19" s="343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4"/>
      <c r="Q20" s="1616"/>
      <c r="R20" s="1726"/>
      <c r="S20" s="1727"/>
      <c r="T20" s="1726"/>
      <c r="U20" s="1727"/>
      <c r="V20" s="1726"/>
      <c r="W20" s="1727"/>
      <c r="X20" s="1666"/>
      <c r="Y20" s="3434"/>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4"/>
      <c r="Q21" s="1616" t="str">
        <f>B21</f>
        <v>交通便捷度</v>
      </c>
      <c r="R21" s="1726" t="s">
        <v>25</v>
      </c>
      <c r="S21" s="1727">
        <f>F21</f>
        <v>100</v>
      </c>
      <c r="T21" s="1726" t="s">
        <v>25</v>
      </c>
      <c r="U21" s="1727">
        <f>H21</f>
        <v>100</v>
      </c>
      <c r="V21" s="1726" t="s">
        <v>25</v>
      </c>
      <c r="W21" s="1727">
        <f>J21</f>
        <v>100</v>
      </c>
      <c r="X21" s="1666"/>
      <c r="Y21" s="343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4"/>
      <c r="Q22" s="1616"/>
      <c r="R22" s="1726"/>
      <c r="S22" s="1727"/>
      <c r="T22" s="1726"/>
      <c r="U22" s="1727"/>
      <c r="V22" s="1726"/>
      <c r="W22" s="1727"/>
      <c r="X22" s="1666"/>
      <c r="Y22" s="3434"/>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4"/>
      <c r="Q23" s="1616" t="str">
        <f t="shared" ref="Q23:Q37" si="8">B23</f>
        <v>区域土地利用方向</v>
      </c>
      <c r="R23" s="1726" t="s">
        <v>25</v>
      </c>
      <c r="S23" s="1727">
        <f>F23</f>
        <v>100</v>
      </c>
      <c r="T23" s="1726" t="s">
        <v>25</v>
      </c>
      <c r="U23" s="1727">
        <f>H23</f>
        <v>100</v>
      </c>
      <c r="V23" s="1726" t="s">
        <v>25</v>
      </c>
      <c r="W23" s="1727">
        <f>J23</f>
        <v>100</v>
      </c>
      <c r="X23" s="1666"/>
      <c r="Y23" s="343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4"/>
      <c r="Q24" s="1616"/>
      <c r="R24" s="1726"/>
      <c r="S24" s="1727"/>
      <c r="T24" s="1726"/>
      <c r="U24" s="1727"/>
      <c r="V24" s="1726"/>
      <c r="W24" s="1727"/>
      <c r="X24" s="1666"/>
      <c r="Y24" s="3434"/>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4"/>
      <c r="Q25" s="1616" t="str">
        <f t="shared" si="8"/>
        <v>自然及人文环境状况</v>
      </c>
      <c r="R25" s="1726" t="s">
        <v>25</v>
      </c>
      <c r="S25" s="1727">
        <f>F25</f>
        <v>100</v>
      </c>
      <c r="T25" s="1726" t="s">
        <v>25</v>
      </c>
      <c r="U25" s="1727">
        <f>H25</f>
        <v>100</v>
      </c>
      <c r="V25" s="1726" t="s">
        <v>25</v>
      </c>
      <c r="W25" s="1727">
        <f>J25</f>
        <v>100</v>
      </c>
      <c r="X25" s="1666"/>
      <c r="Y25" s="343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4"/>
      <c r="Q26" s="1616"/>
      <c r="R26" s="1726"/>
      <c r="S26" s="1727"/>
      <c r="T26" s="1726"/>
      <c r="U26" s="1727"/>
      <c r="V26" s="1726"/>
      <c r="W26" s="1727"/>
      <c r="X26" s="1666"/>
      <c r="Y26" s="3434"/>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4"/>
      <c r="Q27" s="1635" t="str">
        <f t="shared" ref="Q27" si="9">B27</f>
        <v>公共配套设施</v>
      </c>
      <c r="R27" s="1681" t="s">
        <v>25</v>
      </c>
      <c r="S27" s="1682">
        <f>F27</f>
        <v>100</v>
      </c>
      <c r="T27" s="1681" t="s">
        <v>25</v>
      </c>
      <c r="U27" s="1682">
        <f>H27</f>
        <v>100</v>
      </c>
      <c r="V27" s="1681" t="s">
        <v>25</v>
      </c>
      <c r="W27" s="1682">
        <f>J27</f>
        <v>100</v>
      </c>
      <c r="X27" s="1666"/>
      <c r="Y27" s="343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4"/>
      <c r="Q28" s="1616"/>
      <c r="R28" s="1726"/>
      <c r="S28" s="1727"/>
      <c r="T28" s="1726"/>
      <c r="U28" s="1727"/>
      <c r="V28" s="1726"/>
      <c r="W28" s="1727"/>
      <c r="X28" s="1666"/>
      <c r="Y28" s="3434"/>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4"/>
      <c r="Q29" s="1635" t="str">
        <f t="shared" si="8"/>
        <v>基础设施水平</v>
      </c>
      <c r="R29" s="1681" t="s">
        <v>25</v>
      </c>
      <c r="S29" s="1682">
        <f>F29</f>
        <v>100</v>
      </c>
      <c r="T29" s="1681" t="s">
        <v>25</v>
      </c>
      <c r="U29" s="1682">
        <f>H29</f>
        <v>100</v>
      </c>
      <c r="V29" s="1681" t="s">
        <v>25</v>
      </c>
      <c r="W29" s="1682">
        <f>J29</f>
        <v>100</v>
      </c>
      <c r="X29" s="1683"/>
      <c r="Y29" s="343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4"/>
      <c r="Q30" s="1635"/>
      <c r="R30" s="1681"/>
      <c r="S30" s="1682"/>
      <c r="T30" s="1681"/>
      <c r="U30" s="1682"/>
      <c r="V30" s="1681"/>
      <c r="W30" s="1682"/>
      <c r="X30" s="1683"/>
      <c r="Y30" s="3434"/>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4"/>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4"/>
      <c r="Q32" s="1616" t="str">
        <f t="shared" si="8"/>
        <v>毗邻道路的类型与等级</v>
      </c>
      <c r="R32" s="1726" t="s">
        <v>25</v>
      </c>
      <c r="S32" s="1727">
        <f t="shared" si="10"/>
        <v>100</v>
      </c>
      <c r="T32" s="1726" t="s">
        <v>25</v>
      </c>
      <c r="U32" s="1727">
        <f t="shared" si="11"/>
        <v>100</v>
      </c>
      <c r="V32" s="1726" t="s">
        <v>25</v>
      </c>
      <c r="W32" s="1727">
        <f t="shared" si="12"/>
        <v>100</v>
      </c>
      <c r="X32" s="1666"/>
      <c r="Y32" s="343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4"/>
      <c r="Q33" s="1616"/>
      <c r="R33" s="1726"/>
      <c r="S33" s="1727"/>
      <c r="T33" s="1726"/>
      <c r="U33" s="1727"/>
      <c r="V33" s="1726"/>
      <c r="W33" s="1727"/>
      <c r="X33" s="1666"/>
      <c r="Y33" s="3434"/>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4"/>
      <c r="Q34" s="1616" t="str">
        <f t="shared" si="8"/>
        <v>土地级别</v>
      </c>
      <c r="R34" s="1726" t="s">
        <v>25</v>
      </c>
      <c r="S34" s="1727">
        <f t="shared" si="10"/>
        <v>100</v>
      </c>
      <c r="T34" s="1726" t="s">
        <v>25</v>
      </c>
      <c r="U34" s="1727">
        <f t="shared" si="11"/>
        <v>100</v>
      </c>
      <c r="V34" s="1726" t="s">
        <v>25</v>
      </c>
      <c r="W34" s="1727">
        <f t="shared" si="12"/>
        <v>100</v>
      </c>
      <c r="X34" s="1666"/>
      <c r="Y34" s="343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4"/>
      <c r="Q35" s="1616">
        <f t="shared" si="8"/>
        <v>111</v>
      </c>
      <c r="R35" s="1726" t="s">
        <v>25</v>
      </c>
      <c r="S35" s="1727">
        <f t="shared" si="10"/>
        <v>100</v>
      </c>
      <c r="T35" s="1726" t="s">
        <v>25</v>
      </c>
      <c r="U35" s="1727">
        <f t="shared" si="11"/>
        <v>100</v>
      </c>
      <c r="V35" s="1726" t="s">
        <v>25</v>
      </c>
      <c r="W35" s="1727">
        <f t="shared" si="12"/>
        <v>100</v>
      </c>
      <c r="X35" s="1666"/>
      <c r="Y35" s="343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2" t="s">
        <v>2276</v>
      </c>
      <c r="Q36" s="1616">
        <f t="shared" si="8"/>
        <v>111</v>
      </c>
      <c r="R36" s="1726" t="s">
        <v>25</v>
      </c>
      <c r="S36" s="1727">
        <f t="shared" si="10"/>
        <v>100</v>
      </c>
      <c r="T36" s="1726" t="s">
        <v>25</v>
      </c>
      <c r="U36" s="1727">
        <f t="shared" si="11"/>
        <v>100</v>
      </c>
      <c r="V36" s="1726" t="s">
        <v>25</v>
      </c>
      <c r="W36" s="1727">
        <f t="shared" si="12"/>
        <v>100</v>
      </c>
      <c r="X36" s="1666"/>
      <c r="Y36" s="3438"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8"/>
      <c r="Q37" s="1616">
        <f t="shared" si="8"/>
        <v>111</v>
      </c>
      <c r="R37" s="1768" t="s">
        <v>25</v>
      </c>
      <c r="S37" s="1769">
        <f t="shared" si="10"/>
        <v>100</v>
      </c>
      <c r="T37" s="1768" t="s">
        <v>25</v>
      </c>
      <c r="U37" s="1769">
        <f t="shared" si="11"/>
        <v>100</v>
      </c>
      <c r="V37" s="1768" t="s">
        <v>25</v>
      </c>
      <c r="W37" s="1769">
        <f t="shared" si="12"/>
        <v>100</v>
      </c>
      <c r="X37" s="1770"/>
      <c r="Y37" s="3438"/>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8"/>
      <c r="Q38" s="1616" t="str">
        <f>B38</f>
        <v>宗地面积</v>
      </c>
      <c r="R38" s="1726" t="s">
        <v>25</v>
      </c>
      <c r="S38" s="1727" t="e">
        <f t="shared" si="10"/>
        <v>#N/A</v>
      </c>
      <c r="T38" s="1726" t="s">
        <v>25</v>
      </c>
      <c r="U38" s="1727" t="e">
        <f t="shared" si="11"/>
        <v>#N/A</v>
      </c>
      <c r="V38" s="1726" t="s">
        <v>25</v>
      </c>
      <c r="W38" s="1727" t="e">
        <f t="shared" si="12"/>
        <v>#N/A</v>
      </c>
      <c r="X38" s="1666"/>
      <c r="Y38" s="3438"/>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8"/>
      <c r="Q39" s="1616" t="str">
        <f t="shared" ref="Q39:Q45" si="14">B39</f>
        <v>宗地形状</v>
      </c>
      <c r="R39" s="1726" t="s">
        <v>25</v>
      </c>
      <c r="S39" s="1727">
        <f t="shared" si="10"/>
        <v>100</v>
      </c>
      <c r="T39" s="1726" t="s">
        <v>25</v>
      </c>
      <c r="U39" s="1727">
        <f t="shared" si="11"/>
        <v>100</v>
      </c>
      <c r="V39" s="1726" t="s">
        <v>25</v>
      </c>
      <c r="W39" s="1727">
        <f t="shared" si="12"/>
        <v>100</v>
      </c>
      <c r="X39" s="1666"/>
      <c r="Y39" s="3438"/>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8"/>
      <c r="Q40" s="1616" t="str">
        <f t="shared" si="14"/>
        <v>临街宽度及深度</v>
      </c>
      <c r="R40" s="1726" t="s">
        <v>25</v>
      </c>
      <c r="S40" s="1727">
        <f t="shared" si="10"/>
        <v>100</v>
      </c>
      <c r="T40" s="1726" t="s">
        <v>25</v>
      </c>
      <c r="U40" s="1727">
        <f t="shared" si="11"/>
        <v>100</v>
      </c>
      <c r="V40" s="1726" t="s">
        <v>25</v>
      </c>
      <c r="W40" s="1727">
        <f t="shared" si="12"/>
        <v>100</v>
      </c>
      <c r="X40" s="1666"/>
      <c r="Y40" s="3438"/>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8"/>
      <c r="Q41" s="1616" t="str">
        <f t="shared" si="14"/>
        <v>宗地开发程度</v>
      </c>
      <c r="R41" s="1681" t="s">
        <v>25</v>
      </c>
      <c r="S41" s="1682">
        <f t="shared" si="10"/>
        <v>100</v>
      </c>
      <c r="T41" s="1681" t="s">
        <v>25</v>
      </c>
      <c r="U41" s="1682">
        <f t="shared" si="11"/>
        <v>100</v>
      </c>
      <c r="V41" s="1681" t="s">
        <v>25</v>
      </c>
      <c r="W41" s="1682">
        <f t="shared" si="12"/>
        <v>100</v>
      </c>
      <c r="X41" s="1683"/>
      <c r="Y41" s="3438"/>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8" t="s">
        <v>2276</v>
      </c>
      <c r="Q42" s="1616" t="str">
        <f t="shared" si="14"/>
        <v>工程地质条件</v>
      </c>
      <c r="R42" s="1726" t="s">
        <v>25</v>
      </c>
      <c r="S42" s="1727">
        <f t="shared" si="10"/>
        <v>100</v>
      </c>
      <c r="T42" s="1726" t="s">
        <v>25</v>
      </c>
      <c r="U42" s="1727">
        <f t="shared" si="11"/>
        <v>100</v>
      </c>
      <c r="V42" s="1726" t="s">
        <v>25</v>
      </c>
      <c r="W42" s="1727">
        <f t="shared" si="12"/>
        <v>100</v>
      </c>
      <c r="X42" s="1666"/>
      <c r="Y42" s="3438"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8"/>
      <c r="Q43" s="1616">
        <f t="shared" si="14"/>
        <v>111</v>
      </c>
      <c r="R43" s="1726" t="s">
        <v>25</v>
      </c>
      <c r="S43" s="1727">
        <f t="shared" si="10"/>
        <v>100</v>
      </c>
      <c r="T43" s="1726" t="s">
        <v>25</v>
      </c>
      <c r="U43" s="1727">
        <f t="shared" si="11"/>
        <v>100</v>
      </c>
      <c r="V43" s="1726" t="s">
        <v>25</v>
      </c>
      <c r="W43" s="1727">
        <f t="shared" si="12"/>
        <v>100</v>
      </c>
      <c r="X43" s="1666"/>
      <c r="Y43" s="343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8"/>
      <c r="Q44" s="1616">
        <f t="shared" si="14"/>
        <v>111</v>
      </c>
      <c r="R44" s="1726" t="s">
        <v>25</v>
      </c>
      <c r="S44" s="1727">
        <f t="shared" si="10"/>
        <v>100</v>
      </c>
      <c r="T44" s="1726" t="s">
        <v>25</v>
      </c>
      <c r="U44" s="1727">
        <f t="shared" si="11"/>
        <v>100</v>
      </c>
      <c r="V44" s="1726" t="s">
        <v>25</v>
      </c>
      <c r="W44" s="1727">
        <f t="shared" si="12"/>
        <v>100</v>
      </c>
      <c r="X44" s="1666"/>
      <c r="Y44" s="343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8"/>
      <c r="Q45" s="1616">
        <f t="shared" si="14"/>
        <v>111</v>
      </c>
      <c r="R45" s="1768" t="s">
        <v>25</v>
      </c>
      <c r="S45" s="1769">
        <f t="shared" si="10"/>
        <v>100</v>
      </c>
      <c r="T45" s="1768" t="s">
        <v>25</v>
      </c>
      <c r="U45" s="1769">
        <f t="shared" si="11"/>
        <v>100</v>
      </c>
      <c r="V45" s="1768" t="s">
        <v>25</v>
      </c>
      <c r="W45" s="1769">
        <f t="shared" si="12"/>
        <v>100</v>
      </c>
      <c r="X45" s="1770"/>
      <c r="Y45" s="3438"/>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0" t="str">
        <f>A46</f>
        <v>成交单价</v>
      </c>
      <c r="Q46" s="3430"/>
      <c r="R46" s="3467">
        <f>E46</f>
        <v>0</v>
      </c>
      <c r="S46" s="3467"/>
      <c r="T46" s="3467">
        <f>G46</f>
        <v>0</v>
      </c>
      <c r="U46" s="3467"/>
      <c r="V46" s="3467">
        <f>I46</f>
        <v>0</v>
      </c>
      <c r="W46" s="3467"/>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3"/>
      <c r="P47" s="3430" t="str">
        <f>A47</f>
        <v>比较价值（元/平方米）</v>
      </c>
      <c r="Q47" s="3430"/>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27" t="str">
        <f>A48</f>
        <v>估价对象XX用房的比较价值（楼面单价，元/平方米）</v>
      </c>
      <c r="Q48" s="3428"/>
      <c r="R48" s="3516" t="e">
        <f>ROUND(IF(D47="简单平均",AVERAGE(R47:W47),R47*F47+T47*H47+V47*J47),0)</f>
        <v>#DIV/0!</v>
      </c>
      <c r="S48" s="3516"/>
      <c r="T48" s="3516"/>
      <c r="U48" s="3516"/>
      <c r="V48" s="3516"/>
      <c r="W48" s="3516"/>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0"/>
      <c r="L58" s="3004"/>
      <c r="M58" s="1814"/>
      <c r="N58" s="1814"/>
    </row>
    <row r="59" spans="1:14" s="2032" customFormat="1">
      <c r="A59" s="2033" t="s">
        <v>2467</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2468</v>
      </c>
      <c r="B60" s="2034" t="e">
        <f t="shared" si="16"/>
        <v>#DIV/0!</v>
      </c>
      <c r="C60" s="50">
        <f t="shared" si="17"/>
        <v>0.2</v>
      </c>
      <c r="D60" s="2035">
        <v>0.25</v>
      </c>
      <c r="E60" s="2029">
        <v>0</v>
      </c>
      <c r="F60" s="2030" t="e">
        <f t="shared" si="15"/>
        <v>#DIV/0!</v>
      </c>
      <c r="G60" s="2031">
        <f>SUMIF(修正!$A$45:$A$56,项目基本情况!$F$9,修正!E45:E56)</f>
        <v>0.2</v>
      </c>
      <c r="H60" s="2036"/>
      <c r="I60" s="1814"/>
      <c r="J60" s="1814"/>
      <c r="K60" s="3010"/>
      <c r="L60" s="3004"/>
      <c r="M60" s="1814"/>
      <c r="N60" s="1814"/>
    </row>
    <row r="61" spans="1:14" s="2032" customFormat="1">
      <c r="A61" s="2033" t="s">
        <v>2469</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2470</v>
      </c>
      <c r="B62" s="2034" t="e">
        <f t="shared" si="16"/>
        <v>#DIV/0!</v>
      </c>
      <c r="C62" s="50">
        <f t="shared" si="17"/>
        <v>0.2</v>
      </c>
      <c r="D62" s="2035">
        <v>0.25</v>
      </c>
      <c r="E62" s="2029">
        <v>0</v>
      </c>
      <c r="F62" s="2030" t="e">
        <f t="shared" si="15"/>
        <v>#DIV/0!</v>
      </c>
      <c r="G62" s="2031">
        <f>SUMIF(修正!A45:A56,项目基本情况!F9,修正!G45:G56)</f>
        <v>0.2</v>
      </c>
      <c r="H62" s="2036"/>
      <c r="I62" s="1814"/>
      <c r="J62" s="1814"/>
      <c r="K62" s="3010"/>
      <c r="L62" s="3004"/>
      <c r="M62" s="1814"/>
      <c r="N62" s="1814"/>
    </row>
    <row r="63" spans="1:14" s="2032" customFormat="1">
      <c r="A63" s="2033" t="s">
        <v>2471</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2472</v>
      </c>
      <c r="B64" s="2034" t="e">
        <f t="shared" si="16"/>
        <v>#DIV/0!</v>
      </c>
      <c r="C64" s="50">
        <f t="shared" si="17"/>
        <v>0.15</v>
      </c>
      <c r="D64" s="2035">
        <v>0.25</v>
      </c>
      <c r="E64" s="2029">
        <v>0</v>
      </c>
      <c r="F64" s="2030" t="e">
        <f t="shared" si="15"/>
        <v>#DIV/0!</v>
      </c>
      <c r="G64" s="2031">
        <f>G63</f>
        <v>0.15</v>
      </c>
      <c r="H64" s="2036"/>
      <c r="I64" s="1814"/>
      <c r="J64" s="1814"/>
      <c r="K64" s="3010"/>
      <c r="L64" s="3004"/>
      <c r="M64" s="1814"/>
      <c r="N64" s="1814"/>
    </row>
    <row r="65" spans="1:17" s="2032" customFormat="1">
      <c r="A65" s="2033" t="s">
        <v>2473</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2021-9-1</v>
      </c>
      <c r="D68" s="2041">
        <f>EDATE(C68,-3)</f>
        <v>44348</v>
      </c>
      <c r="E68" s="2041">
        <f t="shared" ref="E68:O68" si="18">EDATE(D68,-3)</f>
        <v>44256</v>
      </c>
      <c r="F68" s="2041">
        <f t="shared" si="18"/>
        <v>44166</v>
      </c>
      <c r="G68" s="2041">
        <f t="shared" si="18"/>
        <v>44075</v>
      </c>
      <c r="H68" s="2041">
        <f t="shared" si="18"/>
        <v>43983</v>
      </c>
      <c r="I68" s="2041">
        <f t="shared" si="18"/>
        <v>43891</v>
      </c>
      <c r="J68" s="2041">
        <f t="shared" si="18"/>
        <v>43800</v>
      </c>
      <c r="K68" s="2041">
        <f t="shared" si="18"/>
        <v>43709</v>
      </c>
      <c r="L68" s="2041">
        <f t="shared" si="18"/>
        <v>43617</v>
      </c>
      <c r="M68" s="2041">
        <f t="shared" si="18"/>
        <v>43525</v>
      </c>
      <c r="N68" s="2041">
        <f t="shared" si="18"/>
        <v>43435</v>
      </c>
      <c r="O68" s="2041">
        <f t="shared" si="18"/>
        <v>43344</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2476</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44461</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105</v>
      </c>
      <c r="G10" s="322"/>
      <c r="H10" s="29">
        <f>ROUND(100/'数据-取费表'!B14,0)</f>
        <v>105</v>
      </c>
      <c r="I10" s="322"/>
      <c r="J10" s="29">
        <f>ROUND(100/'数据-取费表'!B14,0)</f>
        <v>105</v>
      </c>
      <c r="K10" s="553"/>
      <c r="L10" s="3030"/>
      <c r="M10" s="3031"/>
      <c r="N10" s="3031"/>
      <c r="O10" s="3032"/>
      <c r="P10" s="3473"/>
      <c r="Q10" s="1327" t="str">
        <f t="shared" si="6"/>
        <v>土地使用年限（年）</v>
      </c>
      <c r="R10" s="627" t="s">
        <v>25</v>
      </c>
      <c r="S10" s="628">
        <f t="shared" si="0"/>
        <v>105</v>
      </c>
      <c r="T10" s="627" t="s">
        <v>25</v>
      </c>
      <c r="U10" s="628">
        <f t="shared" si="1"/>
        <v>105</v>
      </c>
      <c r="V10" s="627" t="s">
        <v>25</v>
      </c>
      <c r="W10" s="628">
        <f t="shared" si="2"/>
        <v>105</v>
      </c>
      <c r="X10" s="629"/>
      <c r="Y10" s="3492"/>
      <c r="Z10" s="19" t="str">
        <f t="shared" si="7"/>
        <v>土地使用年限（年）</v>
      </c>
      <c r="AA10" s="630">
        <f t="shared" si="3"/>
        <v>0.95238095238095233</v>
      </c>
      <c r="AB10" s="630">
        <f t="shared" si="4"/>
        <v>0.95238095238095233</v>
      </c>
      <c r="AC10" s="630">
        <f t="shared" si="5"/>
        <v>0.95238095238095233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1"/>
      <c r="Q16" s="1334"/>
      <c r="R16" s="631"/>
      <c r="S16" s="632"/>
      <c r="T16" s="631"/>
      <c r="U16" s="632"/>
      <c r="V16" s="631"/>
      <c r="W16" s="632"/>
      <c r="X16" s="1335"/>
      <c r="Y16" s="349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1"/>
      <c r="Q18" s="1334"/>
      <c r="R18" s="631"/>
      <c r="S18" s="632"/>
      <c r="T18" s="631"/>
      <c r="U18" s="632"/>
      <c r="V18" s="631"/>
      <c r="W18" s="632"/>
      <c r="X18" s="1335"/>
      <c r="Y18" s="349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1"/>
      <c r="Q19" s="1334" t="str">
        <f t="shared" ref="Q19:Q33" si="8">B19</f>
        <v>区域土地利用方向</v>
      </c>
      <c r="R19" s="631" t="s">
        <v>25</v>
      </c>
      <c r="S19" s="632">
        <f>F19</f>
        <v>100</v>
      </c>
      <c r="T19" s="631" t="s">
        <v>25</v>
      </c>
      <c r="U19" s="632">
        <f>H19</f>
        <v>100</v>
      </c>
      <c r="V19" s="631" t="s">
        <v>25</v>
      </c>
      <c r="W19" s="632">
        <f>J19</f>
        <v>100</v>
      </c>
      <c r="X19" s="1335"/>
      <c r="Y19" s="349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1"/>
      <c r="Q20" s="1334"/>
      <c r="R20" s="631"/>
      <c r="S20" s="632"/>
      <c r="T20" s="631"/>
      <c r="U20" s="632"/>
      <c r="V20" s="631"/>
      <c r="W20" s="632"/>
      <c r="X20" s="1335"/>
      <c r="Y20" s="349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1"/>
      <c r="Q21" s="1334" t="str">
        <f t="shared" si="8"/>
        <v>环境状况</v>
      </c>
      <c r="R21" s="631" t="s">
        <v>25</v>
      </c>
      <c r="S21" s="632">
        <f>F21</f>
        <v>100</v>
      </c>
      <c r="T21" s="631" t="s">
        <v>25</v>
      </c>
      <c r="U21" s="632">
        <f>H21</f>
        <v>100</v>
      </c>
      <c r="V21" s="631" t="s">
        <v>25</v>
      </c>
      <c r="W21" s="632">
        <f>J21</f>
        <v>100</v>
      </c>
      <c r="X21" s="1335"/>
      <c r="Y21" s="349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1"/>
      <c r="Q22" s="1334"/>
      <c r="R22" s="631"/>
      <c r="S22" s="632"/>
      <c r="T22" s="631"/>
      <c r="U22" s="632"/>
      <c r="V22" s="631"/>
      <c r="W22" s="632"/>
      <c r="X22" s="1335"/>
      <c r="Y22" s="349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1"/>
      <c r="Q23" s="1327" t="str">
        <f t="shared" si="8"/>
        <v>公共配套设施</v>
      </c>
      <c r="R23" s="627" t="s">
        <v>25</v>
      </c>
      <c r="S23" s="628">
        <f>F23</f>
        <v>100</v>
      </c>
      <c r="T23" s="627" t="s">
        <v>25</v>
      </c>
      <c r="U23" s="628">
        <f>H23</f>
        <v>100</v>
      </c>
      <c r="V23" s="627" t="s">
        <v>25</v>
      </c>
      <c r="W23" s="628">
        <f>J23</f>
        <v>100</v>
      </c>
      <c r="X23" s="629"/>
      <c r="Y23" s="349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1"/>
      <c r="Q24" s="1327"/>
      <c r="R24" s="627"/>
      <c r="S24" s="628"/>
      <c r="T24" s="627"/>
      <c r="U24" s="628"/>
      <c r="V24" s="627"/>
      <c r="W24" s="628"/>
      <c r="X24" s="629"/>
      <c r="Y24" s="349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1"/>
      <c r="Q25" s="1327"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1"/>
      <c r="Q26" s="1327"/>
      <c r="R26" s="627"/>
      <c r="S26" s="628"/>
      <c r="T26" s="627"/>
      <c r="U26" s="628"/>
      <c r="V26" s="627"/>
      <c r="W26" s="628"/>
      <c r="X26" s="629"/>
      <c r="Y26" s="349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1"/>
      <c r="Q28" s="1334" t="str">
        <f t="shared" si="8"/>
        <v>毗邻道路的类型与等级</v>
      </c>
      <c r="R28" s="631" t="s">
        <v>25</v>
      </c>
      <c r="S28" s="632">
        <f t="shared" si="10"/>
        <v>100</v>
      </c>
      <c r="T28" s="631" t="s">
        <v>25</v>
      </c>
      <c r="U28" s="632">
        <f t="shared" si="11"/>
        <v>100</v>
      </c>
      <c r="V28" s="631" t="s">
        <v>25</v>
      </c>
      <c r="W28" s="632">
        <f t="shared" si="12"/>
        <v>100</v>
      </c>
      <c r="X28" s="1335"/>
      <c r="Y28" s="349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1"/>
      <c r="Q29" s="1334"/>
      <c r="R29" s="631"/>
      <c r="S29" s="632"/>
      <c r="T29" s="631"/>
      <c r="U29" s="632"/>
      <c r="V29" s="631"/>
      <c r="W29" s="632"/>
      <c r="X29" s="1335"/>
      <c r="Y29" s="349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1"/>
      <c r="Q30" s="1334" t="str">
        <f t="shared" si="8"/>
        <v>土地级别</v>
      </c>
      <c r="R30" s="631" t="s">
        <v>25</v>
      </c>
      <c r="S30" s="632">
        <f t="shared" si="10"/>
        <v>100</v>
      </c>
      <c r="T30" s="631" t="s">
        <v>25</v>
      </c>
      <c r="U30" s="632">
        <f t="shared" si="11"/>
        <v>100</v>
      </c>
      <c r="V30" s="631" t="s">
        <v>25</v>
      </c>
      <c r="W30" s="632">
        <f t="shared" si="12"/>
        <v>100</v>
      </c>
      <c r="X30" s="1335"/>
      <c r="Y30" s="349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1"/>
      <c r="Q31" s="1334">
        <f t="shared" si="8"/>
        <v>111</v>
      </c>
      <c r="R31" s="631" t="s">
        <v>25</v>
      </c>
      <c r="S31" s="632">
        <f t="shared" si="10"/>
        <v>100</v>
      </c>
      <c r="T31" s="631" t="s">
        <v>25</v>
      </c>
      <c r="U31" s="632">
        <f t="shared" si="11"/>
        <v>100</v>
      </c>
      <c r="V31" s="631" t="s">
        <v>25</v>
      </c>
      <c r="W31" s="632">
        <f t="shared" si="12"/>
        <v>100</v>
      </c>
      <c r="X31" s="1335"/>
      <c r="Y31" s="349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8" t="s">
        <v>2276</v>
      </c>
      <c r="Q32" s="1334">
        <f t="shared" si="8"/>
        <v>111</v>
      </c>
      <c r="R32" s="631" t="s">
        <v>25</v>
      </c>
      <c r="S32" s="632">
        <f t="shared" si="10"/>
        <v>100</v>
      </c>
      <c r="T32" s="631" t="s">
        <v>25</v>
      </c>
      <c r="U32" s="632">
        <f t="shared" si="11"/>
        <v>100</v>
      </c>
      <c r="V32" s="631" t="s">
        <v>25</v>
      </c>
      <c r="W32" s="632">
        <f t="shared" si="12"/>
        <v>100</v>
      </c>
      <c r="X32" s="1335"/>
      <c r="Y32" s="347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79"/>
      <c r="Q33" s="1334">
        <f t="shared" si="8"/>
        <v>111</v>
      </c>
      <c r="R33" s="634" t="s">
        <v>25</v>
      </c>
      <c r="S33" s="635">
        <f t="shared" si="10"/>
        <v>100</v>
      </c>
      <c r="T33" s="634" t="s">
        <v>25</v>
      </c>
      <c r="U33" s="635">
        <f t="shared" si="11"/>
        <v>100</v>
      </c>
      <c r="V33" s="634" t="s">
        <v>25</v>
      </c>
      <c r="W33" s="635">
        <f t="shared" si="12"/>
        <v>100</v>
      </c>
      <c r="X33" s="636"/>
      <c r="Y33" s="347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79"/>
      <c r="Q34" s="1334" t="str">
        <f>B34</f>
        <v>宗地面积</v>
      </c>
      <c r="R34" s="631" t="s">
        <v>25</v>
      </c>
      <c r="S34" s="632" t="e">
        <f t="shared" si="10"/>
        <v>#N/A</v>
      </c>
      <c r="T34" s="631" t="s">
        <v>25</v>
      </c>
      <c r="U34" s="632" t="e">
        <f t="shared" si="11"/>
        <v>#N/A</v>
      </c>
      <c r="V34" s="631" t="s">
        <v>25</v>
      </c>
      <c r="W34" s="632" t="e">
        <f t="shared" si="12"/>
        <v>#N/A</v>
      </c>
      <c r="X34" s="1335"/>
      <c r="Y34" s="347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79"/>
      <c r="Q35" s="1334" t="str">
        <f t="shared" ref="Q35:Q40" si="14">B35</f>
        <v>宗地形状</v>
      </c>
      <c r="R35" s="631" t="s">
        <v>25</v>
      </c>
      <c r="S35" s="632">
        <f t="shared" si="10"/>
        <v>100</v>
      </c>
      <c r="T35" s="631" t="s">
        <v>25</v>
      </c>
      <c r="U35" s="632">
        <f t="shared" si="11"/>
        <v>100</v>
      </c>
      <c r="V35" s="631" t="s">
        <v>25</v>
      </c>
      <c r="W35" s="632">
        <f t="shared" si="12"/>
        <v>100</v>
      </c>
      <c r="X35" s="1335"/>
      <c r="Y35" s="347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79"/>
      <c r="Q36" s="1334"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79" t="s">
        <v>2276</v>
      </c>
      <c r="Q37" s="1334" t="str">
        <f t="shared" si="14"/>
        <v>工程地质条件</v>
      </c>
      <c r="R37" s="631" t="s">
        <v>25</v>
      </c>
      <c r="S37" s="632">
        <f t="shared" si="10"/>
        <v>100</v>
      </c>
      <c r="T37" s="631" t="s">
        <v>25</v>
      </c>
      <c r="U37" s="632">
        <f t="shared" si="11"/>
        <v>100</v>
      </c>
      <c r="V37" s="631" t="s">
        <v>25</v>
      </c>
      <c r="W37" s="632">
        <f t="shared" si="12"/>
        <v>100</v>
      </c>
      <c r="X37" s="1335"/>
      <c r="Y37" s="347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79"/>
      <c r="Q38" s="1334">
        <f t="shared" si="14"/>
        <v>111</v>
      </c>
      <c r="R38" s="631" t="s">
        <v>25</v>
      </c>
      <c r="S38" s="632">
        <f t="shared" si="10"/>
        <v>100</v>
      </c>
      <c r="T38" s="631" t="s">
        <v>25</v>
      </c>
      <c r="U38" s="632">
        <f t="shared" si="11"/>
        <v>100</v>
      </c>
      <c r="V38" s="631" t="s">
        <v>25</v>
      </c>
      <c r="W38" s="632">
        <f t="shared" si="12"/>
        <v>100</v>
      </c>
      <c r="X38" s="1335"/>
      <c r="Y38" s="347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79"/>
      <c r="Q39" s="1334">
        <f t="shared" si="14"/>
        <v>111</v>
      </c>
      <c r="R39" s="631" t="s">
        <v>25</v>
      </c>
      <c r="S39" s="632">
        <f t="shared" si="10"/>
        <v>100</v>
      </c>
      <c r="T39" s="631" t="s">
        <v>25</v>
      </c>
      <c r="U39" s="632">
        <f t="shared" si="11"/>
        <v>100</v>
      </c>
      <c r="V39" s="631" t="s">
        <v>25</v>
      </c>
      <c r="W39" s="632">
        <f t="shared" si="12"/>
        <v>100</v>
      </c>
      <c r="X39" s="1335"/>
      <c r="Y39" s="347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79"/>
      <c r="Q40" s="1334">
        <f t="shared" si="14"/>
        <v>111</v>
      </c>
      <c r="R40" s="634" t="s">
        <v>25</v>
      </c>
      <c r="S40" s="635">
        <f t="shared" si="10"/>
        <v>100</v>
      </c>
      <c r="T40" s="634" t="s">
        <v>25</v>
      </c>
      <c r="U40" s="635">
        <f t="shared" si="11"/>
        <v>100</v>
      </c>
      <c r="V40" s="634" t="s">
        <v>25</v>
      </c>
      <c r="W40" s="635">
        <f t="shared" si="12"/>
        <v>100</v>
      </c>
      <c r="X40" s="636"/>
      <c r="Y40" s="347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2467</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2468</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2021-9-1</v>
      </c>
      <c r="D63" s="1182">
        <f>EDATE(C63,-3)</f>
        <v>44348</v>
      </c>
      <c r="E63" s="1182">
        <f t="shared" ref="E63:O63" si="18">EDATE(D63,-3)</f>
        <v>44256</v>
      </c>
      <c r="F63" s="1182">
        <f t="shared" si="18"/>
        <v>44166</v>
      </c>
      <c r="G63" s="1182">
        <f t="shared" si="18"/>
        <v>44075</v>
      </c>
      <c r="H63" s="1182">
        <f t="shared" si="18"/>
        <v>43983</v>
      </c>
      <c r="I63" s="1182">
        <f t="shared" si="18"/>
        <v>43891</v>
      </c>
      <c r="J63" s="1182">
        <f t="shared" si="18"/>
        <v>43800</v>
      </c>
      <c r="K63" s="1182">
        <f t="shared" si="18"/>
        <v>43709</v>
      </c>
      <c r="L63" s="1182">
        <f t="shared" si="18"/>
        <v>43617</v>
      </c>
      <c r="M63" s="1182">
        <f t="shared" si="18"/>
        <v>43525</v>
      </c>
      <c r="N63" s="1182">
        <f t="shared" si="18"/>
        <v>43435</v>
      </c>
      <c r="O63" s="1182">
        <f t="shared" si="18"/>
        <v>43344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估价对象为北京市房地产，为XX所有。根据《》[]，估价对象建筑面积为85.14平方米。根据《》[]，估价对象（分摊）出让国有建设用地使用权面积为平方米。估价对象用途为。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2021年9月22日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本次估价的“房地产价值”是指在正常市场情况下，在价值时点2021年9月22日，估价对象规划用途为，假定未设立法定优先受偿款下的房地产市场价值。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0" zoomScaleNormal="90" zoomScaleSheetLayoutView="80" workbookViewId="0">
      <selection activeCell="F62" sqref="F6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85.14</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0</v>
      </c>
      <c r="C2" s="2108" t="s">
        <v>2505</v>
      </c>
      <c r="D2" s="1602" t="s">
        <v>2506</v>
      </c>
      <c r="E2" s="2109" t="s">
        <v>2899</v>
      </c>
      <c r="F2" s="1602" t="s">
        <v>2507</v>
      </c>
      <c r="G2" s="2110" t="str">
        <f>项目基本情况!F9</f>
        <v>八级</v>
      </c>
      <c r="H2" s="1603" t="s">
        <v>2508</v>
      </c>
      <c r="I2" s="2110" t="str">
        <f>项目基本情况!F10</f>
        <v>Ⅷ-通3</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2510</v>
      </c>
      <c r="B3" s="1659">
        <f>ROUND(B2/D1,0)</f>
        <v>0</v>
      </c>
      <c r="C3" s="2108" t="s">
        <v>2511</v>
      </c>
      <c r="D3" s="1602" t="s">
        <v>2512</v>
      </c>
      <c r="E3" s="2109" t="s">
        <v>2908</v>
      </c>
      <c r="F3" s="1604" t="s">
        <v>2513</v>
      </c>
      <c r="G3" s="2116">
        <f>项目基本情况!C15</f>
        <v>0</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5320</v>
      </c>
      <c r="D5" s="2119">
        <f>ROUND(C6+C16,0)</f>
        <v>5320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5320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2527</v>
      </c>
      <c r="X7" s="2137" t="str">
        <f>G2</f>
        <v>八级</v>
      </c>
      <c r="Y7" s="2137" t="s">
        <v>2528</v>
      </c>
      <c r="Z7" s="2138">
        <f>G3</f>
        <v>0</v>
      </c>
      <c r="AA7" s="2105"/>
      <c r="AB7" s="2105"/>
      <c r="AC7" s="2105"/>
      <c r="AD7" s="2106"/>
      <c r="AE7" s="2106"/>
      <c r="AF7" s="2106"/>
      <c r="AG7" s="2106"/>
      <c r="AH7" s="2106"/>
      <c r="AI7" s="2106"/>
      <c r="AJ7" s="2107"/>
    </row>
    <row r="8" spans="1:36" ht="15">
      <c r="A8" s="3526"/>
      <c r="B8" s="50" t="s">
        <v>2529</v>
      </c>
      <c r="C8" s="2139" t="s">
        <v>2909</v>
      </c>
      <c r="D8" s="65" t="s">
        <v>89</v>
      </c>
      <c r="E8" s="2140" t="e">
        <f>ROUND(C11/E7,4)</f>
        <v>#DIV/0!</v>
      </c>
      <c r="F8" s="2141" t="s">
        <v>2530</v>
      </c>
      <c r="G8" s="2142"/>
      <c r="H8" s="2142"/>
      <c r="I8" s="2142"/>
      <c r="J8" s="2143"/>
      <c r="K8" s="3050"/>
      <c r="L8" s="2112" t="s">
        <v>2531</v>
      </c>
      <c r="M8" s="2113">
        <f>SUMPRODUCT((区片价!B206:B244=I2)*(区片价!C3:F3=E2)*(区片价!C206:F244))</f>
        <v>5320</v>
      </c>
      <c r="N8" s="2114">
        <f>SUMPRODUCT((因素修正幅度!B206:B244=I2)*(因素修正幅度!C3:F3=E2)*(因素修正幅度!C206:F244))</f>
        <v>0.15</v>
      </c>
      <c r="O8" s="3050"/>
      <c r="P8" s="3050"/>
      <c r="Q8" s="3050"/>
      <c r="R8" s="2104">
        <v>7</v>
      </c>
      <c r="S8" s="2115"/>
      <c r="T8" s="2104">
        <f t="shared" si="0"/>
        <v>0</v>
      </c>
      <c r="U8" s="2115"/>
      <c r="V8" s="2104">
        <f t="shared" si="1"/>
        <v>0</v>
      </c>
      <c r="W8" s="3519" t="s">
        <v>2532</v>
      </c>
      <c r="X8" s="3520"/>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26"/>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0"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0" t="s">
        <v>2556</v>
      </c>
      <c r="X11" s="2153" t="s">
        <v>2557</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25"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0"/>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2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27"/>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28"/>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9">
        <f>IF(E2="办公",2,IF(E2="工业",2,IF(E2="住宅",3,IF(E2="商业",IF(C8="不临58条商业街",2,3)))))</f>
        <v>2</v>
      </c>
      <c r="B16" s="1631" t="s">
        <v>2578</v>
      </c>
      <c r="C16" s="1607">
        <f>ROUND(IF(F17="与级别开发程度一致",0,(G17-E17)/C17),0)</f>
        <v>0</v>
      </c>
      <c r="D16" s="3542" t="s">
        <v>2582</v>
      </c>
      <c r="E16" s="3543"/>
      <c r="F16" s="3542" t="s">
        <v>2579</v>
      </c>
      <c r="G16" s="3543"/>
      <c r="H16" s="2175" t="s">
        <v>2910</v>
      </c>
      <c r="I16" s="2175" t="s">
        <v>2911</v>
      </c>
      <c r="J16" s="2176" t="s">
        <v>2912</v>
      </c>
      <c r="K16" s="2175" t="s">
        <v>2913</v>
      </c>
      <c r="L16" s="2175" t="s">
        <v>2914</v>
      </c>
      <c r="M16" s="2175"/>
      <c r="N16" s="2175"/>
      <c r="O16" s="2177" t="s">
        <v>2915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0"/>
      <c r="B17" s="1632" t="s">
        <v>2581</v>
      </c>
      <c r="C17" s="2178">
        <f>SUMPRODUCT((修正!A2:A5=E2)*(修正!B1:M1=G2)*(修正!B2:M5))</f>
        <v>2</v>
      </c>
      <c r="D17" s="2172" t="str">
        <f>IF(OR(G2="八级",G2="九级",G2="十级",G2="十一级",G2="十二级"),"五通一平","七通一平")</f>
        <v>五通一平</v>
      </c>
      <c r="E17" s="2179">
        <f>SUMPRODUCT((修正!B1:M1=G2)*(修正!B15:M15))</f>
        <v>155</v>
      </c>
      <c r="F17" s="2180" t="s">
        <v>2889</v>
      </c>
      <c r="G17" s="1621">
        <f>SUM(H17:O17)</f>
        <v>155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0</v>
      </c>
      <c r="N17" s="2178">
        <f>SUMPRODUCT((七通一平=N16)*(修正!B1:M1=G2)*(修正!B6:M14))</f>
        <v>0</v>
      </c>
      <c r="O17" s="2182">
        <f>SUMPRODUCT((七通一平=O16)*(修正!B1:M1=G2)*(修正!B6:M14))</f>
        <v>10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ROUND(IF(H19="按公示增长率计算",SUMPRODUCT((地价!A3:A35=YEAR(G19)&amp;"-"&amp;ROUNDUP(MONTH(G19)/3,0))*(地价!X2:AB2=E2)*(地价!X3:AB35)),IF(H19="地价指数",M20/M19,(1+I19)^O19)),4)</f>
        <v>1.3588</v>
      </c>
      <c r="D19" s="2190" t="s">
        <v>2588</v>
      </c>
      <c r="E19" s="2191">
        <v>41640</v>
      </c>
      <c r="F19" s="2190" t="s">
        <v>2589</v>
      </c>
      <c r="G19" s="2192">
        <f>'数据-取费表'!B2</f>
        <v>44461</v>
      </c>
      <c r="H19" s="2193" t="s">
        <v>2725</v>
      </c>
      <c r="I19" s="2194" t="str">
        <f>IF(H19="季度增幅（自定义）",SUMIF(N21:N24,E2,O21:O24),"")</f>
        <v/>
      </c>
      <c r="J19" s="2195"/>
      <c r="K19" s="3052"/>
      <c r="L19" s="2076" t="s">
        <v>2590</v>
      </c>
      <c r="M19" s="2196">
        <f>ROUND(SUMIF(地价!B2:F2,E2,地价!B35:F35),0)</f>
        <v>258</v>
      </c>
      <c r="N19" s="2197" t="s">
        <v>2591</v>
      </c>
      <c r="O19" s="2198">
        <f>ROUNDDOWN(DATEDIF(E19,G19,"M")/3,0)</f>
        <v>30</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0.9546</v>
      </c>
      <c r="D20" s="2202" t="s">
        <v>2594</v>
      </c>
      <c r="E20" s="3155">
        <f>存贷款利率!E18/100</f>
        <v>4.3499999999999997E-2</v>
      </c>
      <c r="F20" s="2202" t="s">
        <v>2583</v>
      </c>
      <c r="G20" s="3156">
        <f>SUMIF(M26:P26,E2,M28:P28)</f>
        <v>5.1999999999999998E-2</v>
      </c>
      <c r="H20" s="2202" t="s">
        <v>2595</v>
      </c>
      <c r="I20" s="2203">
        <f>'数据-取费表'!B13</f>
        <v>41.64</v>
      </c>
      <c r="J20" s="2204">
        <f>IF(E2="住宅",70,IF(E2="商业",40,50))</f>
        <v>50</v>
      </c>
      <c r="K20" s="3052"/>
      <c r="L20" s="2205" t="s">
        <v>2596</v>
      </c>
      <c r="M20" s="2206">
        <f>ROUND(SUMPRODUCT((地价!A4:A35=YEAR(G19)&amp;"-"&amp;ROUNDUP(MONTH(G19)/3,0))*(地价!B2:F2=E2)*(地价!B4:F35)),0)</f>
        <v>350</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52"/>
      <c r="L21" s="3052"/>
      <c r="M21" s="3052"/>
      <c r="N21" s="2213" t="s">
        <v>2602</v>
      </c>
      <c r="O21" s="2214"/>
      <c r="P21" s="2215">
        <f>SUMPRODUCT((地价!A3:A35=YEAR(G19)&amp;"-"&amp;ROUNDUP(MONTH(G19)/3,0))*(地价!AD2:AH2=N21)*(地价!AD3:AH35))</f>
        <v>1.0699999999999999E-2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2605</v>
      </c>
      <c r="O22" s="2214"/>
      <c r="P22" s="2215">
        <f>SUMPRODUCT((地价!A3:A35=YEAR(G19)&amp;"-"&amp;ROUNDUP(MONTH(G19)/3,0))*(地价!AD2:AH2=N22)*(地价!AD3:AH35))</f>
        <v>1.0699999999999999E-2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2607</v>
      </c>
      <c r="O23" s="2214"/>
      <c r="P23" s="2215">
        <f>SUMPRODUCT((地价!A3:A35=YEAR(G19)&amp;"-"&amp;ROUNDUP(MONTH(G19)/3,0))*(地价!AD2:AH2=N23)*(地价!AD3:AH35))</f>
        <v>1.8700000000000001E-2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1.024</v>
      </c>
      <c r="D24" s="2222"/>
      <c r="E24" s="2223"/>
      <c r="F24" s="2223"/>
      <c r="G24" s="2223"/>
      <c r="H24" s="2223"/>
      <c r="I24" s="2223"/>
      <c r="J24" s="2224"/>
      <c r="K24" s="3052"/>
      <c r="L24" s="3052"/>
      <c r="M24" s="3052"/>
      <c r="N24" s="2225" t="s">
        <v>2610</v>
      </c>
      <c r="O24" s="2226"/>
      <c r="P24" s="2227">
        <f>SUMPRODUCT((地价!A3:A35=YEAR(G19)&amp;"-"&amp;ROUNDUP(MONTH(G19)/3,0))*(地价!AD2:AH2=N24)*(地价!AD3:AH35))</f>
        <v>1.24E-2</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SUMPRODUCT((地价!A3:A35=YEAR(G19)&amp;"-"&amp;ROUNDUP(MONTH(G19)/3,0))*(地价!AD2:AH2=N25)*(地价!AD3:AH35))</f>
        <v>1.7000000000000001E-2</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IF(B21="容积率修正",E29+SUM(E33:E39),SUM(V2:V16)+SUM(E33:E39))</f>
        <v>0</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ROUND(C5*C18*C19*C20*C21*C24,0)</f>
        <v>0</v>
      </c>
      <c r="D29" s="2244">
        <f>项目基本情况!C12</f>
        <v>85.14</v>
      </c>
      <c r="E29" s="2031">
        <f>ROUND(C29*D29,0)</f>
        <v>0</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ROUND(IF(E2="工业",C29*M39,C29*M38),0)</f>
        <v>0</v>
      </c>
      <c r="D30" s="2249"/>
      <c r="E30" s="2031">
        <f>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9" t="s">
        <v>2628</v>
      </c>
      <c r="B33" s="2257" t="s">
        <v>2629</v>
      </c>
      <c r="C33" s="54">
        <f>ROUND(D5*C19*C20*C24*F33,0)</f>
        <v>4240</v>
      </c>
      <c r="D33" s="2244"/>
      <c r="E33" s="50">
        <f t="shared" ref="E33:E39" si="6">ROUND(C33*D33,0)</f>
        <v>0</v>
      </c>
      <c r="F33" s="50">
        <f>SUMIF(修正!A45:A56,G2,修正!B45:B56)</f>
        <v>0.6</v>
      </c>
      <c r="G33" s="50">
        <f t="shared" ref="G33" si="7">ROUND(IF(E2="工业",C33*$M$39,C33*$M$38),0)</f>
        <v>1060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0"/>
      <c r="B34" s="2162" t="s">
        <v>2630</v>
      </c>
      <c r="C34" s="54">
        <f>ROUND(D5*C19*C20*C24*F34,0)</f>
        <v>2120</v>
      </c>
      <c r="D34" s="2244"/>
      <c r="E34" s="50">
        <f t="shared" si="6"/>
        <v>0</v>
      </c>
      <c r="F34" s="50">
        <f>SUMIF(修正!A45:A56,G2,修正!C45:C56)</f>
        <v>0.3</v>
      </c>
      <c r="G34" s="50">
        <f>ROUND(IF(E2="工业",C34*$M$39,C34*$M$38),0)</f>
        <v>530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0"/>
      <c r="B35" s="2162" t="s">
        <v>2631</v>
      </c>
      <c r="C35" s="54">
        <f>ROUND(D5*C19*C20*C24*F35,0)</f>
        <v>1413</v>
      </c>
      <c r="D35" s="2244"/>
      <c r="E35" s="50">
        <f t="shared" si="6"/>
        <v>0</v>
      </c>
      <c r="F35" s="50">
        <f>SUMIF(修正!A45:A56,G2,修正!D45:D56)</f>
        <v>0.2</v>
      </c>
      <c r="G35" s="50">
        <f>ROUND(IF(E2="工业",C35*$M$39,C35*$M$38),0)</f>
        <v>353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1"/>
      <c r="B36" s="2162" t="s">
        <v>2632</v>
      </c>
      <c r="C36" s="54">
        <f>ROUND(D5*C19*C20*C24*F36,0)</f>
        <v>1413</v>
      </c>
      <c r="D36" s="2244"/>
      <c r="E36" s="50">
        <f t="shared" si="6"/>
        <v>0</v>
      </c>
      <c r="F36" s="50">
        <f>SUMIF(修正!A45:A56,G2,修正!E45:E56)</f>
        <v>0.2</v>
      </c>
      <c r="G36" s="50">
        <f>ROUND(IF(E2="工业",C36*$M$39,C36*$M$38),0)</f>
        <v>353</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ROUND(D5*C19*C20*C24*F37,0)</f>
        <v>1413</v>
      </c>
      <c r="D37" s="2244"/>
      <c r="E37" s="50">
        <f t="shared" si="6"/>
        <v>0</v>
      </c>
      <c r="F37" s="54">
        <f>SUMIF(修正!A45:A56,G2,修正!F45:F56)</f>
        <v>0.2</v>
      </c>
      <c r="G37" s="50">
        <f>ROUND(IF(E2="工业",C37*$M$39,C37*$M$38),0)</f>
        <v>353</v>
      </c>
      <c r="H37" s="50">
        <f t="shared" si="9"/>
        <v>0</v>
      </c>
      <c r="I37" s="50">
        <f t="shared"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0.2</v>
      </c>
      <c r="G38" s="50">
        <f>ROUND(IF(E2="工业",C38*$M$39,C38*$M$38),0)</f>
        <v>0</v>
      </c>
      <c r="H38" s="50">
        <f t="shared" si="9"/>
        <v>0</v>
      </c>
      <c r="I38" s="50">
        <f t="shared"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0.15</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5.1999999999999998E-2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1.024</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t="s">
        <v>31</v>
      </c>
      <c r="D59" s="2283">
        <f t="shared" ref="D59:D67" si="15">SUMIF($J$58:$N$58,C59,J59:N59)</f>
        <v>0</v>
      </c>
      <c r="E59" s="2284">
        <f>ROUND(SUM(D59:D67),4)</f>
        <v>2.4E-2</v>
      </c>
      <c r="F59" s="2285">
        <f>IF(E2="办公",SUMIF(L1:L12,G2,N1:N12),"——")</f>
        <v>0.15</v>
      </c>
      <c r="G59" s="2286">
        <f>H59</f>
        <v>1.7999999999999999E-2</v>
      </c>
      <c r="H59" s="2287">
        <f t="shared" ref="H59:H67" si="16">IFERROR(ROUNDDOWN($F$59*I59/2,4),"——")</f>
        <v>1.7999999999999999E-2</v>
      </c>
      <c r="I59" s="2288">
        <v>0.24</v>
      </c>
      <c r="J59" s="2289">
        <f t="shared" ref="J59:J67" si="17">K59+$G59</f>
        <v>3.5999999999999997E-2</v>
      </c>
      <c r="K59" s="2289">
        <f t="shared" ref="K59:K67" si="18">$L59+$G59</f>
        <v>1.7999999999999999E-2</v>
      </c>
      <c r="L59" s="2289">
        <v>0</v>
      </c>
      <c r="M59" s="2289">
        <f t="shared" ref="M59:N67" si="19">L59-$G59</f>
        <v>-1.7999999999999999E-2</v>
      </c>
      <c r="N59" s="2289">
        <f t="shared" si="19"/>
        <v>-3.5999999999999997E-2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t="s">
        <v>31</v>
      </c>
      <c r="D60" s="2283">
        <f t="shared" si="15"/>
        <v>0</v>
      </c>
      <c r="E60" s="2291"/>
      <c r="F60" s="2285"/>
      <c r="G60" s="2286">
        <f t="shared" ref="G60:G67" si="20">H60</f>
        <v>2.2499999999999999E-2</v>
      </c>
      <c r="H60" s="2287">
        <f t="shared" si="16"/>
        <v>2.2499999999999999E-2</v>
      </c>
      <c r="I60" s="2288">
        <v>0.3</v>
      </c>
      <c r="J60" s="2289">
        <f t="shared" si="17"/>
        <v>4.4999999999999998E-2</v>
      </c>
      <c r="K60" s="2289">
        <f t="shared" si="18"/>
        <v>2.2499999999999999E-2</v>
      </c>
      <c r="L60" s="2289">
        <v>0</v>
      </c>
      <c r="M60" s="2289">
        <f t="shared" si="19"/>
        <v>-2.2499999999999999E-2</v>
      </c>
      <c r="N60" s="2289">
        <f t="shared" si="19"/>
        <v>-4.4999999999999998E-2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t="s">
        <v>30</v>
      </c>
      <c r="D61" s="2283">
        <f t="shared" si="15"/>
        <v>6.0000000000000001E-3</v>
      </c>
      <c r="E61" s="2291"/>
      <c r="F61" s="2285"/>
      <c r="G61" s="2286">
        <f t="shared" si="20"/>
        <v>6.0000000000000001E-3</v>
      </c>
      <c r="H61" s="2287">
        <f t="shared" si="16"/>
        <v>6.0000000000000001E-3</v>
      </c>
      <c r="I61" s="2288">
        <v>0.08</v>
      </c>
      <c r="J61" s="2289">
        <f t="shared" si="17"/>
        <v>1.2E-2</v>
      </c>
      <c r="K61" s="2289">
        <f t="shared" si="18"/>
        <v>6.0000000000000001E-3</v>
      </c>
      <c r="L61" s="2289">
        <v>0</v>
      </c>
      <c r="M61" s="2289">
        <f t="shared" si="19"/>
        <v>-6.0000000000000001E-3</v>
      </c>
      <c r="N61" s="2289">
        <f t="shared" si="19"/>
        <v>-1.2E-2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t="s">
        <v>31</v>
      </c>
      <c r="D62" s="2283">
        <f t="shared" si="15"/>
        <v>0</v>
      </c>
      <c r="E62" s="2291"/>
      <c r="F62" s="2285"/>
      <c r="G62" s="2286">
        <f t="shared" si="20"/>
        <v>3.0000000000000001E-3</v>
      </c>
      <c r="H62" s="2287">
        <f t="shared" si="16"/>
        <v>3.0000000000000001E-3</v>
      </c>
      <c r="I62" s="2288">
        <v>0.04</v>
      </c>
      <c r="J62" s="2289">
        <f t="shared" si="17"/>
        <v>6.0000000000000001E-3</v>
      </c>
      <c r="K62" s="2289">
        <f t="shared" si="18"/>
        <v>3.0000000000000001E-3</v>
      </c>
      <c r="L62" s="2289">
        <v>0</v>
      </c>
      <c r="M62" s="2289">
        <f t="shared" si="19"/>
        <v>-3.0000000000000001E-3</v>
      </c>
      <c r="N62" s="2289">
        <f t="shared" si="19"/>
        <v>-6.0000000000000001E-3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t="s">
        <v>31</v>
      </c>
      <c r="D63" s="2283">
        <f t="shared" si="15"/>
        <v>0</v>
      </c>
      <c r="E63" s="2291"/>
      <c r="F63" s="2285"/>
      <c r="G63" s="2286">
        <f t="shared" si="20"/>
        <v>3.7000000000000002E-3</v>
      </c>
      <c r="H63" s="2287">
        <f t="shared" si="16"/>
        <v>3.7000000000000002E-3</v>
      </c>
      <c r="I63" s="2288">
        <v>0.05</v>
      </c>
      <c r="J63" s="2289">
        <f t="shared" si="17"/>
        <v>7.4000000000000003E-3</v>
      </c>
      <c r="K63" s="2289">
        <f t="shared" si="18"/>
        <v>3.7000000000000002E-3</v>
      </c>
      <c r="L63" s="2289">
        <v>0</v>
      </c>
      <c r="M63" s="2289">
        <f t="shared" si="19"/>
        <v>-3.7000000000000002E-3</v>
      </c>
      <c r="N63" s="2289">
        <f t="shared" si="19"/>
        <v>-7.4000000000000003E-3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t="s">
        <v>31</v>
      </c>
      <c r="D64" s="2283">
        <f t="shared" si="15"/>
        <v>0</v>
      </c>
      <c r="E64" s="2291"/>
      <c r="F64" s="2285"/>
      <c r="G64" s="2286">
        <f t="shared" si="20"/>
        <v>3.7000000000000002E-3</v>
      </c>
      <c r="H64" s="2287">
        <f t="shared" si="16"/>
        <v>3.7000000000000002E-3</v>
      </c>
      <c r="I64" s="2288">
        <v>0.05</v>
      </c>
      <c r="J64" s="2289">
        <f t="shared" si="17"/>
        <v>7.4000000000000003E-3</v>
      </c>
      <c r="K64" s="2289">
        <f t="shared" si="18"/>
        <v>3.7000000000000002E-3</v>
      </c>
      <c r="L64" s="2289">
        <v>0</v>
      </c>
      <c r="M64" s="2289">
        <f t="shared" si="19"/>
        <v>-3.7000000000000002E-3</v>
      </c>
      <c r="N64" s="2289">
        <f t="shared" si="19"/>
        <v>-7.4000000000000003E-3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t="s">
        <v>31</v>
      </c>
      <c r="D65" s="2283">
        <f t="shared" si="15"/>
        <v>0</v>
      </c>
      <c r="E65" s="2291"/>
      <c r="F65" s="2285"/>
      <c r="G65" s="2286">
        <f t="shared" si="20"/>
        <v>4.4999999999999997E-3</v>
      </c>
      <c r="H65" s="2287">
        <f t="shared" si="16"/>
        <v>4.4999999999999997E-3</v>
      </c>
      <c r="I65" s="2288">
        <v>0.06</v>
      </c>
      <c r="J65" s="2289">
        <f t="shared" si="17"/>
        <v>8.9999999999999993E-3</v>
      </c>
      <c r="K65" s="2289">
        <f t="shared" si="18"/>
        <v>4.4999999999999997E-3</v>
      </c>
      <c r="L65" s="2289">
        <v>0</v>
      </c>
      <c r="M65" s="2289">
        <f t="shared" si="19"/>
        <v>-4.4999999999999997E-3</v>
      </c>
      <c r="N65" s="2289">
        <f t="shared" si="19"/>
        <v>-8.9999999999999993E-3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t="s">
        <v>29</v>
      </c>
      <c r="D66" s="2283">
        <f t="shared" si="15"/>
        <v>1.7999999999999999E-2</v>
      </c>
      <c r="E66" s="2291"/>
      <c r="F66" s="2285"/>
      <c r="G66" s="2286">
        <f t="shared" si="20"/>
        <v>8.9999999999999993E-3</v>
      </c>
      <c r="H66" s="2287">
        <f t="shared" si="16"/>
        <v>8.9999999999999993E-3</v>
      </c>
      <c r="I66" s="2288">
        <v>0.12</v>
      </c>
      <c r="J66" s="2289">
        <f t="shared" si="17"/>
        <v>1.7999999999999999E-2</v>
      </c>
      <c r="K66" s="2289">
        <f t="shared" si="18"/>
        <v>8.9999999999999993E-3</v>
      </c>
      <c r="L66" s="2289">
        <v>0</v>
      </c>
      <c r="M66" s="2289">
        <f t="shared" si="19"/>
        <v>-8.9999999999999993E-3</v>
      </c>
      <c r="N66" s="2289">
        <f t="shared" si="19"/>
        <v>-1.7999999999999999E-2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t="s">
        <v>31</v>
      </c>
      <c r="D67" s="2283">
        <f t="shared" si="15"/>
        <v>0</v>
      </c>
      <c r="E67" s="2298"/>
      <c r="F67" s="2285"/>
      <c r="G67" s="2286">
        <f t="shared" si="20"/>
        <v>4.4999999999999997E-3</v>
      </c>
      <c r="H67" s="2287">
        <f t="shared" si="16"/>
        <v>4.4999999999999997E-3</v>
      </c>
      <c r="I67" s="2299">
        <v>0.06</v>
      </c>
      <c r="J67" s="2289">
        <f t="shared" si="17"/>
        <v>8.9999999999999993E-3</v>
      </c>
      <c r="K67" s="2289">
        <f t="shared" si="18"/>
        <v>4.4999999999999997E-3</v>
      </c>
      <c r="L67" s="2289">
        <v>0</v>
      </c>
      <c r="M67" s="2289">
        <f t="shared" si="19"/>
        <v>-4.4999999999999997E-3</v>
      </c>
      <c r="N67" s="2289">
        <f t="shared" si="19"/>
        <v>-8.9999999999999993E-3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2673</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2656</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2672</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2660</v>
      </c>
      <c r="B87" s="2293" t="s">
        <v>2661</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1" t="s">
        <v>2677</v>
      </c>
      <c r="B90" s="3531"/>
      <c r="C90" s="3531"/>
      <c r="D90" s="3531"/>
      <c r="E90" s="3531"/>
      <c r="F90" s="3531"/>
      <c r="G90" s="3531"/>
      <c r="H90" s="3531"/>
      <c r="I90" s="3531"/>
      <c r="J90" s="3531"/>
      <c r="K90" s="2306"/>
      <c r="L90" s="2306"/>
      <c r="M90" s="2306"/>
      <c r="N90" s="2306"/>
      <c r="Q90" s="3058"/>
      <c r="R90" s="3058"/>
      <c r="S90" s="3058"/>
      <c r="T90" s="3058"/>
      <c r="U90" s="3058"/>
      <c r="V90" s="3058"/>
      <c r="W90" s="3058"/>
    </row>
    <row r="91" spans="1:33">
      <c r="A91" s="3533" t="s">
        <v>2678</v>
      </c>
      <c r="B91" s="3533"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33"/>
      <c r="B92" s="353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3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5"/>
      <c r="B99" s="2309" t="s">
        <v>2549</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4" t="s">
        <v>2682</v>
      </c>
      <c r="B101" s="2313" t="s">
        <v>2683</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35"/>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35"/>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35"/>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35"/>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35"/>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35"/>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35"/>
      <c r="B108" s="3537" t="s">
        <v>2684</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6"/>
      <c r="B109" s="3538"/>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2" t="s">
        <v>2685</v>
      </c>
      <c r="B110" s="3532"/>
      <c r="C110" s="3532"/>
      <c r="D110" s="3532"/>
      <c r="E110" s="3532"/>
      <c r="F110" s="3532"/>
      <c r="G110" s="3532"/>
      <c r="H110" s="3532"/>
      <c r="I110" s="3532"/>
      <c r="J110" s="3532"/>
      <c r="K110" s="2080"/>
      <c r="L110" s="2080"/>
      <c r="M110" s="2080"/>
      <c r="N110" s="2080"/>
      <c r="Q110" s="3058"/>
      <c r="R110" s="3058"/>
      <c r="S110" s="3058"/>
      <c r="T110" s="3058"/>
      <c r="U110" s="3058"/>
      <c r="V110" s="3058"/>
      <c r="W110" s="3058"/>
    </row>
    <row r="112" spans="1:23" ht="13.5" thickBot="1"/>
    <row r="113" spans="1:13" ht="25.5" thickBot="1">
      <c r="A113" s="2315" t="s">
        <v>2686</v>
      </c>
      <c r="B113" s="2316">
        <f>G3</f>
        <v>0</v>
      </c>
      <c r="C113" s="2317" t="s">
        <v>2687</v>
      </c>
      <c r="D113" s="2318">
        <f>SUMPRODUCT((A115:A118=F113)*(B114:M114=H113)*B115:M118)</f>
        <v>0.76939999999999997</v>
      </c>
      <c r="E113" s="1602" t="s">
        <v>2573</v>
      </c>
      <c r="F113" s="2319" t="str">
        <f>E2</f>
        <v>办公</v>
      </c>
      <c r="G113" s="1602" t="s">
        <v>2507</v>
      </c>
      <c r="H113" s="2319" t="str">
        <f>G2</f>
        <v>八级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2575</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2576</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5" thickBot="1">
      <c r="A118" s="2330" t="s">
        <v>2577</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0.15</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5320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2892</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60">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2891</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60">
        <v>2021</v>
      </c>
      <c r="H6" s="2371">
        <v>2</v>
      </c>
      <c r="I6" s="3161">
        <v>0.92</v>
      </c>
      <c r="J6" s="3161">
        <v>0.72</v>
      </c>
      <c r="K6" s="3161">
        <v>0.95</v>
      </c>
      <c r="L6" s="3162">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2890</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9">
        <v>2021</v>
      </c>
      <c r="H7" s="2371">
        <v>1</v>
      </c>
      <c r="I7" s="3161">
        <v>0.97</v>
      </c>
      <c r="J7" s="3161">
        <v>0.16</v>
      </c>
      <c r="K7" s="3161">
        <v>1.1100000000000001</v>
      </c>
      <c r="L7" s="3162">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2886</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50">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2885</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9">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2737</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2734</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2732</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2729</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2723</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2724</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2718</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52">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2713</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52"/>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2712</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52"/>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2709</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59"/>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2706</v>
      </c>
      <c r="B20" s="2379">
        <v>439</v>
      </c>
      <c r="C20" s="2379">
        <v>327</v>
      </c>
      <c r="D20" s="2379">
        <f t="shared" si="147"/>
        <v>327</v>
      </c>
      <c r="E20" s="2379">
        <v>627</v>
      </c>
      <c r="F20" s="2380">
        <v>283</v>
      </c>
      <c r="G20" s="3555">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2703</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52"/>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52"/>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59"/>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55">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52"/>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52"/>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53"/>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551">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52"/>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52"/>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53"/>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551">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52"/>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52"/>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53"/>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556">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57"/>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57"/>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58"/>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551">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52"/>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52"/>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553"/>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551">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52">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52">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53">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551">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52">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52">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53">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551">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52">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52">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53">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551">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52">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52">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53">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551">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52">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52">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53">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551">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52">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52">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53">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551">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52">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52">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53">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551">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52">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52">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53">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551">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52">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52">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553">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551">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52">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52">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553">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44461</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2887</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85.14</v>
      </c>
      <c r="D6" s="3184"/>
      <c r="E6" s="1359"/>
    </row>
    <row r="7" spans="1:5" ht="14.25">
      <c r="A7" s="1359"/>
      <c r="B7" s="3178" t="s">
        <v>776</v>
      </c>
      <c r="C7" s="1365" t="str">
        <f>IF('数据-取费表'!B3="万元","总价（万元）","总价（元）")</f>
        <v>总价（万元）</v>
      </c>
      <c r="D7" s="1366">
        <f>IF('数据-取费表'!E3="否",结果表!I102,'结果表 (1修多)'!I104)</f>
        <v>0</v>
      </c>
      <c r="E7" s="1359"/>
    </row>
    <row r="8" spans="1:5" ht="14.25">
      <c r="A8" s="1359"/>
      <c r="B8" s="3178"/>
      <c r="C8" s="1367" t="s">
        <v>1162</v>
      </c>
      <c r="D8" s="1368" t="str">
        <f>IF('数据-取费表'!B3="万元",NUMBERSTRING(INT(D7*10000),2)&amp;"元整",NUMBERSTRING(INT(D7),2)&amp;"元整")</f>
        <v>零元整</v>
      </c>
      <c r="E8" s="1359"/>
    </row>
    <row r="9" spans="1:5" ht="14.25">
      <c r="A9" s="1359"/>
      <c r="B9" s="3178"/>
      <c r="C9" s="1369" t="s">
        <v>1259</v>
      </c>
      <c r="D9" s="1366" t="e">
        <f>IF('数据-取费表'!E3="否",结果表!I103,'结果表 (1修多)'!I105)</f>
        <v>#DIV/0!</v>
      </c>
      <c r="E9" s="1359"/>
    </row>
    <row r="10" spans="1:5" ht="14.25">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5" t="str">
        <f>IF('数据-取费表'!E3="否",结果表!F110,'结果表 (1修多)'!F112)</f>
        <v>3.房地产抵押价值</v>
      </c>
      <c r="C15" s="1360" t="str">
        <f>C7</f>
        <v>总价（万元）</v>
      </c>
      <c r="D15" s="1366">
        <f>IF('数据-取费表'!E3="否",结果表!I110,'结果表 (1修多)'!I112)</f>
        <v>0</v>
      </c>
      <c r="E15" s="1359"/>
    </row>
    <row r="16" spans="1:5" ht="14.25">
      <c r="A16" s="1359"/>
      <c r="B16" s="3185"/>
      <c r="C16" s="1367" t="s">
        <v>1162</v>
      </c>
      <c r="D16" s="1366" t="str">
        <f>IF('数据-取费表'!B3="万元",NUMBERSTRING(INT(D15*10000),2)&amp;"元整",NUMBERSTRING(INT(D15),2)&amp;"元整")</f>
        <v>零元整</v>
      </c>
      <c r="E16" s="1359"/>
    </row>
    <row r="17" spans="1:5" ht="14.25">
      <c r="A17" s="1359"/>
      <c r="B17" s="3185"/>
      <c r="C17" s="1369" t="s">
        <v>1259</v>
      </c>
      <c r="D17" s="1366" t="e">
        <f>IF('数据-取费表'!E3="否",结果表!I111,'结果表 (1修多)'!I113)</f>
        <v>#DIV/0!</v>
      </c>
      <c r="E17" s="1359"/>
    </row>
    <row r="18" spans="1:5" ht="14.25">
      <c r="A18" s="1359"/>
      <c r="B18" s="3185" t="str">
        <f>IF('数据-取费表'!E3="否",结果表!F112,'结果表 (1修多)'!F114)</f>
        <v>——</v>
      </c>
      <c r="C18" s="1360" t="str">
        <f>C7</f>
        <v>总价（万元）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总价（万元）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0" t="s">
        <v>1260</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IF('数据-取费表'!E3="否",结果表!I102,'结果表 (1修多)'!I104)</f>
        <v>0</v>
      </c>
      <c r="E28" s="1359"/>
    </row>
    <row r="29" spans="1:5" ht="14.25">
      <c r="A29" s="1359"/>
      <c r="B29" s="3164"/>
      <c r="C29" s="1378" t="s">
        <v>1162</v>
      </c>
      <c r="D29" s="1379" t="str">
        <f>IF('数据-取费表'!B3="万元",NUMBERSTRING(INT(D28*10000),2)&amp;"元整",NUMBERSTRING(INT(D28),2)&amp;"元整")</f>
        <v>零元整</v>
      </c>
      <c r="E29" s="1359"/>
    </row>
    <row r="30" spans="1:5" ht="14.25">
      <c r="A30" s="1359"/>
      <c r="B30" s="3165"/>
      <c r="C30" s="1369" t="s">
        <v>1165</v>
      </c>
      <c r="D30" s="1380" t="e">
        <f>IF('数据-取费表'!E3="否",结果表!I103,'结果表 (1修多)'!I105)</f>
        <v>#DIV/0!</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IF('数据-取费表'!E3="否",结果表!I110,'结果表 (1修多)'!I112)</f>
        <v>0</v>
      </c>
      <c r="E36" s="1359"/>
    </row>
    <row r="37" spans="1:5" ht="14.25">
      <c r="A37" s="1359"/>
      <c r="B37" s="3166"/>
      <c r="C37" s="1378" t="s">
        <v>1162</v>
      </c>
      <c r="D37" s="1383" t="str">
        <f>IF('数据-取费表'!B3="万元",NUMBERSTRING(INT(D36*10000),2)&amp;"元整",NUMBERSTRING(INT(D36),2)&amp;"元整")</f>
        <v>零元整</v>
      </c>
      <c r="E37" s="1359"/>
    </row>
    <row r="38" spans="1:5" ht="14.25">
      <c r="A38" s="1359"/>
      <c r="B38" s="3166"/>
      <c r="C38" s="1369" t="s">
        <v>1166</v>
      </c>
      <c r="D38" s="1380" t="e">
        <f>IF('数据-取费表'!E3="否",结果表!D113,'结果表 (1修多)'!D117)</f>
        <v>#DIV/0!</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85.14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6" t="s">
        <v>1269</v>
      </c>
      <c r="B5" s="3186"/>
      <c r="C5" s="3186"/>
      <c r="D5" s="3187" t="str">
        <f>IF('数据-取费表'!E3="否",结果表!D122,'结果表 (1修多)'!D126)</f>
        <v>零元整</v>
      </c>
      <c r="E5" s="3187"/>
      <c r="F5" s="3187" t="str">
        <f>IF('数据-取费表'!E3="否",结果表!F122,'结果表 (1修多)'!F126)</f>
        <v>零元整</v>
      </c>
      <c r="G5" s="3187"/>
      <c r="H5" s="3187" t="str">
        <f>IF('数据-取费表'!E3="否",结果表!H122,'结果表 (1修多)'!H126)</f>
        <v>零元整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IF('数据-取费表'!E3="否",结果表!D125,'结果表 (1修多)'!D129)</f>
        <v>0</v>
      </c>
      <c r="E8" s="3188"/>
      <c r="F8" s="3188"/>
      <c r="G8" s="3188"/>
      <c r="H8" s="3188"/>
      <c r="I8" s="3188"/>
    </row>
    <row r="9" spans="1:9" ht="15">
      <c r="A9" s="3186" t="s">
        <v>1269</v>
      </c>
      <c r="B9" s="3186"/>
      <c r="C9" s="3186"/>
      <c r="D9" s="3187" t="e">
        <f>IF('数据-取费表'!E3="否",结果表!D126,'结果表 (1修多)'!D130)</f>
        <v>#DIV/0!</v>
      </c>
      <c r="E9" s="3187"/>
      <c r="F9" s="3187"/>
      <c r="G9" s="3187"/>
      <c r="H9" s="3187"/>
      <c r="I9" s="3187"/>
    </row>
    <row r="10" spans="1:9" ht="15.75">
      <c r="A10" s="3188" t="str">
        <f>IF('数据-取费表'!E3="否",结果表!A127,'结果表 (1修多)'!A131)</f>
        <v/>
      </c>
      <c r="B10" s="3188"/>
      <c r="C10" s="3188"/>
      <c r="D10" s="3188" t="e">
        <f>IF('数据-取费表'!E3="否",结果表!D127,'结果表 (1修多)'!D130)</f>
        <v>#DIV/0!</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1282</v>
      </c>
      <c r="B1" s="3198"/>
      <c r="C1" s="3198"/>
      <c r="D1" s="3198"/>
    </row>
    <row r="2" spans="1:4" ht="18">
      <c r="A2" s="3197" t="s">
        <v>1271</v>
      </c>
      <c r="B2" s="3197"/>
      <c r="C2" s="3197"/>
      <c r="D2" s="319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97" t="s">
        <v>1276</v>
      </c>
      <c r="B7" s="3197"/>
      <c r="C7" s="3197"/>
      <c r="D7" s="319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9" t="s">
        <v>2738</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0"/>
      <c r="C13" s="3200"/>
      <c r="D13" s="3200"/>
    </row>
    <row r="14" spans="1:4" ht="30" customHeight="1">
      <c r="A14" s="31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0"/>
      <c r="C14" s="3200"/>
      <c r="D14" s="3200"/>
    </row>
    <row r="15" spans="1:4" ht="15.75" customHeight="1">
      <c r="A15" s="3199" t="str">
        <f>IF(项目基本情况!D4="抵押","4.本次评估估价师所知悉的法定优先受偿款情况说明如下：","——")</f>
        <v>4.本次评估估价师所知悉的法定优先受偿款情况说明如下：</v>
      </c>
      <c r="B15" s="3200"/>
      <c r="C15" s="3200"/>
      <c r="D15" s="3200"/>
    </row>
    <row r="16" spans="1:4" ht="75" customHeight="1">
      <c r="A16" s="319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9"/>
      <c r="C16" s="3199"/>
      <c r="D16" s="3199"/>
    </row>
    <row r="17" spans="1:4" ht="63.75" customHeight="1">
      <c r="A17" s="3201" t="s">
        <v>1284</v>
      </c>
      <c r="B17" s="3201"/>
      <c r="C17" s="3201"/>
      <c r="D17" s="3201"/>
    </row>
    <row r="18" spans="1:4" ht="15.75" customHeight="1">
      <c r="A18" s="3199" t="str">
        <f>IF(项目基本情况!D4="抵押",结果表!L106,"——")</f>
        <v>本次评估不存在估价师所知悉的法定优先受偿款。</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2739</v>
      </c>
      <c r="B20" s="3201"/>
      <c r="C20" s="3201"/>
      <c r="D20" s="320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44461</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本次估价的“房地产价值”是指在正常市场情况下，在价值时点2021年9月22日，估价对象规划用途为，假定未设立法定优先受偿款下的房地产市场价值。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2021-09-22T07:16:43Z</dcterms:modified>
</cp:coreProperties>
</file>