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317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工业" sheetId="40"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修正" sheetId="45" state="hidden" r:id="rId35"/>
    <sheet name="容积率修正" sheetId="46"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房地分估" sheetId="79" r:id="rId46"/>
    <sheet name="土地案例" sheetId="80" r:id="rId47"/>
    <sheet name="年期修正系数" sheetId="81" r:id="rId48"/>
    <sheet name="Sheet5" sheetId="82"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1">'土地比较法-工业'!$A$1:$K$61,'土地比较法-工业'!$A$64:$M$121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[2]定义!$D$1:$D$4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'[2]数据-汇总表'!$C$17:$C$26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9" i="6" l="1"/>
  <c r="U3" i="78" l="1"/>
  <c r="B3" i="81" l="1"/>
  <c r="B1" i="81"/>
  <c r="C4" i="81" s="1"/>
  <c r="D4" i="81" s="1"/>
  <c r="D9" i="81"/>
  <c r="D10" i="81" s="1"/>
  <c r="F10" i="81" s="1"/>
  <c r="C5" i="81"/>
  <c r="D5" i="81" s="1"/>
  <c r="H6" i="79"/>
  <c r="F9" i="81" l="1"/>
  <c r="G10" i="81" s="1"/>
  <c r="S3" i="78" s="1"/>
  <c r="C3" i="81"/>
  <c r="D3" i="81" s="1"/>
  <c r="C16" i="81"/>
  <c r="B13" i="81"/>
  <c r="B16" i="81"/>
  <c r="E34" i="40"/>
  <c r="G34" i="40"/>
  <c r="T3" i="78"/>
  <c r="V3" i="78" s="1"/>
  <c r="Y3" i="78" s="1"/>
  <c r="U12" i="78"/>
  <c r="U8" i="78"/>
  <c r="I34" i="40"/>
  <c r="C34" i="40"/>
  <c r="I7" i="40"/>
  <c r="G7" i="40"/>
  <c r="E7" i="40"/>
  <c r="I5" i="40"/>
  <c r="G5" i="40"/>
  <c r="E5" i="40"/>
  <c r="U9" i="78"/>
  <c r="U10" i="78" s="1"/>
  <c r="U6" i="78"/>
  <c r="S16" i="78"/>
  <c r="T16" i="78" s="1"/>
  <c r="S14" i="78"/>
  <c r="T14" i="78" s="1"/>
  <c r="S10" i="78"/>
  <c r="T10" i="78" s="1"/>
  <c r="S9" i="78"/>
  <c r="T9" i="78" s="1"/>
  <c r="S8" i="78"/>
  <c r="T8" i="78" s="1"/>
  <c r="V8" i="78" s="1"/>
  <c r="Y8" i="78" s="1"/>
  <c r="S12" i="78"/>
  <c r="T12" i="78" s="1"/>
  <c r="V12" i="78" s="1"/>
  <c r="Y12" i="78" s="1"/>
  <c r="S6" i="78"/>
  <c r="T6" i="78" s="1"/>
  <c r="N6" i="1"/>
  <c r="Y6" i="1" s="1"/>
  <c r="V6" i="78" l="1"/>
  <c r="W6" i="78" s="1"/>
  <c r="V10" i="78"/>
  <c r="W10" i="78" s="1"/>
  <c r="W9" i="78"/>
  <c r="V9" i="78"/>
  <c r="C13" i="81"/>
  <c r="U14" i="78"/>
  <c r="U16" i="78" s="1"/>
  <c r="W8" i="78"/>
  <c r="G41" i="40"/>
  <c r="E41" i="40"/>
  <c r="W3" i="78"/>
  <c r="G14" i="73"/>
  <c r="F14" i="73"/>
  <c r="E14" i="73"/>
  <c r="V14" i="78" l="1"/>
  <c r="Y14" i="78" s="1"/>
  <c r="V16" i="78"/>
  <c r="Y16" i="78" s="1"/>
  <c r="W14" i="78"/>
  <c r="W12" i="78"/>
  <c r="I41" i="40"/>
  <c r="G13" i="73"/>
  <c r="F13" i="73"/>
  <c r="E13" i="73"/>
  <c r="W16" i="78" l="1"/>
  <c r="AH5" i="7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O22" i="71"/>
  <c r="N22" i="7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E85" i="71"/>
  <c r="E84" i="71" s="1"/>
  <c r="E83" i="71" s="1"/>
  <c r="C85" i="71"/>
  <c r="D85" i="71" s="1"/>
  <c r="B85" i="71"/>
  <c r="B84" i="71" s="1"/>
  <c r="F83" i="71"/>
  <c r="B83" i="71"/>
  <c r="D82" i="71"/>
  <c r="F81" i="71"/>
  <c r="F80" i="71" s="1"/>
  <c r="E81" i="71"/>
  <c r="E80" i="71" s="1"/>
  <c r="E79" i="71" s="1"/>
  <c r="C81" i="71"/>
  <c r="B81" i="71"/>
  <c r="B80" i="71" s="1"/>
  <c r="F79" i="71"/>
  <c r="B79" i="7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C69" i="71"/>
  <c r="T69" i="71" s="1"/>
  <c r="B69" i="71"/>
  <c r="S69" i="71" s="1"/>
  <c r="Q68" i="71"/>
  <c r="P68" i="71"/>
  <c r="O68" i="71"/>
  <c r="N68" i="71"/>
  <c r="Q67" i="71"/>
  <c r="P67" i="71"/>
  <c r="O67" i="71"/>
  <c r="N67" i="71"/>
  <c r="Q66" i="71"/>
  <c r="P66" i="71"/>
  <c r="O66" i="71"/>
  <c r="N66" i="71"/>
  <c r="D66" i="71"/>
  <c r="F65" i="71"/>
  <c r="V65" i="71" s="1"/>
  <c r="E65" i="71"/>
  <c r="U65" i="71" s="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N47" i="71"/>
  <c r="Q46" i="71"/>
  <c r="F47" i="71"/>
  <c r="F48" i="71" s="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C44" i="71" s="1"/>
  <c r="D44" i="71" s="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C40" i="71" s="1"/>
  <c r="D40" i="71" s="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s="1"/>
  <c r="Q35" i="71"/>
  <c r="AB35" i="71" s="1"/>
  <c r="P35" i="71"/>
  <c r="AA35" i="71" s="1"/>
  <c r="O35" i="71"/>
  <c r="Y35" i="71" s="1"/>
  <c r="Z35" i="71" s="1"/>
  <c r="N35" i="71"/>
  <c r="X35" i="71" s="1"/>
  <c r="Q34" i="71"/>
  <c r="F35" i="71" s="1"/>
  <c r="P34" i="71"/>
  <c r="O34" i="71"/>
  <c r="N34" i="71"/>
  <c r="B35" i="71" s="1"/>
  <c r="B36" i="71" s="1"/>
  <c r="B37" i="71" s="1"/>
  <c r="S37" i="71" s="1"/>
  <c r="D34" i="71"/>
  <c r="Q33" i="71"/>
  <c r="P33" i="71"/>
  <c r="O33" i="71"/>
  <c r="Y33" i="71" s="1"/>
  <c r="Z33" i="71" s="1"/>
  <c r="N33" i="71"/>
  <c r="Q32" i="71"/>
  <c r="P32" i="71"/>
  <c r="O32" i="71"/>
  <c r="Y32" i="71" s="1"/>
  <c r="Z32" i="71" s="1"/>
  <c r="N32" i="71"/>
  <c r="Q31" i="71"/>
  <c r="P31" i="71"/>
  <c r="O31" i="71"/>
  <c r="N31" i="71"/>
  <c r="Q30" i="71"/>
  <c r="F31" i="71" s="1"/>
  <c r="P30" i="71"/>
  <c r="O30" i="71"/>
  <c r="C31" i="71" s="1"/>
  <c r="N30" i="71"/>
  <c r="D30" i="71"/>
  <c r="Q29" i="71"/>
  <c r="P29" i="71"/>
  <c r="O29" i="71"/>
  <c r="N29" i="71"/>
  <c r="Q28" i="71"/>
  <c r="P28" i="71"/>
  <c r="O28" i="71"/>
  <c r="N28" i="71"/>
  <c r="Q27" i="71"/>
  <c r="P27" i="71"/>
  <c r="AA27" i="71" s="1"/>
  <c r="O27" i="71"/>
  <c r="N27" i="71"/>
  <c r="Q26" i="71"/>
  <c r="P26" i="71"/>
  <c r="E27" i="71" s="1"/>
  <c r="E28" i="71" s="1"/>
  <c r="E29" i="71" s="1"/>
  <c r="U29" i="71" s="1"/>
  <c r="O26" i="71"/>
  <c r="N26" i="71"/>
  <c r="D26" i="71"/>
  <c r="O25" i="71"/>
  <c r="C25" i="71" s="1"/>
  <c r="T25" i="71" s="1"/>
  <c r="N25" i="71"/>
  <c r="B27" i="71"/>
  <c r="B28" i="71" s="1"/>
  <c r="B29" i="71" s="1"/>
  <c r="S29" i="71" s="1"/>
  <c r="B31" i="71"/>
  <c r="B32" i="71" s="1"/>
  <c r="B33" i="71" s="1"/>
  <c r="S33" i="71" s="1"/>
  <c r="X34" i="71"/>
  <c r="C27" i="71"/>
  <c r="D27" i="71" s="1"/>
  <c r="AA29" i="71"/>
  <c r="Y30" i="71"/>
  <c r="Z30" i="71" s="1"/>
  <c r="C35" i="71"/>
  <c r="C36" i="71" s="1"/>
  <c r="D36" i="71" s="1"/>
  <c r="Y34" i="71"/>
  <c r="Z34" i="71" s="1"/>
  <c r="AB34" i="71"/>
  <c r="F49" i="71"/>
  <c r="V49" i="71" s="1"/>
  <c r="Y25" i="71"/>
  <c r="Z25" i="71" s="1"/>
  <c r="B25" i="71"/>
  <c r="X22" i="71"/>
  <c r="D39" i="71"/>
  <c r="D43" i="71"/>
  <c r="C48" i="71"/>
  <c r="D48" i="71" s="1"/>
  <c r="D47" i="71"/>
  <c r="P25" i="71"/>
  <c r="E25" i="71" s="1"/>
  <c r="E52" i="71"/>
  <c r="E53" i="71" s="1"/>
  <c r="U53" i="71" s="1"/>
  <c r="E57" i="71"/>
  <c r="U57" i="71" s="1"/>
  <c r="Q25" i="71"/>
  <c r="F25" i="71" s="1"/>
  <c r="F24" i="71" s="1"/>
  <c r="F23" i="71" s="1"/>
  <c r="D55" i="71"/>
  <c r="T65" i="71"/>
  <c r="O65" i="71"/>
  <c r="D65" i="71"/>
  <c r="C64" i="71"/>
  <c r="O64" i="71" s="1"/>
  <c r="Q65" i="71"/>
  <c r="C68" i="71"/>
  <c r="D68" i="71" s="1"/>
  <c r="D69" i="71"/>
  <c r="C76" i="71"/>
  <c r="D76" i="71" s="1"/>
  <c r="D77" i="71"/>
  <c r="C84" i="71"/>
  <c r="C83" i="71" s="1"/>
  <c r="D83" i="71" s="1"/>
  <c r="AB25" i="71"/>
  <c r="C63" i="71"/>
  <c r="O63" i="71" s="1"/>
  <c r="D64" i="71"/>
  <c r="C75" i="71"/>
  <c r="D75" i="71" s="1"/>
  <c r="C67" i="71"/>
  <c r="D67" i="71" s="1"/>
  <c r="C41" i="71"/>
  <c r="D41" i="71" s="1"/>
  <c r="C37" i="71"/>
  <c r="D37" i="71" s="1"/>
  <c r="D63" i="71"/>
  <c r="T3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S25" i="40"/>
  <c r="S29" i="39"/>
  <c r="S18" i="36"/>
  <c r="U18" i="36"/>
  <c r="S21" i="34"/>
  <c r="H25" i="40"/>
  <c r="J25" i="40"/>
  <c r="W25" i="40" s="1"/>
  <c r="H29" i="39"/>
  <c r="J29" i="39"/>
  <c r="AC29" i="39" s="1"/>
  <c r="J18" i="36"/>
  <c r="AC18" i="36" s="1"/>
  <c r="H18" i="35"/>
  <c r="AB18" i="35" s="1"/>
  <c r="J18" i="35"/>
  <c r="AC18" i="35" s="1"/>
  <c r="H21" i="37"/>
  <c r="AB21" i="37" s="1"/>
  <c r="F21" i="37"/>
  <c r="AA21" i="37" s="1"/>
  <c r="H21" i="34"/>
  <c r="AB21" i="34" s="1"/>
  <c r="H21" i="33"/>
  <c r="U21" i="33" s="1"/>
  <c r="F21" i="33"/>
  <c r="S21" i="33" s="1"/>
  <c r="E83" i="21"/>
  <c r="F83" i="21" s="1"/>
  <c r="G83" i="21" s="1"/>
  <c r="S21" i="21"/>
  <c r="H1" i="69"/>
  <c r="AC25" i="40"/>
  <c r="AB25" i="40"/>
  <c r="U25" i="40"/>
  <c r="AB29" i="39"/>
  <c r="U29" i="39"/>
  <c r="W18" i="36"/>
  <c r="AA21" i="33"/>
  <c r="U18" i="35"/>
  <c r="J21" i="37"/>
  <c r="AC21" i="37" s="1"/>
  <c r="J21" i="34"/>
  <c r="AC21" i="34" s="1"/>
  <c r="J21" i="33"/>
  <c r="AC21" i="33" s="1"/>
  <c r="H21" i="21"/>
  <c r="AB21" i="21" s="1"/>
  <c r="F38" i="69"/>
  <c r="E37" i="69"/>
  <c r="F36" i="69"/>
  <c r="F35" i="69"/>
  <c r="F21" i="69"/>
  <c r="F40" i="69" s="1"/>
  <c r="F20" i="69"/>
  <c r="F39" i="69" s="1"/>
  <c r="E10" i="69"/>
  <c r="E9" i="69"/>
  <c r="C7" i="69"/>
  <c r="W21" i="34"/>
  <c r="U21" i="21"/>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J5" i="3" s="1"/>
  <c r="BK493" i="3"/>
  <c r="BM493" i="3"/>
  <c r="BN493" i="3"/>
  <c r="BO493" i="3"/>
  <c r="BP493" i="3"/>
  <c r="BR493" i="3"/>
  <c r="BS493" i="3"/>
  <c r="BT493" i="3"/>
  <c r="H494" i="3"/>
  <c r="AC494" i="3"/>
  <c r="BB494" i="3"/>
  <c r="BC494" i="3"/>
  <c r="BD494" i="3"/>
  <c r="BE494" i="3"/>
  <c r="BF494" i="3"/>
  <c r="BG494" i="3"/>
  <c r="BG5" i="3" s="1"/>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C26" i="35"/>
  <c r="C79" i="35" s="1"/>
  <c r="J31" i="35"/>
  <c r="W31" i="35" s="1"/>
  <c r="H31" i="35"/>
  <c r="U31" i="35" s="1"/>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AA42" i="34" s="1"/>
  <c r="J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B120" i="40"/>
  <c r="B118" i="40"/>
  <c r="J39" i="40" s="1"/>
  <c r="AC39" i="40" s="1"/>
  <c r="B116" i="40"/>
  <c r="F38" i="40" s="1"/>
  <c r="AA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c r="F92" i="40" s="1"/>
  <c r="D90" i="40"/>
  <c r="E90" i="40"/>
  <c r="F90" i="40" s="1"/>
  <c r="G90" i="40" s="1"/>
  <c r="D88" i="40"/>
  <c r="E88" i="40"/>
  <c r="F88" i="40" s="1"/>
  <c r="G88" i="40" s="1"/>
  <c r="D86" i="40"/>
  <c r="E86" i="40" s="1"/>
  <c r="D84" i="40"/>
  <c r="E84" i="40" s="1"/>
  <c r="B81" i="40"/>
  <c r="J14" i="40" s="1"/>
  <c r="W14" i="40" s="1"/>
  <c r="B79" i="40"/>
  <c r="J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H8" i="39"/>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AC28" i="37" s="1"/>
  <c r="B84" i="37"/>
  <c r="B82" i="37"/>
  <c r="D79" i="37"/>
  <c r="E79" i="37" s="1"/>
  <c r="D75" i="37"/>
  <c r="E75" i="37" s="1"/>
  <c r="F75" i="37" s="1"/>
  <c r="G75" i="37" s="1"/>
  <c r="D73" i="37"/>
  <c r="E73" i="37" s="1"/>
  <c r="F73" i="37" s="1"/>
  <c r="D71" i="37"/>
  <c r="E71" i="37" s="1"/>
  <c r="F71" i="37" s="1"/>
  <c r="G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H8" i="37"/>
  <c r="AB8" i="37" s="1"/>
  <c r="F8" i="37"/>
  <c r="S8" i="37" s="1"/>
  <c r="J31" i="36"/>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s="1"/>
  <c r="AC24" i="36" s="1"/>
  <c r="B71" i="36"/>
  <c r="F23" i="36" s="1"/>
  <c r="D70" i="36"/>
  <c r="H22" i="36"/>
  <c r="AB22" i="36" s="1"/>
  <c r="D68" i="36"/>
  <c r="E68" i="36" s="1"/>
  <c r="F68" i="36"/>
  <c r="G68" i="36" s="1"/>
  <c r="D64" i="36"/>
  <c r="E64" i="36" s="1"/>
  <c r="F64" i="36"/>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B97" i="35"/>
  <c r="B77" i="35"/>
  <c r="F25" i="35" s="1"/>
  <c r="S25" i="35" s="1"/>
  <c r="B75" i="35"/>
  <c r="B73" i="35"/>
  <c r="H23" i="35" s="1"/>
  <c r="U23" i="35" s="1"/>
  <c r="B57" i="35"/>
  <c r="B61" i="35"/>
  <c r="B59" i="35"/>
  <c r="B131" i="34"/>
  <c r="F47" i="34" s="1"/>
  <c r="S47" i="34" s="1"/>
  <c r="B129" i="34"/>
  <c r="F46" i="34" s="1"/>
  <c r="B127" i="34"/>
  <c r="B99" i="34"/>
  <c r="B97" i="34"/>
  <c r="H31" i="34" s="1"/>
  <c r="B95" i="34"/>
  <c r="F30" i="34" s="1"/>
  <c r="S30" i="34" s="1"/>
  <c r="B93" i="34"/>
  <c r="B75" i="34"/>
  <c r="B73" i="34"/>
  <c r="B71" i="34"/>
  <c r="B130" i="33"/>
  <c r="B128" i="33"/>
  <c r="J45" i="33" s="1"/>
  <c r="B126" i="33"/>
  <c r="B98" i="33"/>
  <c r="B96" i="33"/>
  <c r="B94" i="33"/>
  <c r="H29" i="33" s="1"/>
  <c r="U29" i="33" s="1"/>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B130" i="21"/>
  <c r="B128" i="21"/>
  <c r="J45" i="21" s="1"/>
  <c r="W45" i="21" s="1"/>
  <c r="B126" i="21"/>
  <c r="H44" i="21" s="1"/>
  <c r="B98" i="21"/>
  <c r="H31" i="21"/>
  <c r="AB31" i="21" s="1"/>
  <c r="B96" i="21"/>
  <c r="B94" i="2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H39" i="21"/>
  <c r="U39" i="21" s="1"/>
  <c r="J34" i="21"/>
  <c r="W34" i="21" s="1"/>
  <c r="H36" i="21"/>
  <c r="U36" i="21" s="1"/>
  <c r="F35" i="21"/>
  <c r="AA35" i="21" s="1"/>
  <c r="J10" i="21"/>
  <c r="AC10" i="21" s="1"/>
  <c r="H26" i="21"/>
  <c r="AB19" i="21"/>
  <c r="J19" i="21"/>
  <c r="W19" i="21" s="1"/>
  <c r="J12" i="21"/>
  <c r="AC12" i="21" s="1"/>
  <c r="H12" i="21"/>
  <c r="J26" i="21"/>
  <c r="W26" i="21" s="1"/>
  <c r="F26" i="21"/>
  <c r="S26" i="21" s="1"/>
  <c r="F45" i="39"/>
  <c r="S45" i="39" s="1"/>
  <c r="J44" i="39"/>
  <c r="F36" i="39"/>
  <c r="F35" i="39"/>
  <c r="U9" i="39"/>
  <c r="W31" i="37"/>
  <c r="F103" i="37"/>
  <c r="G103" i="37" s="1"/>
  <c r="H103" i="37" s="1"/>
  <c r="I103" i="37" s="1"/>
  <c r="J103" i="37" s="1"/>
  <c r="K103" i="37" s="1"/>
  <c r="L103" i="37" s="1"/>
  <c r="M103" i="37" s="1"/>
  <c r="F29" i="36"/>
  <c r="AA29" i="36" s="1"/>
  <c r="F16" i="36"/>
  <c r="AA16" i="36" s="1"/>
  <c r="AA31" i="36"/>
  <c r="AC31" i="36"/>
  <c r="W31" i="36"/>
  <c r="J33" i="36"/>
  <c r="H22" i="35"/>
  <c r="AB22" i="35" s="1"/>
  <c r="W28" i="35"/>
  <c r="S31" i="35"/>
  <c r="F36" i="34"/>
  <c r="J35" i="34"/>
  <c r="H39" i="33"/>
  <c r="AB39" i="33" s="1"/>
  <c r="U35" i="33"/>
  <c r="H39" i="37"/>
  <c r="W8" i="40"/>
  <c r="AC9" i="40"/>
  <c r="U9" i="40"/>
  <c r="S34" i="40"/>
  <c r="U38" i="40"/>
  <c r="S38" i="40"/>
  <c r="F42" i="39"/>
  <c r="F41" i="39"/>
  <c r="S41" i="39" s="1"/>
  <c r="H40" i="39"/>
  <c r="AB40" i="39" s="1"/>
  <c r="H39" i="39"/>
  <c r="U39" i="39" s="1"/>
  <c r="S34" i="39"/>
  <c r="H34" i="39"/>
  <c r="H31" i="39"/>
  <c r="AB31" i="39" s="1"/>
  <c r="H19" i="39"/>
  <c r="AB19" i="39" s="1"/>
  <c r="F19" i="39"/>
  <c r="AA19" i="39" s="1"/>
  <c r="H17" i="39"/>
  <c r="F17" i="39"/>
  <c r="AA17" i="39"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AC17" i="39" s="1"/>
  <c r="J27" i="39"/>
  <c r="AC27" i="39" s="1"/>
  <c r="F27" i="39"/>
  <c r="S27" i="39" s="1"/>
  <c r="F11" i="21"/>
  <c r="S11" i="21" s="1"/>
  <c r="S40" i="21"/>
  <c r="U34" i="21"/>
  <c r="S34" i="21"/>
  <c r="C27" i="39"/>
  <c r="H11" i="39"/>
  <c r="H32" i="33"/>
  <c r="AB32" i="33" s="1"/>
  <c r="H11" i="21"/>
  <c r="U11" i="21" s="1"/>
  <c r="J11" i="21"/>
  <c r="W11" i="21" s="1"/>
  <c r="H37" i="40"/>
  <c r="U37" i="40" s="1"/>
  <c r="F35" i="40"/>
  <c r="AA35" i="40" s="1"/>
  <c r="AB12" i="35"/>
  <c r="F37" i="39"/>
  <c r="AA37" i="39" s="1"/>
  <c r="J34" i="36"/>
  <c r="U30" i="36"/>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U8" i="35"/>
  <c r="F14" i="35"/>
  <c r="AA14" i="35" s="1"/>
  <c r="F23" i="35"/>
  <c r="AA23" i="35" s="1"/>
  <c r="J32" i="35"/>
  <c r="AC32" i="35" s="1"/>
  <c r="J16" i="35"/>
  <c r="H16" i="35"/>
  <c r="U16" i="35" s="1"/>
  <c r="F16" i="35"/>
  <c r="S16" i="35" s="1"/>
  <c r="H14" i="35"/>
  <c r="AB14" i="35" s="1"/>
  <c r="J29" i="35"/>
  <c r="AC29" i="35" s="1"/>
  <c r="H33" i="35"/>
  <c r="AB33" i="35" s="1"/>
  <c r="AC8" i="35"/>
  <c r="J20" i="35"/>
  <c r="W20" i="35" s="1"/>
  <c r="F35" i="37"/>
  <c r="S35" i="37" s="1"/>
  <c r="J34" i="37"/>
  <c r="W34" i="37" s="1"/>
  <c r="J33" i="37"/>
  <c r="AC33" i="37" s="1"/>
  <c r="H40" i="34"/>
  <c r="U40" i="34" s="1"/>
  <c r="H36" i="34"/>
  <c r="U36" i="34" s="1"/>
  <c r="F37" i="34"/>
  <c r="AA37" i="34" s="1"/>
  <c r="F28" i="34"/>
  <c r="F25" i="34"/>
  <c r="S25" i="34" s="1"/>
  <c r="H23" i="34"/>
  <c r="U23" i="34" s="1"/>
  <c r="J23" i="34"/>
  <c r="F19" i="34"/>
  <c r="H17" i="34"/>
  <c r="F15" i="34"/>
  <c r="S15" i="34" s="1"/>
  <c r="J15" i="34"/>
  <c r="H15" i="34"/>
  <c r="AB15" i="34" s="1"/>
  <c r="W8" i="34"/>
  <c r="J28" i="34"/>
  <c r="F41" i="33"/>
  <c r="S38" i="33"/>
  <c r="F32" i="33"/>
  <c r="AA32" i="33" s="1"/>
  <c r="J19" i="33"/>
  <c r="AC19" i="33" s="1"/>
  <c r="J15" i="33"/>
  <c r="AC15" i="33" s="1"/>
  <c r="F11" i="33"/>
  <c r="AA11" i="33" s="1"/>
  <c r="S8" i="33"/>
  <c r="F37" i="40"/>
  <c r="AA37" i="40" s="1"/>
  <c r="F36" i="40"/>
  <c r="AA36" i="40" s="1"/>
  <c r="H28" i="40"/>
  <c r="U28" i="40" s="1"/>
  <c r="F23" i="40"/>
  <c r="AA23" i="40" s="1"/>
  <c r="AB30" i="36"/>
  <c r="F29" i="35"/>
  <c r="S29" i="35" s="1"/>
  <c r="H29" i="35"/>
  <c r="AB29" i="35" s="1"/>
  <c r="H33" i="37"/>
  <c r="F33" i="37"/>
  <c r="AA33" i="37" s="1"/>
  <c r="W33" i="37"/>
  <c r="AA34" i="37"/>
  <c r="J43" i="34"/>
  <c r="W43" i="34" s="1"/>
  <c r="J40" i="34"/>
  <c r="H38" i="34"/>
  <c r="AB38" i="34" s="1"/>
  <c r="J36" i="34"/>
  <c r="W36" i="34" s="1"/>
  <c r="H37" i="34"/>
  <c r="U37" i="34" s="1"/>
  <c r="H25" i="34"/>
  <c r="AB25" i="34" s="1"/>
  <c r="J25" i="34"/>
  <c r="AC25" i="34" s="1"/>
  <c r="F23" i="34"/>
  <c r="AA23" i="34" s="1"/>
  <c r="J19" i="34"/>
  <c r="AC19" i="34" s="1"/>
  <c r="F17" i="34"/>
  <c r="AA17" i="34" s="1"/>
  <c r="J17" i="34"/>
  <c r="W17" i="34" s="1"/>
  <c r="AA15" i="34"/>
  <c r="H37" i="33"/>
  <c r="AB37" i="33" s="1"/>
  <c r="H15" i="33"/>
  <c r="AB15" i="33" s="1"/>
  <c r="H11" i="33"/>
  <c r="AB11" i="33" s="1"/>
  <c r="F28" i="40"/>
  <c r="AA28" i="40" s="1"/>
  <c r="AA29" i="35"/>
  <c r="AA38" i="34"/>
  <c r="J37" i="34"/>
  <c r="AC37" i="34" s="1"/>
  <c r="J11" i="33"/>
  <c r="W11" i="33" s="1"/>
  <c r="J42" i="21"/>
  <c r="AC42" i="21" s="1"/>
  <c r="H42" i="21"/>
  <c r="U42" i="21" s="1"/>
  <c r="J44" i="34"/>
  <c r="AC44" i="34" s="1"/>
  <c r="F44" i="34"/>
  <c r="AA44" i="34" s="1"/>
  <c r="J10" i="35"/>
  <c r="W10" i="35" s="1"/>
  <c r="J14" i="21"/>
  <c r="W14" i="21" s="1"/>
  <c r="F14" i="21"/>
  <c r="S14" i="21" s="1"/>
  <c r="H14" i="21"/>
  <c r="U14" i="21" s="1"/>
  <c r="H28" i="21"/>
  <c r="AB28" i="21" s="1"/>
  <c r="F28" i="21"/>
  <c r="AA28" i="21" s="1"/>
  <c r="J28" i="21"/>
  <c r="H30" i="21"/>
  <c r="U30" i="21" s="1"/>
  <c r="F30" i="21"/>
  <c r="S30" i="21" s="1"/>
  <c r="J30" i="21"/>
  <c r="AC30" i="21" s="1"/>
  <c r="H28" i="33"/>
  <c r="U28" i="33" s="1"/>
  <c r="F33" i="35"/>
  <c r="S33" i="35" s="1"/>
  <c r="J33" i="35"/>
  <c r="AC33" i="35" s="1"/>
  <c r="F30" i="35"/>
  <c r="S30" i="35" s="1"/>
  <c r="H10" i="36"/>
  <c r="AB10" i="36" s="1"/>
  <c r="J14" i="36"/>
  <c r="AC14" i="36" s="1"/>
  <c r="H14" i="36"/>
  <c r="U14" i="36" s="1"/>
  <c r="F28" i="36"/>
  <c r="AA28" i="36" s="1"/>
  <c r="F27" i="21"/>
  <c r="AA27" i="21" s="1"/>
  <c r="J31" i="21"/>
  <c r="AC31" i="21" s="1"/>
  <c r="F31" i="21"/>
  <c r="S31" i="21" s="1"/>
  <c r="F45" i="21"/>
  <c r="AA45" i="21" s="1"/>
  <c r="F27" i="33"/>
  <c r="AA27" i="33" s="1"/>
  <c r="H13" i="33"/>
  <c r="AB13" i="33" s="1"/>
  <c r="J29" i="33"/>
  <c r="AC29" i="33" s="1"/>
  <c r="F29" i="33"/>
  <c r="S29" i="33" s="1"/>
  <c r="H31" i="33"/>
  <c r="H45" i="33"/>
  <c r="U45" i="33" s="1"/>
  <c r="F45" i="33"/>
  <c r="AA45" i="33" s="1"/>
  <c r="F14" i="34"/>
  <c r="S14" i="34" s="1"/>
  <c r="H30" i="34"/>
  <c r="AB30" i="34" s="1"/>
  <c r="J30" i="34"/>
  <c r="F32" i="34"/>
  <c r="AA32" i="34" s="1"/>
  <c r="H46" i="34"/>
  <c r="U46" i="34" s="1"/>
  <c r="J46" i="34"/>
  <c r="AC46" i="34" s="1"/>
  <c r="J11" i="35"/>
  <c r="AC11" i="35" s="1"/>
  <c r="J26" i="36"/>
  <c r="W26" i="36" s="1"/>
  <c r="H28" i="36"/>
  <c r="U28" i="36" s="1"/>
  <c r="J32" i="36"/>
  <c r="W32" i="36" s="1"/>
  <c r="H11" i="36"/>
  <c r="H13" i="36"/>
  <c r="AB13" i="36" s="1"/>
  <c r="J13" i="36"/>
  <c r="W13" i="36" s="1"/>
  <c r="F13" i="36"/>
  <c r="S13" i="36" s="1"/>
  <c r="J29" i="37"/>
  <c r="W29" i="37" s="1"/>
  <c r="F29" i="37"/>
  <c r="S29" i="37" s="1"/>
  <c r="F105" i="37"/>
  <c r="H36" i="37"/>
  <c r="AB36" i="37" s="1"/>
  <c r="J37" i="37"/>
  <c r="AC37" i="37" s="1"/>
  <c r="H37" i="37"/>
  <c r="U37" i="37" s="1"/>
  <c r="J40" i="37"/>
  <c r="AC40" i="37" s="1"/>
  <c r="H14" i="33"/>
  <c r="U14" i="33" s="1"/>
  <c r="J14" i="33"/>
  <c r="F30" i="33"/>
  <c r="AA30" i="33" s="1"/>
  <c r="H44" i="33"/>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H13" i="37"/>
  <c r="AB13" i="37" s="1"/>
  <c r="F13" i="37"/>
  <c r="S13" i="37" s="1"/>
  <c r="J13" i="37"/>
  <c r="W13" i="37" s="1"/>
  <c r="F28" i="37"/>
  <c r="AA28" i="37" s="1"/>
  <c r="J38" i="37"/>
  <c r="AC38" i="37" s="1"/>
  <c r="J14" i="39"/>
  <c r="H14" i="39"/>
  <c r="AB14" i="39" s="1"/>
  <c r="H30" i="40"/>
  <c r="AB30" i="40" s="1"/>
  <c r="F33" i="40"/>
  <c r="AA33" i="40" s="1"/>
  <c r="J35" i="40"/>
  <c r="AC35" i="40" s="1"/>
  <c r="J37" i="40"/>
  <c r="AC37" i="40" s="1"/>
  <c r="H13" i="40"/>
  <c r="U13" i="40" s="1"/>
  <c r="F13" i="40"/>
  <c r="AA13" i="40" s="1"/>
  <c r="F27" i="37"/>
  <c r="AA27" i="37" s="1"/>
  <c r="H14" i="40"/>
  <c r="J36" i="37"/>
  <c r="AC36" i="37" s="1"/>
  <c r="G105" i="37"/>
  <c r="J10" i="36"/>
  <c r="AC10" i="36" s="1"/>
  <c r="AB30" i="21"/>
  <c r="AC13" i="36"/>
  <c r="W11" i="35"/>
  <c r="S45" i="33"/>
  <c r="BA585" i="3"/>
  <c r="AZ585" i="3" s="1"/>
  <c r="F17" i="21"/>
  <c r="AA17" i="21" s="1"/>
  <c r="H17" i="21"/>
  <c r="AB17" i="21" s="1"/>
  <c r="F15" i="21"/>
  <c r="S15" i="21" s="1"/>
  <c r="AB11" i="21"/>
  <c r="J41" i="39"/>
  <c r="W41" i="39" s="1"/>
  <c r="G536" i="3"/>
  <c r="G514" i="3"/>
  <c r="G584" i="3"/>
  <c r="G560" i="3"/>
  <c r="BL572" i="3"/>
  <c r="BL542" i="3"/>
  <c r="BL574" i="3"/>
  <c r="BL544" i="3"/>
  <c r="BL524" i="3"/>
  <c r="BA584" i="3"/>
  <c r="BA576" i="3"/>
  <c r="BA568" i="3"/>
  <c r="BA524" i="3"/>
  <c r="AZ524" i="3" s="1"/>
  <c r="BA587" i="3"/>
  <c r="BA577" i="3"/>
  <c r="BA569" i="3"/>
  <c r="BA549" i="3"/>
  <c r="BA533" i="3"/>
  <c r="BA497" i="3"/>
  <c r="G579" i="3"/>
  <c r="G571" i="3"/>
  <c r="BL558" i="3"/>
  <c r="AC557" i="3"/>
  <c r="G557" i="3" s="1"/>
  <c r="BQ557" i="3"/>
  <c r="BQ583" i="3"/>
  <c r="BQ581" i="3"/>
  <c r="BQ579" i="3"/>
  <c r="BQ577" i="3"/>
  <c r="BQ575" i="3"/>
  <c r="BQ573" i="3"/>
  <c r="BL573" i="3" s="1"/>
  <c r="BQ571" i="3"/>
  <c r="BQ569" i="3"/>
  <c r="BL569" i="3" s="1"/>
  <c r="BQ567" i="3"/>
  <c r="BL567" i="3"/>
  <c r="BQ565" i="3"/>
  <c r="BQ563" i="3"/>
  <c r="BL563" i="3" s="1"/>
  <c r="BQ561" i="3"/>
  <c r="BQ559" i="3"/>
  <c r="BL559" i="3" s="1"/>
  <c r="G541" i="3"/>
  <c r="BQ555" i="3"/>
  <c r="BQ553" i="3"/>
  <c r="BQ551" i="3"/>
  <c r="BQ549" i="3"/>
  <c r="BQ547" i="3"/>
  <c r="BQ545" i="3"/>
  <c r="BQ543" i="3"/>
  <c r="BQ541" i="3"/>
  <c r="BQ539" i="3"/>
  <c r="BQ537" i="3"/>
  <c r="BQ535" i="3"/>
  <c r="BQ533" i="3"/>
  <c r="BQ531" i="3"/>
  <c r="BQ529" i="3"/>
  <c r="BQ527" i="3"/>
  <c r="BQ525" i="3"/>
  <c r="BQ523" i="3"/>
  <c r="AC521" i="3"/>
  <c r="G521" i="3" s="1"/>
  <c r="BQ521" i="3"/>
  <c r="G517" i="3"/>
  <c r="BQ519" i="3"/>
  <c r="BQ517" i="3"/>
  <c r="BQ515" i="3"/>
  <c r="BQ513" i="3"/>
  <c r="BQ511" i="3"/>
  <c r="AC509" i="3"/>
  <c r="BQ509" i="3"/>
  <c r="G50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AB43" i="33" s="1"/>
  <c r="H17" i="37"/>
  <c r="U17" i="37" s="1"/>
  <c r="F39" i="33"/>
  <c r="AA39" i="33" s="1"/>
  <c r="E123" i="33"/>
  <c r="F123" i="33" s="1"/>
  <c r="F42" i="33"/>
  <c r="AA42" i="33" s="1"/>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AA37" i="37" s="1"/>
  <c r="H31" i="40"/>
  <c r="U31" i="40" s="1"/>
  <c r="AA41" i="34"/>
  <c r="H19" i="37"/>
  <c r="AB19" i="37"/>
  <c r="G123" i="33"/>
  <c r="H123" i="33" s="1"/>
  <c r="I123" i="33" s="1"/>
  <c r="J123" i="33" s="1"/>
  <c r="K123" i="33" s="1"/>
  <c r="L123" i="33" s="1"/>
  <c r="M123" i="33" s="1"/>
  <c r="H42" i="33"/>
  <c r="AB42" i="33"/>
  <c r="J43" i="33"/>
  <c r="AC43" i="33" s="1"/>
  <c r="S28" i="31"/>
  <c r="S27" i="31"/>
  <c r="S26" i="31"/>
  <c r="W23" i="35"/>
  <c r="W37" i="34"/>
  <c r="AB37" i="34"/>
  <c r="AC36" i="34"/>
  <c r="U19" i="21"/>
  <c r="AB38" i="21"/>
  <c r="F43" i="33"/>
  <c r="AA43" i="33"/>
  <c r="H37" i="21"/>
  <c r="U37" i="21" s="1"/>
  <c r="H19" i="34"/>
  <c r="AB19" i="34"/>
  <c r="S36" i="35"/>
  <c r="F15" i="37"/>
  <c r="AA15" i="37" s="1"/>
  <c r="F31" i="37"/>
  <c r="S31" i="37" s="1"/>
  <c r="J42" i="39"/>
  <c r="AC42" i="39" s="1"/>
  <c r="H21" i="40"/>
  <c r="AB21" i="40" s="1"/>
  <c r="H31" i="37"/>
  <c r="U31" i="37" s="1"/>
  <c r="J15" i="37"/>
  <c r="W15" i="37" s="1"/>
  <c r="AT6" i="3"/>
  <c r="C12" i="43"/>
  <c r="H19" i="40"/>
  <c r="U19" i="40"/>
  <c r="F19" i="40"/>
  <c r="S19" i="40" s="1"/>
  <c r="W23" i="39"/>
  <c r="AB44" i="39"/>
  <c r="U44" i="39"/>
  <c r="H25" i="39"/>
  <c r="AB25" i="39" s="1"/>
  <c r="J25" i="39"/>
  <c r="W25" i="39" s="1"/>
  <c r="F25" i="39"/>
  <c r="AA25" i="39" s="1"/>
  <c r="F15" i="39"/>
  <c r="AA15" i="39" s="1"/>
  <c r="H15" i="39"/>
  <c r="U15" i="39" s="1"/>
  <c r="J15" i="39"/>
  <c r="W15" i="39" s="1"/>
  <c r="H41" i="39"/>
  <c r="U41" i="39" s="1"/>
  <c r="W27" i="39"/>
  <c r="U40" i="39"/>
  <c r="AA41"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A12" i="52"/>
  <c r="B56" i="72" s="1"/>
  <c r="S11" i="39"/>
  <c r="G4" i="4"/>
  <c r="I4" i="4"/>
  <c r="A2" i="9"/>
  <c r="F59" i="43"/>
  <c r="H62" i="43" s="1"/>
  <c r="AZ20"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AZ135" i="3" s="1"/>
  <c r="BL136" i="3"/>
  <c r="G137" i="3"/>
  <c r="BA139" i="3"/>
  <c r="AZ139" i="3" s="1"/>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36" i="3"/>
  <c r="AZ200" i="3"/>
  <c r="AZ120" i="3"/>
  <c r="G53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AZ390" i="3" s="1"/>
  <c r="G391" i="3"/>
  <c r="G394" i="3"/>
  <c r="AZ138" i="3"/>
  <c r="AZ194" i="3"/>
  <c r="BA16" i="3"/>
  <c r="BL303" i="3"/>
  <c r="G304" i="3"/>
  <c r="BA306" i="3"/>
  <c r="BL307" i="3"/>
  <c r="AZ307" i="3" s="1"/>
  <c r="G308" i="3"/>
  <c r="BA310" i="3"/>
  <c r="AZ310" i="3" s="1"/>
  <c r="BL311" i="3"/>
  <c r="AZ311" i="3" s="1"/>
  <c r="G312" i="3"/>
  <c r="BA314" i="3"/>
  <c r="AZ314" i="3" s="1"/>
  <c r="BL315" i="3"/>
  <c r="G316" i="3"/>
  <c r="BA318" i="3"/>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303"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233" i="3"/>
  <c r="AZ237" i="3"/>
  <c r="BA379" i="3"/>
  <c r="BL380" i="3"/>
  <c r="G381" i="3"/>
  <c r="BA383" i="3"/>
  <c r="AZ383" i="3" s="1"/>
  <c r="BL384" i="3"/>
  <c r="G385" i="3"/>
  <c r="BA387" i="3"/>
  <c r="AZ387" i="3" s="1"/>
  <c r="BL388" i="3"/>
  <c r="G389" i="3"/>
  <c r="BA391" i="3"/>
  <c r="AZ391" i="3" s="1"/>
  <c r="BL392" i="3"/>
  <c r="G393" i="3"/>
  <c r="BQ5" i="3"/>
  <c r="BN5" i="3"/>
  <c r="G17" i="3"/>
  <c r="BA17" i="3"/>
  <c r="BA15" i="3"/>
  <c r="BB5" i="3"/>
  <c r="E8" i="6" s="1"/>
  <c r="F36" i="43"/>
  <c r="H113" i="43"/>
  <c r="F48" i="43"/>
  <c r="H52" i="43" s="1"/>
  <c r="F70" i="43"/>
  <c r="H73" i="43" s="1"/>
  <c r="M11" i="43"/>
  <c r="D17" i="43"/>
  <c r="F39" i="43"/>
  <c r="I17" i="43"/>
  <c r="F35" i="43"/>
  <c r="J17" i="43"/>
  <c r="F6" i="1"/>
  <c r="G6" i="1" s="1"/>
  <c r="S14" i="35"/>
  <c r="U35" i="21"/>
  <c r="AC35" i="21"/>
  <c r="G8" i="1"/>
  <c r="G9" i="1"/>
  <c r="G10" i="1"/>
  <c r="W44" i="34"/>
  <c r="U13" i="37"/>
  <c r="J37" i="33"/>
  <c r="W37" i="33"/>
  <c r="AC17" i="34"/>
  <c r="F106" i="33"/>
  <c r="G106" i="33" s="1"/>
  <c r="H106" i="33" s="1"/>
  <c r="I106" i="33" s="1"/>
  <c r="J106" i="33" s="1"/>
  <c r="K106" i="33" s="1"/>
  <c r="L106" i="33" s="1"/>
  <c r="M106" i="33" s="1"/>
  <c r="J34" i="33"/>
  <c r="W34" i="33" s="1"/>
  <c r="F33" i="34"/>
  <c r="S33" i="34" s="1"/>
  <c r="H20" i="36"/>
  <c r="U20" i="36" s="1"/>
  <c r="J20" i="36"/>
  <c r="W20" i="36" s="1"/>
  <c r="W24" i="36"/>
  <c r="J27" i="36"/>
  <c r="W27" i="36" s="1"/>
  <c r="H35" i="40"/>
  <c r="AB35" i="40" s="1"/>
  <c r="W29" i="35"/>
  <c r="H35" i="37"/>
  <c r="U35" i="37" s="1"/>
  <c r="AC14" i="35"/>
  <c r="H20" i="35"/>
  <c r="U20" i="35" s="1"/>
  <c r="F20" i="35"/>
  <c r="AA20" i="35" s="1"/>
  <c r="AB29" i="36"/>
  <c r="H32" i="37"/>
  <c r="AB32" i="37" s="1"/>
  <c r="F96" i="37"/>
  <c r="J27" i="40"/>
  <c r="AC27" i="40" s="1"/>
  <c r="J30" i="40"/>
  <c r="AC30" i="40" s="1"/>
  <c r="E98" i="40"/>
  <c r="F98" i="40" s="1"/>
  <c r="G98" i="40" s="1"/>
  <c r="H98" i="40" s="1"/>
  <c r="I98" i="40" s="1"/>
  <c r="J98" i="40" s="1"/>
  <c r="K98" i="40" s="1"/>
  <c r="L98" i="40" s="1"/>
  <c r="M98" i="40" s="1"/>
  <c r="F10" i="33"/>
  <c r="F34" i="33"/>
  <c r="H34" i="33"/>
  <c r="U34" i="33" s="1"/>
  <c r="F35" i="33"/>
  <c r="F39" i="34"/>
  <c r="S39" i="34" s="1"/>
  <c r="J39" i="34"/>
  <c r="F40" i="34"/>
  <c r="S40" i="34" s="1"/>
  <c r="F43" i="34"/>
  <c r="AA43" i="34" s="1"/>
  <c r="H44" i="34"/>
  <c r="AC38" i="39"/>
  <c r="F39" i="39"/>
  <c r="S39" i="39" s="1"/>
  <c r="J39" i="39"/>
  <c r="AC39" i="39" s="1"/>
  <c r="E97" i="39"/>
  <c r="F97" i="39" s="1"/>
  <c r="G97" i="39" s="1"/>
  <c r="AZ386" i="3"/>
  <c r="C40" i="11"/>
  <c r="AZ235" i="3"/>
  <c r="AZ240" i="3"/>
  <c r="AZ256" i="3"/>
  <c r="AZ117" i="3"/>
  <c r="AZ130" i="3"/>
  <c r="AZ133" i="3"/>
  <c r="AZ58" i="3"/>
  <c r="AZ61" i="3"/>
  <c r="AZ77" i="3"/>
  <c r="I20" i="43"/>
  <c r="F23" i="39"/>
  <c r="AA23" i="39" s="1"/>
  <c r="H27" i="36"/>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AE9" i="1"/>
  <c r="D93" i="9"/>
  <c r="AB34" i="36"/>
  <c r="U34" i="36"/>
  <c r="AB33" i="36"/>
  <c r="U33" i="36"/>
  <c r="W39" i="40"/>
  <c r="BL14" i="3"/>
  <c r="AA47" i="34"/>
  <c r="W28" i="37"/>
  <c r="S19" i="39"/>
  <c r="F12" i="33"/>
  <c r="S12" i="33" s="1"/>
  <c r="H12" i="39"/>
  <c r="F39" i="40"/>
  <c r="AA39" i="40" s="1"/>
  <c r="BA14" i="3"/>
  <c r="AZ238" i="3"/>
  <c r="AZ181" i="3"/>
  <c r="AZ189" i="3"/>
  <c r="S12" i="1"/>
  <c r="AQ12" i="1" s="1"/>
  <c r="R12" i="1"/>
  <c r="B12" i="1"/>
  <c r="E12" i="1" s="1"/>
  <c r="S10" i="1"/>
  <c r="R10" i="1"/>
  <c r="B10" i="1"/>
  <c r="E10" i="1"/>
  <c r="K12" i="1"/>
  <c r="M12" i="1" s="1"/>
  <c r="O12" i="1" s="1"/>
  <c r="S13" i="1"/>
  <c r="AR13" i="1" s="1"/>
  <c r="R13" i="1"/>
  <c r="S11" i="1"/>
  <c r="AQ11" i="1" s="1"/>
  <c r="R11" i="1"/>
  <c r="S9" i="1"/>
  <c r="AR9" i="1" s="1"/>
  <c r="R9" i="1"/>
  <c r="J51" i="67"/>
  <c r="C42" i="1"/>
  <c r="C24" i="12" s="1"/>
  <c r="H100" i="43"/>
  <c r="AC34" i="33"/>
  <c r="J100" i="43"/>
  <c r="AB37" i="40"/>
  <c r="AA19" i="40"/>
  <c r="S28" i="40"/>
  <c r="AB19" i="40"/>
  <c r="W42" i="39"/>
  <c r="W39" i="39"/>
  <c r="F32" i="39"/>
  <c r="AA32" i="39" s="1"/>
  <c r="F107" i="39"/>
  <c r="G107" i="39"/>
  <c r="AB27" i="39"/>
  <c r="J21" i="39"/>
  <c r="AC21" i="39" s="1"/>
  <c r="F21" i="39"/>
  <c r="AA21" i="39" s="1"/>
  <c r="G95" i="39"/>
  <c r="H21" i="39"/>
  <c r="AB21" i="39" s="1"/>
  <c r="W19" i="39"/>
  <c r="U19" i="39"/>
  <c r="S17" i="39"/>
  <c r="AC15" i="39"/>
  <c r="S15" i="39"/>
  <c r="S9" i="39"/>
  <c r="U14" i="39"/>
  <c r="U26" i="36"/>
  <c r="S33" i="36"/>
  <c r="S27" i="36"/>
  <c r="AA26" i="36"/>
  <c r="AA34" i="36"/>
  <c r="S29" i="36"/>
  <c r="AA22" i="36"/>
  <c r="W14" i="36"/>
  <c r="AB14" i="36"/>
  <c r="S16" i="36"/>
  <c r="S24" i="36"/>
  <c r="U24" i="36"/>
  <c r="AB20" i="36"/>
  <c r="S14" i="36"/>
  <c r="W10" i="36"/>
  <c r="AA25" i="35"/>
  <c r="S23" i="35"/>
  <c r="U29" i="35"/>
  <c r="U28" i="35"/>
  <c r="AB27" i="35"/>
  <c r="U32" i="35"/>
  <c r="AA33" i="35"/>
  <c r="AC30" i="35"/>
  <c r="S32" i="35"/>
  <c r="AA36" i="35"/>
  <c r="W32" i="35"/>
  <c r="AB16" i="35"/>
  <c r="U22" i="35"/>
  <c r="AC20" i="35"/>
  <c r="S22" i="35"/>
  <c r="U14" i="35"/>
  <c r="AC10" i="35"/>
  <c r="AA10" i="35"/>
  <c r="S8" i="35"/>
  <c r="AC9" i="35"/>
  <c r="W9" i="35"/>
  <c r="F9" i="35"/>
  <c r="AA9" i="35" s="1"/>
  <c r="H9" i="35"/>
  <c r="AB9" i="35" s="1"/>
  <c r="F26" i="35"/>
  <c r="AA26" i="35" s="1"/>
  <c r="J26" i="35"/>
  <c r="W26" i="35" s="1"/>
  <c r="H26" i="35"/>
  <c r="U26" i="35" s="1"/>
  <c r="AC29" i="37"/>
  <c r="U29" i="37"/>
  <c r="S32" i="37"/>
  <c r="W30" i="37"/>
  <c r="S36" i="37"/>
  <c r="AC35" i="37"/>
  <c r="S30" i="37"/>
  <c r="J17" i="37"/>
  <c r="W17" i="37" s="1"/>
  <c r="G73" i="37"/>
  <c r="F17" i="37"/>
  <c r="AA17" i="37" s="1"/>
  <c r="AB17" i="37"/>
  <c r="F19" i="37"/>
  <c r="S19" i="37" s="1"/>
  <c r="F79" i="37"/>
  <c r="F23" i="37"/>
  <c r="S23" i="37" s="1"/>
  <c r="U23" i="37"/>
  <c r="U15" i="37"/>
  <c r="AC13" i="37"/>
  <c r="H10" i="37"/>
  <c r="AB10" i="37" s="1"/>
  <c r="H60" i="37"/>
  <c r="F63" i="37"/>
  <c r="G63" i="37" s="1"/>
  <c r="H63" i="37" s="1"/>
  <c r="I63" i="37" s="1"/>
  <c r="J63" i="37" s="1"/>
  <c r="K63" i="37" s="1"/>
  <c r="L63" i="37" s="1"/>
  <c r="M63" i="37" s="1"/>
  <c r="F11" i="37"/>
  <c r="S11" i="37"/>
  <c r="W25" i="34"/>
  <c r="AA33" i="34"/>
  <c r="W41" i="34"/>
  <c r="AC42" i="34"/>
  <c r="AB35" i="34"/>
  <c r="S43" i="34"/>
  <c r="W34" i="34"/>
  <c r="AA25" i="34"/>
  <c r="U28" i="34"/>
  <c r="S17" i="34"/>
  <c r="S23" i="34"/>
  <c r="U15" i="34"/>
  <c r="H67" i="34"/>
  <c r="H10" i="34"/>
  <c r="AB10" i="34" s="1"/>
  <c r="F11" i="34"/>
  <c r="S11" i="34"/>
  <c r="W42" i="33"/>
  <c r="S32" i="33"/>
  <c r="AA29" i="33"/>
  <c r="AB29" i="33"/>
  <c r="W38" i="33"/>
  <c r="H41" i="33"/>
  <c r="AB41" i="33" s="1"/>
  <c r="U42" i="33"/>
  <c r="F36" i="33"/>
  <c r="AA36" i="33" s="1"/>
  <c r="G111" i="33"/>
  <c r="G108" i="33"/>
  <c r="H108" i="33" s="1"/>
  <c r="I108" i="33" s="1"/>
  <c r="J108" i="33" s="1"/>
  <c r="K108" i="33" s="1"/>
  <c r="L108" i="33" s="1"/>
  <c r="M108" i="33" s="1"/>
  <c r="J35" i="33"/>
  <c r="S37" i="33"/>
  <c r="S39" i="33"/>
  <c r="G101" i="33"/>
  <c r="H101" i="33" s="1"/>
  <c r="I101" i="33" s="1"/>
  <c r="J101" i="33" s="1"/>
  <c r="K101" i="33" s="1"/>
  <c r="L101" i="33" s="1"/>
  <c r="M101" i="33" s="1"/>
  <c r="J32" i="33"/>
  <c r="W32" i="33" s="1"/>
  <c r="W43" i="33"/>
  <c r="S43" i="33"/>
  <c r="F91" i="33"/>
  <c r="H27" i="33"/>
  <c r="U27" i="33" s="1"/>
  <c r="H25" i="33"/>
  <c r="AB25" i="33" s="1"/>
  <c r="F25" i="33"/>
  <c r="AA25" i="33" s="1"/>
  <c r="J23" i="33"/>
  <c r="W23" i="33" s="1"/>
  <c r="H23" i="33"/>
  <c r="U23" i="33" s="1"/>
  <c r="F19" i="33"/>
  <c r="S19" i="33" s="1"/>
  <c r="W19" i="33"/>
  <c r="J17" i="33"/>
  <c r="AC17" i="33" s="1"/>
  <c r="F79" i="33"/>
  <c r="S15" i="33"/>
  <c r="U9" i="33"/>
  <c r="J10" i="33"/>
  <c r="W10" i="33" s="1"/>
  <c r="H10" i="33"/>
  <c r="AB10" i="33" s="1"/>
  <c r="W43" i="21"/>
  <c r="W36" i="21"/>
  <c r="W41" i="21"/>
  <c r="AB39" i="21"/>
  <c r="AA43" i="21"/>
  <c r="S39" i="21"/>
  <c r="AA38" i="21"/>
  <c r="J15" i="21"/>
  <c r="W15" i="21" s="1"/>
  <c r="G77" i="21"/>
  <c r="F23" i="21"/>
  <c r="S23" i="21" s="1"/>
  <c r="AC11" i="21"/>
  <c r="AA14" i="21"/>
  <c r="AB8" i="21"/>
  <c r="M3" i="43"/>
  <c r="M1" i="43"/>
  <c r="N8" i="43"/>
  <c r="D120" i="9"/>
  <c r="D121" i="9" s="1"/>
  <c r="D7" i="52" s="1"/>
  <c r="C18" i="9"/>
  <c r="D18" i="9" s="1"/>
  <c r="F34" i="67"/>
  <c r="F62" i="67" s="1"/>
  <c r="M20" i="67"/>
  <c r="F34" i="15"/>
  <c r="F62" i="15" s="1"/>
  <c r="BA13" i="3"/>
  <c r="BL17" i="3"/>
  <c r="AZ17" i="3" s="1"/>
  <c r="BL13" i="3"/>
  <c r="J56" i="9"/>
  <c r="J57" i="9" s="1"/>
  <c r="J59" i="9" s="1"/>
  <c r="J61" i="9" s="1"/>
  <c r="A24" i="51"/>
  <c r="B18" i="72" s="1"/>
  <c r="E5" i="6"/>
  <c r="D9" i="11" s="1"/>
  <c r="P10" i="1"/>
  <c r="E32" i="6"/>
  <c r="L19" i="6"/>
  <c r="G1" i="68"/>
  <c r="K1" i="12"/>
  <c r="T10" i="1"/>
  <c r="E19" i="69"/>
  <c r="E19" i="68"/>
  <c r="E19" i="11"/>
  <c r="E1" i="73"/>
  <c r="G22" i="69"/>
  <c r="G22" i="68"/>
  <c r="G26" i="12"/>
  <c r="G22" i="11"/>
  <c r="C100" i="43"/>
  <c r="E11" i="43"/>
  <c r="E10" i="43"/>
  <c r="E9" i="43"/>
  <c r="E8" i="43"/>
  <c r="E81" i="43"/>
  <c r="B79" i="43" s="1"/>
  <c r="C24" i="43" s="1"/>
  <c r="E48" i="43"/>
  <c r="B46" i="43" s="1"/>
  <c r="E70" i="43"/>
  <c r="B68" i="43" s="1"/>
  <c r="F100" i="43"/>
  <c r="H17" i="43"/>
  <c r="H78" i="43"/>
  <c r="H71" i="43"/>
  <c r="C17" i="43"/>
  <c r="F33" i="43"/>
  <c r="K17" i="43"/>
  <c r="F34" i="43"/>
  <c r="N6" i="43"/>
  <c r="N3" i="43"/>
  <c r="F38" i="43"/>
  <c r="F37" i="43"/>
  <c r="M9" i="43"/>
  <c r="N5" i="43"/>
  <c r="M12" i="43"/>
  <c r="B19" i="53"/>
  <c r="B37" i="72" s="1"/>
  <c r="C7" i="39"/>
  <c r="C68" i="39" s="1"/>
  <c r="C70" i="39" s="1"/>
  <c r="C7" i="35"/>
  <c r="C7" i="33"/>
  <c r="C58" i="33" s="1"/>
  <c r="C7" i="21"/>
  <c r="C58" i="21" s="1"/>
  <c r="C7" i="40"/>
  <c r="C63" i="40" s="1"/>
  <c r="M47" i="9"/>
  <c r="G19" i="43"/>
  <c r="O19" i="43" s="1"/>
  <c r="T35" i="4"/>
  <c r="A19" i="51" s="1"/>
  <c r="B14" i="72" s="1"/>
  <c r="C46" i="36"/>
  <c r="D46" i="36" s="1"/>
  <c r="E46" i="36" s="1"/>
  <c r="F46" i="36" s="1"/>
  <c r="G46" i="36" s="1"/>
  <c r="H46" i="36" s="1"/>
  <c r="I46" i="36" s="1"/>
  <c r="C52" i="37"/>
  <c r="D52" i="37" s="1"/>
  <c r="A4" i="51"/>
  <c r="B6" i="72" s="1"/>
  <c r="C48" i="35"/>
  <c r="D48" i="35" s="1"/>
  <c r="C4" i="12"/>
  <c r="H66" i="43"/>
  <c r="H65" i="43"/>
  <c r="H64" i="43"/>
  <c r="H63" i="43"/>
  <c r="H55" i="43"/>
  <c r="H72" i="43"/>
  <c r="L20" i="6"/>
  <c r="B6" i="1"/>
  <c r="E6" i="1" s="1"/>
  <c r="S8" i="1"/>
  <c r="AQ8" i="1" s="1"/>
  <c r="K11" i="1"/>
  <c r="M11" i="1" s="1"/>
  <c r="AP6" i="1"/>
  <c r="B9" i="1"/>
  <c r="E9" i="1" s="1"/>
  <c r="K7" i="1"/>
  <c r="G1" i="15"/>
  <c r="G1" i="69"/>
  <c r="G1" i="67"/>
  <c r="S37" i="40"/>
  <c r="AB28" i="40"/>
  <c r="W19" i="40"/>
  <c r="S36" i="40"/>
  <c r="W37" i="40"/>
  <c r="AC14" i="40"/>
  <c r="S13" i="40"/>
  <c r="S33" i="40"/>
  <c r="AB13" i="40"/>
  <c r="U8" i="40"/>
  <c r="S8" i="40"/>
  <c r="AA39" i="39"/>
  <c r="AC41" i="39"/>
  <c r="AB23" i="39"/>
  <c r="AB41" i="39"/>
  <c r="AC25" i="39"/>
  <c r="S14" i="39"/>
  <c r="AA14" i="39"/>
  <c r="AB11" i="39"/>
  <c r="U11" i="39"/>
  <c r="AA27" i="39"/>
  <c r="W17" i="39"/>
  <c r="S23" i="39"/>
  <c r="AB39" i="39"/>
  <c r="W34" i="39"/>
  <c r="U38" i="39"/>
  <c r="S8" i="39"/>
  <c r="S20" i="36"/>
  <c r="S28" i="36"/>
  <c r="AC20" i="36"/>
  <c r="AB28" i="36"/>
  <c r="AB20" i="35"/>
  <c r="AC25" i="35"/>
  <c r="AA30" i="35"/>
  <c r="U24" i="35"/>
  <c r="S35" i="35"/>
  <c r="AA16" i="35"/>
  <c r="W36" i="37"/>
  <c r="W32" i="37"/>
  <c r="AB37" i="37"/>
  <c r="S33" i="37"/>
  <c r="AC34" i="37"/>
  <c r="AB35" i="37"/>
  <c r="AA11" i="37"/>
  <c r="AA31" i="37"/>
  <c r="U19" i="37"/>
  <c r="AA29" i="37"/>
  <c r="U8" i="37"/>
  <c r="AA40" i="34"/>
  <c r="AB40" i="34"/>
  <c r="U19" i="34"/>
  <c r="W19" i="34"/>
  <c r="AC45" i="34"/>
  <c r="AA30" i="34"/>
  <c r="AB47" i="34"/>
  <c r="U25" i="34"/>
  <c r="AB36" i="34"/>
  <c r="W33" i="34"/>
  <c r="W46" i="34"/>
  <c r="S32" i="34"/>
  <c r="U30" i="34"/>
  <c r="S37" i="34"/>
  <c r="U38" i="34"/>
  <c r="AC40" i="34"/>
  <c r="W40" i="34"/>
  <c r="AA19" i="34"/>
  <c r="S19" i="34"/>
  <c r="AA36" i="34"/>
  <c r="S36" i="34"/>
  <c r="AA8" i="34"/>
  <c r="S8" i="34"/>
  <c r="AB9" i="34"/>
  <c r="S46" i="34"/>
  <c r="AA46" i="34"/>
  <c r="AC43" i="34"/>
  <c r="AA11" i="34"/>
  <c r="W23" i="34"/>
  <c r="AC23" i="34"/>
  <c r="AC35" i="34"/>
  <c r="W35" i="34"/>
  <c r="AB12" i="34"/>
  <c r="AC37" i="33"/>
  <c r="S33" i="33"/>
  <c r="AB34" i="33"/>
  <c r="U44" i="33"/>
  <c r="AB44" i="33"/>
  <c r="S30" i="33"/>
  <c r="AC14" i="33"/>
  <c r="W14" i="33"/>
  <c r="U15" i="33"/>
  <c r="S11" i="33"/>
  <c r="W9" i="33"/>
  <c r="W8" i="33"/>
  <c r="AB42" i="21"/>
  <c r="U28" i="21"/>
  <c r="AA11" i="21"/>
  <c r="S45" i="21"/>
  <c r="I101" i="21"/>
  <c r="J101" i="21" s="1"/>
  <c r="K101" i="21" s="1"/>
  <c r="L101" i="21" s="1"/>
  <c r="M101" i="21" s="1"/>
  <c r="F33" i="21"/>
  <c r="J33" i="21"/>
  <c r="AC33" i="21" s="1"/>
  <c r="H33" i="21"/>
  <c r="AB33" i="21"/>
  <c r="F37" i="21"/>
  <c r="AA37" i="21"/>
  <c r="AB14" i="21"/>
  <c r="U40" i="21"/>
  <c r="AC15" i="21"/>
  <c r="W8" i="21"/>
  <c r="AB37" i="21"/>
  <c r="J37" i="21"/>
  <c r="W37" i="21" s="1"/>
  <c r="H15" i="21"/>
  <c r="U15" i="21" s="1"/>
  <c r="J17" i="21"/>
  <c r="AC17" i="21" s="1"/>
  <c r="W39" i="21"/>
  <c r="AC14" i="21"/>
  <c r="W30" i="21"/>
  <c r="H45" i="21"/>
  <c r="U45" i="21" s="1"/>
  <c r="F13" i="21"/>
  <c r="AA13" i="21" s="1"/>
  <c r="AC38" i="21"/>
  <c r="H32" i="21"/>
  <c r="U32" i="21" s="1"/>
  <c r="H9" i="21"/>
  <c r="AB9" i="21" s="1"/>
  <c r="J9" i="21"/>
  <c r="AC9" i="21" s="1"/>
  <c r="J32" i="21"/>
  <c r="W32" i="21" s="1"/>
  <c r="F32" i="21"/>
  <c r="S32" i="21" s="1"/>
  <c r="U17" i="21"/>
  <c r="S19" i="21"/>
  <c r="S9" i="21"/>
  <c r="AA9" i="21"/>
  <c r="K141" i="21"/>
  <c r="K144" i="21"/>
  <c r="K143" i="21"/>
  <c r="AB25" i="21"/>
  <c r="AA30" i="21"/>
  <c r="AC45" i="21"/>
  <c r="F10" i="21"/>
  <c r="AA10" i="21" s="1"/>
  <c r="K145" i="21"/>
  <c r="W25" i="21"/>
  <c r="W31" i="21"/>
  <c r="S17" i="21"/>
  <c r="AA15" i="21"/>
  <c r="AC26" i="21"/>
  <c r="S28" i="21"/>
  <c r="W10" i="21"/>
  <c r="W12" i="21"/>
  <c r="AB36" i="21"/>
  <c r="C19" i="39"/>
  <c r="C15" i="40"/>
  <c r="C17" i="40"/>
  <c r="C23" i="40"/>
  <c r="C21" i="40"/>
  <c r="B54" i="43"/>
  <c r="B65" i="43"/>
  <c r="B49" i="43"/>
  <c r="B56" i="43"/>
  <c r="B60" i="43"/>
  <c r="B63" i="43"/>
  <c r="D23" i="15"/>
  <c r="D22" i="15"/>
  <c r="E4" i="4"/>
  <c r="B5" i="62" s="1"/>
  <c r="B73" i="72" s="1"/>
  <c r="C4" i="4"/>
  <c r="AQ13" i="1"/>
  <c r="T11" i="1"/>
  <c r="D19" i="12"/>
  <c r="C19" i="12" s="1"/>
  <c r="AQ9" i="1"/>
  <c r="AR11" i="1"/>
  <c r="T9" i="1"/>
  <c r="T13" i="1"/>
  <c r="S7" i="1"/>
  <c r="T7" i="1" s="1"/>
  <c r="E7" i="70"/>
  <c r="AA12" i="33"/>
  <c r="J32" i="39"/>
  <c r="AC32" i="39" s="1"/>
  <c r="H107" i="39"/>
  <c r="I107" i="39" s="1"/>
  <c r="J107" i="39" s="1"/>
  <c r="K107" i="39" s="1"/>
  <c r="L107" i="39" s="1"/>
  <c r="M107" i="39" s="1"/>
  <c r="H32" i="39"/>
  <c r="U32" i="39" s="1"/>
  <c r="S32" i="39"/>
  <c r="U21" i="39"/>
  <c r="S21" i="39"/>
  <c r="W21" i="39"/>
  <c r="U9" i="35"/>
  <c r="S9" i="35"/>
  <c r="AC26" i="35"/>
  <c r="AB26" i="35"/>
  <c r="AC17" i="37"/>
  <c r="J19" i="37"/>
  <c r="AC19" i="37" s="1"/>
  <c r="AA19" i="37"/>
  <c r="J23" i="37"/>
  <c r="W23" i="37" s="1"/>
  <c r="G79" i="37"/>
  <c r="J10" i="37"/>
  <c r="AC10" i="37" s="1"/>
  <c r="I60" i="37"/>
  <c r="H11" i="37"/>
  <c r="AB11" i="37" s="1"/>
  <c r="H11" i="34"/>
  <c r="U11" i="34" s="1"/>
  <c r="U10" i="34"/>
  <c r="J10" i="34"/>
  <c r="W10" i="34" s="1"/>
  <c r="I67" i="34"/>
  <c r="W35" i="33"/>
  <c r="AC35" i="33"/>
  <c r="H111" i="33"/>
  <c r="I111" i="33" s="1"/>
  <c r="J111" i="33" s="1"/>
  <c r="K111" i="33" s="1"/>
  <c r="L111" i="33" s="1"/>
  <c r="M111" i="33" s="1"/>
  <c r="J36" i="33"/>
  <c r="W36" i="33" s="1"/>
  <c r="H36" i="33"/>
  <c r="AB36" i="33" s="1"/>
  <c r="AC32" i="33"/>
  <c r="AB27" i="33"/>
  <c r="G91" i="33"/>
  <c r="H91" i="33" s="1"/>
  <c r="I91" i="33" s="1"/>
  <c r="J91" i="33" s="1"/>
  <c r="K91" i="33" s="1"/>
  <c r="L91" i="33" s="1"/>
  <c r="M91" i="33" s="1"/>
  <c r="J27" i="33"/>
  <c r="AC27" i="33" s="1"/>
  <c r="U25" i="33"/>
  <c r="S25" i="33"/>
  <c r="G87" i="33"/>
  <c r="H87" i="33" s="1"/>
  <c r="I87" i="33" s="1"/>
  <c r="J87" i="33" s="1"/>
  <c r="K87" i="33" s="1"/>
  <c r="L87" i="33" s="1"/>
  <c r="M87" i="33" s="1"/>
  <c r="J25" i="33"/>
  <c r="AC25" i="33" s="1"/>
  <c r="AB23" i="33"/>
  <c r="F23" i="33"/>
  <c r="AA23" i="33" s="1"/>
  <c r="G85" i="33"/>
  <c r="AC23" i="33"/>
  <c r="AA19" i="33"/>
  <c r="H19" i="33"/>
  <c r="U19" i="33" s="1"/>
  <c r="G81" i="33"/>
  <c r="G79" i="33"/>
  <c r="H17" i="33"/>
  <c r="U17" i="33" s="1"/>
  <c r="F17" i="33"/>
  <c r="S17" i="33" s="1"/>
  <c r="W17" i="33"/>
  <c r="U10" i="33"/>
  <c r="AC10" i="33"/>
  <c r="U33" i="21"/>
  <c r="S37" i="21"/>
  <c r="AB15" i="21"/>
  <c r="J23" i="21"/>
  <c r="AC23" i="21" s="1"/>
  <c r="H23" i="21"/>
  <c r="U23" i="21" s="1"/>
  <c r="AP7" i="1"/>
  <c r="AB45" i="21"/>
  <c r="S33" i="21"/>
  <c r="AA33" i="21"/>
  <c r="AC32" i="21"/>
  <c r="U9" i="21"/>
  <c r="AA32" i="21"/>
  <c r="AB32" i="21"/>
  <c r="S10" i="21"/>
  <c r="AB32" i="39"/>
  <c r="W32" i="39"/>
  <c r="W19" i="37"/>
  <c r="U11" i="37"/>
  <c r="J11" i="37"/>
  <c r="W10" i="37"/>
  <c r="AB11" i="34"/>
  <c r="AC10" i="34"/>
  <c r="J11" i="34"/>
  <c r="W11" i="34" s="1"/>
  <c r="AC36" i="33"/>
  <c r="U36" i="33"/>
  <c r="W25" i="33"/>
  <c r="AB19" i="33"/>
  <c r="W23" i="21"/>
  <c r="AC11" i="37"/>
  <c r="W11" i="37"/>
  <c r="AC11" i="34"/>
  <c r="R7" i="1"/>
  <c r="F34" i="11"/>
  <c r="F11" i="12"/>
  <c r="C23" i="12" s="1"/>
  <c r="F34" i="68"/>
  <c r="R8" i="1"/>
  <c r="AE7" i="1"/>
  <c r="AE8" i="1"/>
  <c r="AG6" i="1"/>
  <c r="H109" i="9"/>
  <c r="H112" i="9"/>
  <c r="D21" i="53" s="1"/>
  <c r="B39" i="72" s="1"/>
  <c r="H111" i="9"/>
  <c r="D126" i="9" s="1"/>
  <c r="D127" i="9" s="1"/>
  <c r="D13" i="52" s="1"/>
  <c r="AD3" i="71"/>
  <c r="J1" i="73"/>
  <c r="H77" i="43"/>
  <c r="H76" i="43"/>
  <c r="H51"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D68" i="39"/>
  <c r="D70" i="39" s="1"/>
  <c r="AB19" i="71"/>
  <c r="X17" i="71"/>
  <c r="X16" i="71"/>
  <c r="AA17" i="71"/>
  <c r="AA16" i="71"/>
  <c r="X20" i="71"/>
  <c r="Y16" i="71"/>
  <c r="Z16" i="71" s="1"/>
  <c r="AB17" i="71"/>
  <c r="AB16" i="71"/>
  <c r="C94" i="9"/>
  <c r="C92" i="9"/>
  <c r="F18" i="71"/>
  <c r="F17" i="71" s="1"/>
  <c r="F16" i="71" s="1"/>
  <c r="F15" i="71" s="1"/>
  <c r="F14" i="71" s="1"/>
  <c r="Y17" i="71"/>
  <c r="Z17" i="71" s="1"/>
  <c r="X3" i="71"/>
  <c r="M29" i="67"/>
  <c r="F26" i="15"/>
  <c r="M9" i="67"/>
  <c r="E2" i="68"/>
  <c r="D5" i="73"/>
  <c r="M8" i="67"/>
  <c r="M22" i="67"/>
  <c r="F6" i="73"/>
  <c r="AO11" i="1"/>
  <c r="AO10" i="1"/>
  <c r="AO7" i="1"/>
  <c r="B7" i="76"/>
  <c r="F9" i="15"/>
  <c r="J15" i="15"/>
  <c r="E11" i="76"/>
  <c r="B9" i="76"/>
  <c r="M28" i="15"/>
  <c r="F13" i="15"/>
  <c r="D2" i="34"/>
  <c r="E12" i="76"/>
  <c r="E13" i="76"/>
  <c r="D2" i="36"/>
  <c r="AO13" i="1"/>
  <c r="M23" i="15"/>
  <c r="B8" i="76"/>
  <c r="F7" i="73"/>
  <c r="D2" i="21"/>
  <c r="F26" i="67"/>
  <c r="B11" i="76"/>
  <c r="B13" i="76"/>
  <c r="F4" i="73"/>
  <c r="M24" i="67"/>
  <c r="E10" i="76"/>
  <c r="M27" i="67"/>
  <c r="E2" i="69"/>
  <c r="AO8" i="1"/>
  <c r="M21" i="67"/>
  <c r="F3" i="73"/>
  <c r="F36" i="67"/>
  <c r="M26" i="15"/>
  <c r="E7" i="76"/>
  <c r="D2" i="35"/>
  <c r="D2" i="37"/>
  <c r="M27" i="15"/>
  <c r="AO12" i="1"/>
  <c r="F20" i="31"/>
  <c r="D2" i="33"/>
  <c r="AO9" i="1"/>
  <c r="B10" i="76"/>
  <c r="F5" i="73"/>
  <c r="D7" i="73"/>
  <c r="E9" i="76"/>
  <c r="F13" i="67"/>
  <c r="M6" i="15"/>
  <c r="F16" i="15"/>
  <c r="F40" i="15"/>
  <c r="F8" i="15"/>
  <c r="F7" i="67"/>
  <c r="F37" i="67"/>
  <c r="B12" i="76"/>
  <c r="E8" i="76"/>
  <c r="C76" i="67"/>
  <c r="M23" i="67"/>
  <c r="F40" i="67"/>
  <c r="F8" i="67"/>
  <c r="U44" i="21" l="1"/>
  <c r="AB44" i="21"/>
  <c r="AA23" i="36"/>
  <c r="S23" i="36"/>
  <c r="AB14" i="40"/>
  <c r="U14" i="40"/>
  <c r="AB30" i="35"/>
  <c r="U30" i="35"/>
  <c r="S36" i="39"/>
  <c r="AA36" i="39"/>
  <c r="AB10" i="21"/>
  <c r="U10" i="21"/>
  <c r="J46" i="21"/>
  <c r="F46" i="21"/>
  <c r="AA46" i="21" s="1"/>
  <c r="B70" i="43"/>
  <c r="C15" i="39"/>
  <c r="B77" i="43"/>
  <c r="C25" i="39"/>
  <c r="AC33" i="33"/>
  <c r="W33" i="33"/>
  <c r="J27" i="34"/>
  <c r="F27" i="34"/>
  <c r="AA27" i="34" s="1"/>
  <c r="H27" i="34"/>
  <c r="J26" i="37"/>
  <c r="H26" i="37"/>
  <c r="H38" i="37"/>
  <c r="F38" i="37"/>
  <c r="H25" i="37"/>
  <c r="J25" i="37"/>
  <c r="J37" i="39"/>
  <c r="H37" i="39"/>
  <c r="AB37" i="39" s="1"/>
  <c r="J12" i="40"/>
  <c r="H12" i="40"/>
  <c r="H17" i="40"/>
  <c r="J17" i="40"/>
  <c r="W17" i="40" s="1"/>
  <c r="J32" i="40"/>
  <c r="H32" i="40"/>
  <c r="E76" i="40"/>
  <c r="F76" i="40" s="1"/>
  <c r="G76" i="40" s="1"/>
  <c r="H76" i="40" s="1"/>
  <c r="I76" i="40" s="1"/>
  <c r="J76" i="40" s="1"/>
  <c r="K76" i="40" s="1"/>
  <c r="L76" i="40" s="1"/>
  <c r="M76" i="40" s="1"/>
  <c r="H11" i="40"/>
  <c r="U41" i="21"/>
  <c r="AB41" i="21"/>
  <c r="U42" i="34"/>
  <c r="AB42" i="34"/>
  <c r="BL525" i="3"/>
  <c r="AZ525" i="3" s="1"/>
  <c r="BA525" i="3"/>
  <c r="BL521" i="3"/>
  <c r="AZ521" i="3" s="1"/>
  <c r="BA521" i="3"/>
  <c r="BA516" i="3"/>
  <c r="AZ516" i="3" s="1"/>
  <c r="BL504" i="3"/>
  <c r="BA500" i="3"/>
  <c r="AZ500" i="3" s="1"/>
  <c r="BK5" i="3"/>
  <c r="BO5" i="3"/>
  <c r="BL493" i="3"/>
  <c r="AB23" i="21"/>
  <c r="U31" i="33"/>
  <c r="AB31" i="33"/>
  <c r="AB33" i="37"/>
  <c r="U33" i="37"/>
  <c r="AB8" i="33"/>
  <c r="U8" i="33"/>
  <c r="AA9" i="33"/>
  <c r="S9" i="33"/>
  <c r="AA34" i="34"/>
  <c r="S34" i="34"/>
  <c r="J12" i="36"/>
  <c r="F12" i="36"/>
  <c r="AA12" i="36" s="1"/>
  <c r="U8" i="39"/>
  <c r="AB8" i="39"/>
  <c r="AC9" i="39"/>
  <c r="W9" i="39"/>
  <c r="F13" i="39"/>
  <c r="H13" i="39"/>
  <c r="W41" i="33"/>
  <c r="AC41" i="33"/>
  <c r="BL517" i="3"/>
  <c r="BA509" i="3"/>
  <c r="BA505" i="3"/>
  <c r="BS5" i="3"/>
  <c r="BC5" i="3"/>
  <c r="BF5" i="3"/>
  <c r="AA17" i="33"/>
  <c r="S23" i="33"/>
  <c r="W27" i="33"/>
  <c r="AC23" i="37"/>
  <c r="W9" i="21"/>
  <c r="D6" i="52"/>
  <c r="AC37" i="21"/>
  <c r="S36" i="33"/>
  <c r="U41" i="33"/>
  <c r="U10" i="37"/>
  <c r="AA23" i="37"/>
  <c r="S17" i="37"/>
  <c r="S26" i="35"/>
  <c r="S39" i="40"/>
  <c r="B67" i="43"/>
  <c r="B52" i="43"/>
  <c r="U30" i="40"/>
  <c r="W30" i="40"/>
  <c r="AC34" i="21"/>
  <c r="AA31" i="21"/>
  <c r="U13" i="21"/>
  <c r="U31" i="21"/>
  <c r="U37" i="33"/>
  <c r="U39" i="33"/>
  <c r="U36" i="37"/>
  <c r="S28" i="37"/>
  <c r="AA35" i="37"/>
  <c r="W29" i="36"/>
  <c r="AC25" i="36"/>
  <c r="AA45" i="39"/>
  <c r="W27" i="40"/>
  <c r="W28" i="40"/>
  <c r="C7" i="43"/>
  <c r="AC40" i="21"/>
  <c r="AC11" i="33"/>
  <c r="S27" i="33"/>
  <c r="AB41" i="34"/>
  <c r="U39" i="34"/>
  <c r="U43" i="34"/>
  <c r="AA13" i="37"/>
  <c r="AC15" i="37"/>
  <c r="W38" i="37"/>
  <c r="W13" i="35"/>
  <c r="AB10" i="35"/>
  <c r="S28" i="35"/>
  <c r="U10" i="36"/>
  <c r="U16" i="36"/>
  <c r="AA25" i="36"/>
  <c r="U22" i="36"/>
  <c r="AC26" i="36"/>
  <c r="AB15" i="39"/>
  <c r="S25" i="39"/>
  <c r="U25" i="39"/>
  <c r="S37" i="39"/>
  <c r="U21" i="40"/>
  <c r="F30" i="40"/>
  <c r="F27" i="40"/>
  <c r="S27" i="40" s="1"/>
  <c r="AB23" i="35"/>
  <c r="AZ377" i="3"/>
  <c r="AZ374" i="3"/>
  <c r="AZ361" i="3"/>
  <c r="AZ319" i="3"/>
  <c r="AZ156" i="3"/>
  <c r="S42" i="21"/>
  <c r="F32" i="40"/>
  <c r="U32" i="33"/>
  <c r="BL495" i="3"/>
  <c r="BL499" i="3"/>
  <c r="BL503" i="3"/>
  <c r="AZ569" i="3"/>
  <c r="W29" i="33"/>
  <c r="F14" i="40"/>
  <c r="AA14" i="40" s="1"/>
  <c r="J13" i="39"/>
  <c r="W13" i="39" s="1"/>
  <c r="F12" i="40"/>
  <c r="AC14" i="39"/>
  <c r="W14" i="39"/>
  <c r="H28" i="37"/>
  <c r="U28" i="37" s="1"/>
  <c r="W30" i="34"/>
  <c r="AC30" i="34"/>
  <c r="W28" i="21"/>
  <c r="AC28" i="21"/>
  <c r="S42" i="34"/>
  <c r="W40" i="33"/>
  <c r="AA41" i="33"/>
  <c r="S41" i="33"/>
  <c r="W15" i="34"/>
  <c r="AC15" i="34"/>
  <c r="J11" i="40"/>
  <c r="AC11" i="40" s="1"/>
  <c r="S40" i="39"/>
  <c r="AB17" i="39"/>
  <c r="U17" i="39"/>
  <c r="F11" i="40"/>
  <c r="AA11" i="40" s="1"/>
  <c r="S41" i="21"/>
  <c r="F28" i="33"/>
  <c r="S28" i="33" s="1"/>
  <c r="J28" i="33"/>
  <c r="W28" i="33" s="1"/>
  <c r="F9" i="34"/>
  <c r="AA9" i="34" s="1"/>
  <c r="J13" i="33"/>
  <c r="F13" i="33"/>
  <c r="AA13" i="33" s="1"/>
  <c r="J31" i="33"/>
  <c r="W31" i="33" s="1"/>
  <c r="F31" i="33"/>
  <c r="W45" i="33"/>
  <c r="AC45" i="33"/>
  <c r="J12" i="34"/>
  <c r="F12" i="34"/>
  <c r="J14" i="34"/>
  <c r="H14" i="34"/>
  <c r="H32" i="34"/>
  <c r="J32" i="34"/>
  <c r="J12" i="35"/>
  <c r="F12" i="35"/>
  <c r="AA12" i="35" s="1"/>
  <c r="H11" i="35"/>
  <c r="U11" i="35" s="1"/>
  <c r="F11" i="35"/>
  <c r="J24" i="35"/>
  <c r="F24" i="35"/>
  <c r="AA27" i="35"/>
  <c r="S27" i="35"/>
  <c r="W27" i="35"/>
  <c r="AC27" i="35"/>
  <c r="U8" i="36"/>
  <c r="AB8" i="36"/>
  <c r="H12" i="36"/>
  <c r="AC28" i="36"/>
  <c r="W28" i="36"/>
  <c r="J39" i="37"/>
  <c r="F39" i="37"/>
  <c r="AA38" i="39"/>
  <c r="S38" i="39"/>
  <c r="S9" i="40"/>
  <c r="AA9" i="40"/>
  <c r="H36" i="39"/>
  <c r="J36" i="39"/>
  <c r="BL582" i="3"/>
  <c r="BA581" i="3"/>
  <c r="BL580" i="3"/>
  <c r="BA580" i="3"/>
  <c r="BA573" i="3"/>
  <c r="AZ573" i="3" s="1"/>
  <c r="BA572" i="3"/>
  <c r="AZ572" i="3" s="1"/>
  <c r="BL566" i="3"/>
  <c r="BA565" i="3"/>
  <c r="BL564" i="3"/>
  <c r="BA564" i="3"/>
  <c r="BA561" i="3"/>
  <c r="BA560" i="3"/>
  <c r="BL556" i="3"/>
  <c r="BA541" i="3"/>
  <c r="BL532" i="3"/>
  <c r="BL526" i="3"/>
  <c r="G13" i="3"/>
  <c r="BA411" i="3"/>
  <c r="G412" i="3"/>
  <c r="AZ373" i="3"/>
  <c r="AZ371" i="3"/>
  <c r="AZ351" i="3"/>
  <c r="AZ378" i="3"/>
  <c r="AZ360" i="3"/>
  <c r="AZ343" i="3"/>
  <c r="AZ327" i="3"/>
  <c r="BL513" i="3"/>
  <c r="AZ513" i="3" s="1"/>
  <c r="BL519" i="3"/>
  <c r="BL527" i="3"/>
  <c r="BL531" i="3"/>
  <c r="BL579" i="3"/>
  <c r="BL583" i="3"/>
  <c r="G581" i="3"/>
  <c r="G580" i="3"/>
  <c r="G577" i="3"/>
  <c r="G573" i="3"/>
  <c r="G572" i="3"/>
  <c r="G556" i="3"/>
  <c r="BL555" i="3"/>
  <c r="AZ555" i="3" s="1"/>
  <c r="BA555" i="3"/>
  <c r="G555" i="3"/>
  <c r="BL554" i="3"/>
  <c r="G554" i="3"/>
  <c r="G553" i="3"/>
  <c r="G550" i="3"/>
  <c r="G547" i="3"/>
  <c r="BA546" i="3"/>
  <c r="G546" i="3"/>
  <c r="BA545" i="3"/>
  <c r="G545" i="3"/>
  <c r="G544" i="3"/>
  <c r="G543" i="3"/>
  <c r="G542" i="3"/>
  <c r="BL541" i="3"/>
  <c r="AZ541" i="3" s="1"/>
  <c r="G540" i="3"/>
  <c r="G539" i="3"/>
  <c r="G538" i="3"/>
  <c r="BA537" i="3"/>
  <c r="G537" i="3"/>
  <c r="BL536" i="3"/>
  <c r="G535" i="3"/>
  <c r="BL534" i="3"/>
  <c r="G533" i="3"/>
  <c r="G532" i="3"/>
  <c r="G531" i="3"/>
  <c r="G530" i="3"/>
  <c r="BA529" i="3"/>
  <c r="G529" i="3"/>
  <c r="BL528" i="3"/>
  <c r="BA528" i="3"/>
  <c r="G527" i="3"/>
  <c r="G525" i="3"/>
  <c r="G523" i="3"/>
  <c r="BA520" i="3"/>
  <c r="BA519" i="3"/>
  <c r="G519" i="3"/>
  <c r="G518" i="3"/>
  <c r="BL516" i="3"/>
  <c r="G516" i="3"/>
  <c r="G515" i="3"/>
  <c r="BL514" i="3"/>
  <c r="G513" i="3"/>
  <c r="BA512" i="3"/>
  <c r="BA511" i="3"/>
  <c r="G511" i="3"/>
  <c r="G510" i="3"/>
  <c r="BL508" i="3"/>
  <c r="G508" i="3"/>
  <c r="G506" i="3"/>
  <c r="G505" i="3"/>
  <c r="BA504" i="3"/>
  <c r="AZ504" i="3" s="1"/>
  <c r="G504" i="3"/>
  <c r="G503" i="3"/>
  <c r="G502" i="3"/>
  <c r="BA501" i="3"/>
  <c r="G501" i="3"/>
  <c r="BL498" i="3"/>
  <c r="G497" i="3"/>
  <c r="BL496" i="3"/>
  <c r="AZ496" i="3" s="1"/>
  <c r="BA496" i="3"/>
  <c r="G496" i="3"/>
  <c r="BT5" i="3"/>
  <c r="BR5" i="3"/>
  <c r="G495" i="3"/>
  <c r="BH5" i="3"/>
  <c r="BD5" i="3"/>
  <c r="BP5" i="3"/>
  <c r="G29" i="6" s="1"/>
  <c r="BI5" i="3"/>
  <c r="BE5" i="3"/>
  <c r="E14" i="6" s="1"/>
  <c r="BA493" i="3"/>
  <c r="G493" i="3"/>
  <c r="BL15" i="3"/>
  <c r="AZ15" i="3" s="1"/>
  <c r="A15" i="62"/>
  <c r="B61" i="72"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C32" i="71"/>
  <c r="D32" i="71" s="1"/>
  <c r="D31" i="71"/>
  <c r="G431" i="3"/>
  <c r="BA432" i="3"/>
  <c r="BL432" i="3"/>
  <c r="BA434" i="3"/>
  <c r="AZ434" i="3" s="1"/>
  <c r="BA435" i="3"/>
  <c r="AZ435" i="3" s="1"/>
  <c r="BL435" i="3"/>
  <c r="BA436" i="3"/>
  <c r="AZ436" i="3" s="1"/>
  <c r="BA437" i="3"/>
  <c r="AZ437" i="3" s="1"/>
  <c r="BA438" i="3"/>
  <c r="AZ438" i="3" s="1"/>
  <c r="BL438" i="3"/>
  <c r="BA439" i="3"/>
  <c r="AZ439" i="3" s="1"/>
  <c r="BA441" i="3"/>
  <c r="BL441" i="3"/>
  <c r="G444" i="3"/>
  <c r="BA445" i="3"/>
  <c r="AZ445" i="3" s="1"/>
  <c r="BL445" i="3"/>
  <c r="BA447" i="3"/>
  <c r="AZ447" i="3" s="1"/>
  <c r="BL447" i="3"/>
  <c r="BA448" i="3"/>
  <c r="AZ448" i="3" s="1"/>
  <c r="BA450" i="3"/>
  <c r="AZ450" i="3" s="1"/>
  <c r="BA451" i="3"/>
  <c r="AZ451" i="3" s="1"/>
  <c r="BL451" i="3"/>
  <c r="BA452" i="3"/>
  <c r="AZ452" i="3" s="1"/>
  <c r="BA454" i="3"/>
  <c r="AZ454" i="3" s="1"/>
  <c r="BL456" i="3"/>
  <c r="G457" i="3"/>
  <c r="G459" i="3"/>
  <c r="BA460" i="3"/>
  <c r="G461" i="3"/>
  <c r="G463" i="3"/>
  <c r="BA464" i="3"/>
  <c r="AZ464" i="3" s="1"/>
  <c r="BL464" i="3"/>
  <c r="BL466" i="3"/>
  <c r="G467" i="3"/>
  <c r="BL468" i="3"/>
  <c r="BL470" i="3"/>
  <c r="G475" i="3"/>
  <c r="BA476" i="3"/>
  <c r="G477" i="3"/>
  <c r="BA478" i="3"/>
  <c r="G481" i="3"/>
  <c r="G483" i="3"/>
  <c r="BA484" i="3"/>
  <c r="G485" i="3"/>
  <c r="BA486" i="3"/>
  <c r="BL486" i="3"/>
  <c r="BA488" i="3"/>
  <c r="AZ488" i="3" s="1"/>
  <c r="BL488" i="3"/>
  <c r="BA489" i="3"/>
  <c r="AZ489" i="3" s="1"/>
  <c r="BA490" i="3"/>
  <c r="AZ490" i="3" s="1"/>
  <c r="BA491" i="3"/>
  <c r="AZ491" i="3" s="1"/>
  <c r="BL491" i="3"/>
  <c r="BA492" i="3"/>
  <c r="AZ492" i="3" s="1"/>
  <c r="BA319" i="3"/>
  <c r="BA323" i="3"/>
  <c r="AZ323" i="3" s="1"/>
  <c r="G347" i="3"/>
  <c r="BL348" i="3"/>
  <c r="G349" i="3"/>
  <c r="BA350" i="3"/>
  <c r="AZ350" i="3" s="1"/>
  <c r="BA353" i="3"/>
  <c r="BL353" i="3"/>
  <c r="G358" i="3"/>
  <c r="BL359" i="3"/>
  <c r="AZ359" i="3" s="1"/>
  <c r="G362" i="3"/>
  <c r="BA368" i="3"/>
  <c r="G369" i="3"/>
  <c r="BA370" i="3"/>
  <c r="AZ370" i="3" s="1"/>
  <c r="BA374" i="3"/>
  <c r="G213" i="3"/>
  <c r="G215" i="3"/>
  <c r="G221" i="3"/>
  <c r="BL222" i="3"/>
  <c r="BL224" i="3"/>
  <c r="G229" i="3"/>
  <c r="G248" i="3"/>
  <c r="G250" i="3"/>
  <c r="G252" i="3"/>
  <c r="BL253" i="3"/>
  <c r="BL255" i="3"/>
  <c r="G258" i="3"/>
  <c r="BL259" i="3"/>
  <c r="BL261" i="3"/>
  <c r="BL263" i="3"/>
  <c r="BA265" i="3"/>
  <c r="G266" i="3"/>
  <c r="BL267" i="3"/>
  <c r="BA269" i="3"/>
  <c r="AZ269" i="3" s="1"/>
  <c r="BL269" i="3"/>
  <c r="G270" i="3"/>
  <c r="BA271" i="3"/>
  <c r="G272" i="3"/>
  <c r="BL273" i="3"/>
  <c r="G274" i="3"/>
  <c r="BA275" i="3"/>
  <c r="G276" i="3"/>
  <c r="BL277" i="3"/>
  <c r="G278" i="3"/>
  <c r="BA279" i="3"/>
  <c r="BL279" i="3"/>
  <c r="BA281" i="3"/>
  <c r="BL281" i="3"/>
  <c r="BA282" i="3"/>
  <c r="AZ282" i="3" s="1"/>
  <c r="BA283" i="3"/>
  <c r="AZ283" i="3" s="1"/>
  <c r="BL285" i="3"/>
  <c r="G286" i="3"/>
  <c r="BL287" i="3"/>
  <c r="G288" i="3"/>
  <c r="BL289" i="3"/>
  <c r="G292" i="3"/>
  <c r="BA293" i="3"/>
  <c r="BL293" i="3"/>
  <c r="BA294" i="3"/>
  <c r="AZ294" i="3" s="1"/>
  <c r="BA295" i="3"/>
  <c r="AZ295" i="3" s="1"/>
  <c r="BA296" i="3"/>
  <c r="AZ296" i="3" s="1"/>
  <c r="BA297" i="3"/>
  <c r="AZ297" i="3" s="1"/>
  <c r="BA299" i="3"/>
  <c r="BL299" i="3"/>
  <c r="BL300" i="3"/>
  <c r="G301" i="3"/>
  <c r="G123" i="3"/>
  <c r="C49" i="71"/>
  <c r="D84" i="71"/>
  <c r="D25" i="71"/>
  <c r="U25" i="71" s="1"/>
  <c r="C24" i="71"/>
  <c r="Y23" i="71"/>
  <c r="Z23" i="71" s="1"/>
  <c r="Y28" i="71"/>
  <c r="Z28" i="71" s="1"/>
  <c r="Y29" i="71"/>
  <c r="Z29" i="71" s="1"/>
  <c r="X30" i="71"/>
  <c r="X32" i="71"/>
  <c r="AI10" i="43"/>
  <c r="BA142" i="3"/>
  <c r="AZ142" i="3" s="1"/>
  <c r="G144" i="3"/>
  <c r="BL145" i="3"/>
  <c r="G146" i="3"/>
  <c r="G148" i="3"/>
  <c r="BA149" i="3"/>
  <c r="BL149" i="3"/>
  <c r="BL151" i="3"/>
  <c r="AZ151" i="3" s="1"/>
  <c r="G152" i="3"/>
  <c r="BA154" i="3"/>
  <c r="BL154" i="3"/>
  <c r="BA156" i="3"/>
  <c r="BL158" i="3"/>
  <c r="G159" i="3"/>
  <c r="BA160" i="3"/>
  <c r="AZ160" i="3" s="1"/>
  <c r="BL162" i="3"/>
  <c r="G163" i="3"/>
  <c r="BA164" i="3"/>
  <c r="AZ164" i="3" s="1"/>
  <c r="BA166" i="3"/>
  <c r="G167" i="3"/>
  <c r="G171" i="3"/>
  <c r="G200" i="3"/>
  <c r="G206" i="3"/>
  <c r="G24" i="3"/>
  <c r="G28" i="3"/>
  <c r="G30" i="3"/>
  <c r="BL31" i="3"/>
  <c r="BL33" i="3"/>
  <c r="G36" i="3"/>
  <c r="BL37" i="3"/>
  <c r="G40" i="3"/>
  <c r="BL41" i="3"/>
  <c r="BL43" i="3"/>
  <c r="G46" i="3"/>
  <c r="BL47" i="3"/>
  <c r="G69" i="3"/>
  <c r="G91" i="3"/>
  <c r="BA92" i="3"/>
  <c r="BL92" i="3"/>
  <c r="AZ92" i="3" s="1"/>
  <c r="BA94" i="3"/>
  <c r="BL94" i="3"/>
  <c r="BL95" i="3"/>
  <c r="G96" i="3"/>
  <c r="BA97" i="3"/>
  <c r="G98"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J51" i="15"/>
  <c r="K100" i="43"/>
  <c r="S21" i="37"/>
  <c r="F84" i="40"/>
  <c r="G84" i="40" s="1"/>
  <c r="F15" i="40"/>
  <c r="S15" i="40" s="1"/>
  <c r="J15" i="40"/>
  <c r="W15" i="40" s="1"/>
  <c r="H15" i="40"/>
  <c r="AB15" i="40" s="1"/>
  <c r="T12" i="1"/>
  <c r="E51" i="40"/>
  <c r="E56" i="39"/>
  <c r="AZ528" i="3"/>
  <c r="G28" i="6"/>
  <c r="G30" i="6" s="1"/>
  <c r="G31" i="6" s="1"/>
  <c r="E10" i="6"/>
  <c r="AA28" i="33"/>
  <c r="AB17" i="33"/>
  <c r="AZ493" i="3"/>
  <c r="AZ519" i="3"/>
  <c r="AZ508" i="3"/>
  <c r="W34" i="36"/>
  <c r="AC34" i="36"/>
  <c r="BL587" i="3"/>
  <c r="AZ587" i="3" s="1"/>
  <c r="BA586" i="3"/>
  <c r="J27" i="21"/>
  <c r="H27" i="21"/>
  <c r="J29" i="21"/>
  <c r="H29" i="21"/>
  <c r="AC9" i="34"/>
  <c r="W9" i="34"/>
  <c r="H23" i="36"/>
  <c r="J23" i="36"/>
  <c r="F32" i="36"/>
  <c r="H32" i="36"/>
  <c r="AA10" i="37"/>
  <c r="S10" i="37"/>
  <c r="AB30" i="37"/>
  <c r="U30" i="37"/>
  <c r="J43" i="39"/>
  <c r="H43" i="39"/>
  <c r="H45" i="39"/>
  <c r="J45" i="39"/>
  <c r="BA567" i="3"/>
  <c r="BA563" i="3"/>
  <c r="AZ563" i="3" s="1"/>
  <c r="BA559" i="3"/>
  <c r="AZ559" i="3" s="1"/>
  <c r="BA557" i="3"/>
  <c r="BA556" i="3"/>
  <c r="BA554" i="3"/>
  <c r="AZ554" i="3" s="1"/>
  <c r="BL552" i="3"/>
  <c r="BA552" i="3"/>
  <c r="AZ552" i="3" s="1"/>
  <c r="BA548" i="3"/>
  <c r="BL546" i="3"/>
  <c r="AZ546" i="3" s="1"/>
  <c r="BA544" i="3"/>
  <c r="AZ544" i="3" s="1"/>
  <c r="BA542" i="3"/>
  <c r="AZ542" i="3" s="1"/>
  <c r="BL540" i="3"/>
  <c r="BA540" i="3"/>
  <c r="AZ540" i="3" s="1"/>
  <c r="BL538" i="3"/>
  <c r="BA538" i="3"/>
  <c r="AZ538" i="3" s="1"/>
  <c r="BA536" i="3"/>
  <c r="AZ536" i="3" s="1"/>
  <c r="BA534" i="3"/>
  <c r="AZ534" i="3" s="1"/>
  <c r="BA532" i="3"/>
  <c r="BL530" i="3"/>
  <c r="BA530" i="3"/>
  <c r="BL522" i="3"/>
  <c r="BA522" i="3"/>
  <c r="BL520" i="3"/>
  <c r="AZ520" i="3" s="1"/>
  <c r="BL518" i="3"/>
  <c r="BA518" i="3"/>
  <c r="AZ518" i="3" s="1"/>
  <c r="BA514" i="3"/>
  <c r="BL512" i="3"/>
  <c r="AZ512" i="3" s="1"/>
  <c r="BL510" i="3"/>
  <c r="BA510" i="3"/>
  <c r="AZ510" i="3" s="1"/>
  <c r="BL509" i="3"/>
  <c r="BA506" i="3"/>
  <c r="AZ506" i="3" s="1"/>
  <c r="BL502" i="3"/>
  <c r="BA502" i="3"/>
  <c r="AZ502" i="3" s="1"/>
  <c r="BL500" i="3"/>
  <c r="BA498" i="3"/>
  <c r="AZ498" i="3" s="1"/>
  <c r="BA495" i="3"/>
  <c r="BL494" i="3"/>
  <c r="BA494" i="3"/>
  <c r="W33" i="36"/>
  <c r="AC33" i="36"/>
  <c r="AA35" i="39"/>
  <c r="S35" i="39"/>
  <c r="AB12" i="21"/>
  <c r="U12" i="21"/>
  <c r="AB26" i="21"/>
  <c r="U26" i="21"/>
  <c r="J44" i="21"/>
  <c r="F44" i="21"/>
  <c r="J26" i="33"/>
  <c r="F26" i="33"/>
  <c r="U12" i="36"/>
  <c r="AB12" i="36"/>
  <c r="AB31" i="36"/>
  <c r="U31" i="36"/>
  <c r="W8" i="37"/>
  <c r="AC8" i="37"/>
  <c r="J9" i="37"/>
  <c r="H9" i="37"/>
  <c r="F9" i="37"/>
  <c r="J12" i="37"/>
  <c r="H12" i="37"/>
  <c r="F12" i="37"/>
  <c r="H14" i="37"/>
  <c r="F14" i="37"/>
  <c r="S14" i="37" s="1"/>
  <c r="AB40" i="40"/>
  <c r="U40" i="40"/>
  <c r="BL568" i="3"/>
  <c r="AZ568" i="3" s="1"/>
  <c r="BA566" i="3"/>
  <c r="BL562" i="3"/>
  <c r="BA562" i="3"/>
  <c r="BL560" i="3"/>
  <c r="AZ560" i="3" s="1"/>
  <c r="BA558" i="3"/>
  <c r="AZ558" i="3" s="1"/>
  <c r="BA553" i="3"/>
  <c r="BA547" i="3"/>
  <c r="BA543" i="3"/>
  <c r="BA539" i="3"/>
  <c r="BA535" i="3"/>
  <c r="BL533" i="3"/>
  <c r="AZ533" i="3" s="1"/>
  <c r="BA531" i="3"/>
  <c r="AZ531" i="3" s="1"/>
  <c r="BA527" i="3"/>
  <c r="BA526" i="3"/>
  <c r="AZ526" i="3" s="1"/>
  <c r="BA523" i="3"/>
  <c r="BA517" i="3"/>
  <c r="BA513" i="3"/>
  <c r="BA507" i="3"/>
  <c r="BL505" i="3"/>
  <c r="AZ505" i="3" s="1"/>
  <c r="BA503" i="3"/>
  <c r="AZ503" i="3" s="1"/>
  <c r="BA499" i="3"/>
  <c r="AZ499" i="3" s="1"/>
  <c r="H5" i="3"/>
  <c r="E68" i="39"/>
  <c r="F68" i="39" s="1"/>
  <c r="H49" i="43"/>
  <c r="H48" i="43"/>
  <c r="H54" i="43"/>
  <c r="D12" i="52"/>
  <c r="W33" i="21"/>
  <c r="AA23" i="21"/>
  <c r="S27" i="21"/>
  <c r="W42" i="21"/>
  <c r="F29" i="21"/>
  <c r="S29" i="21" s="1"/>
  <c r="AC19" i="21"/>
  <c r="S35" i="21"/>
  <c r="AA26" i="21"/>
  <c r="AC28" i="33"/>
  <c r="U38" i="33"/>
  <c r="AB28" i="33"/>
  <c r="AA31" i="34"/>
  <c r="AB33" i="34"/>
  <c r="AA8" i="37"/>
  <c r="S27" i="37"/>
  <c r="W33" i="35"/>
  <c r="U25" i="35"/>
  <c r="W22" i="36"/>
  <c r="AA13" i="36"/>
  <c r="U42" i="39"/>
  <c r="AB31" i="40"/>
  <c r="H56" i="43"/>
  <c r="H53" i="43"/>
  <c r="AR12" i="1"/>
  <c r="C9" i="11"/>
  <c r="S8" i="21"/>
  <c r="AA36" i="21"/>
  <c r="AB14" i="33"/>
  <c r="W15" i="33"/>
  <c r="S42" i="33"/>
  <c r="S10" i="34"/>
  <c r="AA29" i="34"/>
  <c r="AB8" i="34"/>
  <c r="S27" i="34"/>
  <c r="U32" i="37"/>
  <c r="AB31" i="37"/>
  <c r="S25" i="37"/>
  <c r="U13" i="36"/>
  <c r="AC13" i="39"/>
  <c r="U31" i="39"/>
  <c r="AC17" i="40"/>
  <c r="S35" i="40"/>
  <c r="H50" i="43"/>
  <c r="U43" i="21"/>
  <c r="BM5" i="3"/>
  <c r="AZ369" i="3"/>
  <c r="AZ306" i="3"/>
  <c r="AZ382" i="3"/>
  <c r="AZ364" i="3"/>
  <c r="AZ356" i="3"/>
  <c r="AZ347" i="3"/>
  <c r="AZ344" i="3"/>
  <c r="AZ342" i="3"/>
  <c r="AZ336" i="3"/>
  <c r="AZ321" i="3"/>
  <c r="G494" i="3"/>
  <c r="W35" i="40"/>
  <c r="W40" i="37"/>
  <c r="U11" i="33"/>
  <c r="S22" i="31"/>
  <c r="R22" i="31" s="1"/>
  <c r="U43" i="33"/>
  <c r="BL537" i="3"/>
  <c r="AZ537" i="3" s="1"/>
  <c r="BL543" i="3"/>
  <c r="BL547" i="3"/>
  <c r="AZ547" i="3" s="1"/>
  <c r="BL551" i="3"/>
  <c r="AZ580" i="3"/>
  <c r="J14" i="37"/>
  <c r="F43" i="39"/>
  <c r="H25" i="36"/>
  <c r="U11" i="36"/>
  <c r="AB11" i="36"/>
  <c r="S13" i="33"/>
  <c r="J13" i="21"/>
  <c r="H26" i="33"/>
  <c r="H46" i="21"/>
  <c r="AB23" i="34"/>
  <c r="S12" i="36"/>
  <c r="W28" i="34"/>
  <c r="AC28" i="34"/>
  <c r="U17" i="34"/>
  <c r="AB17" i="34"/>
  <c r="AA28" i="34"/>
  <c r="S28" i="34"/>
  <c r="AC16" i="35"/>
  <c r="W16" i="35"/>
  <c r="W11" i="40"/>
  <c r="U34" i="39"/>
  <c r="AB34" i="39"/>
  <c r="AA42" i="39"/>
  <c r="S42" i="39"/>
  <c r="AB39" i="37"/>
  <c r="U39" i="37"/>
  <c r="AC44" i="39"/>
  <c r="W44" i="39"/>
  <c r="B71" i="43"/>
  <c r="C21" i="39"/>
  <c r="AB33" i="33"/>
  <c r="U33" i="33"/>
  <c r="AC39" i="33"/>
  <c r="W39" i="33"/>
  <c r="AB40" i="33"/>
  <c r="U40" i="33"/>
  <c r="AB34" i="34"/>
  <c r="U34" i="34"/>
  <c r="AA35" i="34"/>
  <c r="S35" i="34"/>
  <c r="S12" i="35"/>
  <c r="S14" i="33"/>
  <c r="AA14" i="33"/>
  <c r="H30" i="33"/>
  <c r="J30" i="33"/>
  <c r="J44" i="33"/>
  <c r="F44" i="33"/>
  <c r="J46" i="33"/>
  <c r="F46" i="33"/>
  <c r="H46" i="33"/>
  <c r="H13" i="34"/>
  <c r="J13" i="34"/>
  <c r="F13" i="34"/>
  <c r="J29" i="34"/>
  <c r="H29" i="34"/>
  <c r="AB31" i="34"/>
  <c r="U31" i="34"/>
  <c r="H45" i="34"/>
  <c r="F45" i="34"/>
  <c r="F13" i="35"/>
  <c r="S13" i="35" s="1"/>
  <c r="H13" i="35"/>
  <c r="J35" i="35"/>
  <c r="H35" i="35"/>
  <c r="AC22" i="35"/>
  <c r="W22" i="35"/>
  <c r="AA8" i="36"/>
  <c r="S8" i="36"/>
  <c r="AC8" i="36"/>
  <c r="W8" i="36"/>
  <c r="J9" i="36"/>
  <c r="H9" i="36"/>
  <c r="J11" i="36"/>
  <c r="AC11" i="36" s="1"/>
  <c r="F11" i="36"/>
  <c r="H27" i="37"/>
  <c r="J27" i="37"/>
  <c r="H40" i="37"/>
  <c r="F40" i="37"/>
  <c r="AC8" i="39"/>
  <c r="W8" i="39"/>
  <c r="AC40" i="39"/>
  <c r="W40" i="39"/>
  <c r="J12" i="39"/>
  <c r="F12" i="39"/>
  <c r="S12" i="39" s="1"/>
  <c r="F31" i="39"/>
  <c r="J31" i="39"/>
  <c r="AB34" i="40"/>
  <c r="U34" i="40"/>
  <c r="W13" i="40"/>
  <c r="AC13" i="40"/>
  <c r="F86" i="40"/>
  <c r="G86" i="40" s="1"/>
  <c r="F17" i="40"/>
  <c r="G92" i="40"/>
  <c r="J23" i="40"/>
  <c r="AC23" i="40" s="1"/>
  <c r="H23" i="40"/>
  <c r="AB23" i="40" s="1"/>
  <c r="J31" i="40"/>
  <c r="F31" i="40"/>
  <c r="J33" i="40"/>
  <c r="H33" i="40"/>
  <c r="U33" i="40" s="1"/>
  <c r="F113" i="40"/>
  <c r="G113" i="40" s="1"/>
  <c r="J36" i="40"/>
  <c r="J40" i="40"/>
  <c r="F40" i="40"/>
  <c r="AA40" i="33"/>
  <c r="S40" i="33"/>
  <c r="W38" i="34"/>
  <c r="AC38" i="34"/>
  <c r="AB34" i="37"/>
  <c r="U34" i="37"/>
  <c r="AA30" i="36"/>
  <c r="S30" i="36"/>
  <c r="H35" i="39"/>
  <c r="J35" i="39"/>
  <c r="BL584" i="3"/>
  <c r="BA583" i="3"/>
  <c r="AZ583" i="3" s="1"/>
  <c r="BA582" i="3"/>
  <c r="BA579" i="3"/>
  <c r="BL578" i="3"/>
  <c r="BA578" i="3"/>
  <c r="BL576" i="3"/>
  <c r="AZ576" i="3" s="1"/>
  <c r="BL575" i="3"/>
  <c r="AZ575" i="3" s="1"/>
  <c r="BA575" i="3"/>
  <c r="BA574" i="3"/>
  <c r="AZ574" i="3" s="1"/>
  <c r="BA571" i="3"/>
  <c r="BL570" i="3"/>
  <c r="BA570" i="3"/>
  <c r="G400" i="3"/>
  <c r="BL401" i="3"/>
  <c r="G402" i="3"/>
  <c r="BA403" i="3"/>
  <c r="AZ403" i="3" s="1"/>
  <c r="BL405" i="3"/>
  <c r="G406" i="3"/>
  <c r="BL407" i="3"/>
  <c r="G408" i="3"/>
  <c r="BA409" i="3"/>
  <c r="AZ409" i="3" s="1"/>
  <c r="BL409" i="3"/>
  <c r="BA410" i="3"/>
  <c r="AZ410" i="3" s="1"/>
  <c r="BA412" i="3"/>
  <c r="BL412" i="3"/>
  <c r="BA413" i="3"/>
  <c r="AZ413" i="3" s="1"/>
  <c r="BL415" i="3"/>
  <c r="G416" i="3"/>
  <c r="G418" i="3"/>
  <c r="G422" i="3"/>
  <c r="G424" i="3"/>
  <c r="BA425" i="3"/>
  <c r="BL425" i="3"/>
  <c r="AZ425" i="3" s="1"/>
  <c r="BA426" i="3"/>
  <c r="AZ426" i="3" s="1"/>
  <c r="BA428" i="3"/>
  <c r="BL428" i="3"/>
  <c r="BA429" i="3"/>
  <c r="AZ429" i="3" s="1"/>
  <c r="BL431" i="3"/>
  <c r="G432" i="3"/>
  <c r="G434" i="3"/>
  <c r="G441" i="3"/>
  <c r="BL442" i="3"/>
  <c r="G443" i="3"/>
  <c r="BL444" i="3"/>
  <c r="G445" i="3"/>
  <c r="BL446" i="3"/>
  <c r="G447" i="3"/>
  <c r="G450" i="3"/>
  <c r="G454" i="3"/>
  <c r="G456" i="3"/>
  <c r="BL457" i="3"/>
  <c r="G458" i="3"/>
  <c r="BA459" i="3"/>
  <c r="AZ459" i="3" s="1"/>
  <c r="BL461" i="3"/>
  <c r="G462" i="3"/>
  <c r="BL463" i="3"/>
  <c r="G464" i="3"/>
  <c r="G466" i="3"/>
  <c r="BA467" i="3"/>
  <c r="BL467" i="3"/>
  <c r="BA468" i="3"/>
  <c r="AZ468" i="3" s="1"/>
  <c r="BA469" i="3"/>
  <c r="BL469" i="3"/>
  <c r="BA470" i="3"/>
  <c r="AZ470" i="3" s="1"/>
  <c r="BL472" i="3"/>
  <c r="G473" i="3"/>
  <c r="BA474" i="3"/>
  <c r="AZ474" i="3" s="1"/>
  <c r="BL474" i="3"/>
  <c r="BA475" i="3"/>
  <c r="AZ475" i="3" s="1"/>
  <c r="BA477" i="3"/>
  <c r="AZ477" i="3" s="1"/>
  <c r="AZ394" i="3"/>
  <c r="AZ380" i="3"/>
  <c r="AZ325" i="3"/>
  <c r="BL497" i="3"/>
  <c r="AZ497" i="3" s="1"/>
  <c r="BL501" i="3"/>
  <c r="AZ501" i="3" s="1"/>
  <c r="BL507" i="3"/>
  <c r="AC5" i="3"/>
  <c r="BL511" i="3"/>
  <c r="AZ511" i="3" s="1"/>
  <c r="BL515" i="3"/>
  <c r="AZ515" i="3" s="1"/>
  <c r="BL523" i="3"/>
  <c r="BL529" i="3"/>
  <c r="AZ529" i="3" s="1"/>
  <c r="BL535" i="3"/>
  <c r="BL539" i="3"/>
  <c r="BL545" i="3"/>
  <c r="BL549" i="3"/>
  <c r="AZ549" i="3" s="1"/>
  <c r="BL553" i="3"/>
  <c r="BL561" i="3"/>
  <c r="AZ561" i="3" s="1"/>
  <c r="BL565" i="3"/>
  <c r="AZ565" i="3" s="1"/>
  <c r="BL571" i="3"/>
  <c r="BL577" i="3"/>
  <c r="AZ577" i="3" s="1"/>
  <c r="BL581" i="3"/>
  <c r="BL557" i="3"/>
  <c r="G578" i="3"/>
  <c r="G574" i="3"/>
  <c r="BL16" i="3"/>
  <c r="AZ16" i="3" s="1"/>
  <c r="G479" i="3"/>
  <c r="BA480" i="3"/>
  <c r="BL480" i="3"/>
  <c r="BA482" i="3"/>
  <c r="AZ482" i="3" s="1"/>
  <c r="BL482" i="3"/>
  <c r="BA483" i="3"/>
  <c r="AZ483" i="3" s="1"/>
  <c r="BL485" i="3"/>
  <c r="G486" i="3"/>
  <c r="BL487" i="3"/>
  <c r="G488" i="3"/>
  <c r="G491" i="3"/>
  <c r="BL312" i="3"/>
  <c r="AZ312" i="3" s="1"/>
  <c r="G313" i="3"/>
  <c r="BA315" i="3"/>
  <c r="AZ315" i="3" s="1"/>
  <c r="BL317" i="3"/>
  <c r="G318" i="3"/>
  <c r="BA332" i="3"/>
  <c r="BL332" i="3"/>
  <c r="AZ332" i="3" s="1"/>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BL220" i="3"/>
  <c r="BA221" i="3"/>
  <c r="AZ221" i="3" s="1"/>
  <c r="BA222" i="3"/>
  <c r="AZ222" i="3" s="1"/>
  <c r="BA223" i="3"/>
  <c r="AZ223" i="3" s="1"/>
  <c r="BA224" i="3"/>
  <c r="BL226" i="3"/>
  <c r="G227" i="3"/>
  <c r="BA228" i="3"/>
  <c r="BL228" i="3"/>
  <c r="BL230" i="3"/>
  <c r="G231" i="3"/>
  <c r="G233" i="3"/>
  <c r="G235" i="3"/>
  <c r="G240" i="3"/>
  <c r="G242" i="3"/>
  <c r="BL243" i="3"/>
  <c r="G244" i="3"/>
  <c r="G246" i="3"/>
  <c r="BA247" i="3"/>
  <c r="BL247" i="3"/>
  <c r="BA249" i="3"/>
  <c r="BL249" i="3"/>
  <c r="BA251" i="3"/>
  <c r="BL251" i="3"/>
  <c r="BA252" i="3"/>
  <c r="AZ252" i="3" s="1"/>
  <c r="BA253" i="3"/>
  <c r="AZ253" i="3" s="1"/>
  <c r="BA254" i="3"/>
  <c r="AZ254" i="3" s="1"/>
  <c r="BA255" i="3"/>
  <c r="AZ255" i="3" s="1"/>
  <c r="BA257" i="3"/>
  <c r="BL257" i="3"/>
  <c r="BA258" i="3"/>
  <c r="AZ258" i="3" s="1"/>
  <c r="BA259" i="3"/>
  <c r="AZ259" i="3" s="1"/>
  <c r="BA260" i="3"/>
  <c r="AZ260" i="3" s="1"/>
  <c r="BA261" i="3"/>
  <c r="AZ261" i="3" s="1"/>
  <c r="BA262" i="3"/>
  <c r="AZ262" i="3" s="1"/>
  <c r="BA263" i="3"/>
  <c r="AZ263" i="3" s="1"/>
  <c r="BA264" i="3"/>
  <c r="AZ264" i="3" s="1"/>
  <c r="BA266" i="3"/>
  <c r="BL266" i="3"/>
  <c r="BA267" i="3"/>
  <c r="AZ267" i="3" s="1"/>
  <c r="BA268" i="3"/>
  <c r="AZ268" i="3" s="1"/>
  <c r="BA270" i="3"/>
  <c r="AZ270" i="3" s="1"/>
  <c r="BL270" i="3"/>
  <c r="BL272" i="3"/>
  <c r="G273" i="3"/>
  <c r="BA274" i="3"/>
  <c r="BL274" i="3"/>
  <c r="BL276" i="3"/>
  <c r="G277" i="3"/>
  <c r="BA278" i="3"/>
  <c r="BL278" i="3"/>
  <c r="G279" i="3"/>
  <c r="G281" i="3"/>
  <c r="G285" i="3"/>
  <c r="BL286" i="3"/>
  <c r="G287" i="3"/>
  <c r="BA288" i="3"/>
  <c r="AZ288" i="3" s="1"/>
  <c r="BA289" i="3"/>
  <c r="AZ289" i="3" s="1"/>
  <c r="BA291" i="3"/>
  <c r="BL291" i="3"/>
  <c r="BL292" i="3"/>
  <c r="G293" i="3"/>
  <c r="G299" i="3"/>
  <c r="BA301" i="3"/>
  <c r="AZ301" i="3" s="1"/>
  <c r="BL301" i="3"/>
  <c r="BL302" i="3"/>
  <c r="BL114" i="3"/>
  <c r="G115" i="3"/>
  <c r="BA116" i="3"/>
  <c r="AZ116" i="3" s="1"/>
  <c r="BA122" i="3"/>
  <c r="BL122" i="3"/>
  <c r="BA124" i="3"/>
  <c r="AZ124" i="3" s="1"/>
  <c r="BA144" i="3"/>
  <c r="AZ144" i="3" s="1"/>
  <c r="BL146" i="3"/>
  <c r="G147" i="3"/>
  <c r="BA148" i="3"/>
  <c r="AZ148" i="3" s="1"/>
  <c r="G151" i="3"/>
  <c r="G154" i="3"/>
  <c r="BL157" i="3"/>
  <c r="G158" i="3"/>
  <c r="G160" i="3"/>
  <c r="BL161" i="3"/>
  <c r="G162" i="3"/>
  <c r="G164" i="3"/>
  <c r="BA165" i="3"/>
  <c r="BL165" i="3"/>
  <c r="BL167" i="3"/>
  <c r="AZ167" i="3" s="1"/>
  <c r="G168" i="3"/>
  <c r="BA170" i="3"/>
  <c r="BL170" i="3"/>
  <c r="BA172" i="3"/>
  <c r="AZ172" i="3" s="1"/>
  <c r="BL174" i="3"/>
  <c r="G175" i="3"/>
  <c r="BA176" i="3"/>
  <c r="AZ176" i="3" s="1"/>
  <c r="BL178" i="3"/>
  <c r="G179" i="3"/>
  <c r="BA180" i="3"/>
  <c r="AZ180" i="3" s="1"/>
  <c r="G183" i="3"/>
  <c r="BA184" i="3"/>
  <c r="AZ184" i="3" s="1"/>
  <c r="BL186" i="3"/>
  <c r="G187" i="3"/>
  <c r="BA188" i="3"/>
  <c r="AZ188" i="3" s="1"/>
  <c r="G191" i="3"/>
  <c r="G194" i="3"/>
  <c r="BL197" i="3"/>
  <c r="G198" i="3"/>
  <c r="BL199" i="3"/>
  <c r="AZ199" i="3" s="1"/>
  <c r="BL201" i="3"/>
  <c r="G202" i="3"/>
  <c r="G204" i="3"/>
  <c r="BA205" i="3"/>
  <c r="BL205" i="3"/>
  <c r="BL207" i="3"/>
  <c r="G18" i="3"/>
  <c r="G20" i="3"/>
  <c r="G22" i="3"/>
  <c r="BA23" i="3"/>
  <c r="BL23" i="3"/>
  <c r="BL25" i="3"/>
  <c r="G26" i="3"/>
  <c r="BA27" i="3"/>
  <c r="BL27" i="3"/>
  <c r="BA29" i="3"/>
  <c r="BL29" i="3"/>
  <c r="BA30" i="3"/>
  <c r="AZ30" i="3" s="1"/>
  <c r="BA31" i="3"/>
  <c r="AZ31" i="3" s="1"/>
  <c r="BA32" i="3"/>
  <c r="AZ32" i="3" s="1"/>
  <c r="BA33" i="3"/>
  <c r="AZ33" i="3" s="1"/>
  <c r="BA35" i="3"/>
  <c r="BL35" i="3"/>
  <c r="BA36" i="3"/>
  <c r="AZ36" i="3" s="1"/>
  <c r="BA37" i="3"/>
  <c r="AZ37" i="3" s="1"/>
  <c r="E24" i="71"/>
  <c r="E23" i="71" s="1"/>
  <c r="V25" i="71"/>
  <c r="C60" i="71"/>
  <c r="D59" i="71"/>
  <c r="T41" i="71"/>
  <c r="C33" i="71"/>
  <c r="AA24" i="71"/>
  <c r="D35" i="71"/>
  <c r="C28" i="71"/>
  <c r="Y24" i="71"/>
  <c r="Z24" i="71" s="1"/>
  <c r="Y22" i="71"/>
  <c r="Z22" i="71" s="1"/>
  <c r="N65" i="71"/>
  <c r="Y26" i="71"/>
  <c r="Z26" i="71" s="1"/>
  <c r="Y27" i="71"/>
  <c r="Z27" i="71" s="1"/>
  <c r="AB27" i="71"/>
  <c r="AA28" i="71"/>
  <c r="X24" i="71"/>
  <c r="Y31" i="71"/>
  <c r="Z31" i="71" s="1"/>
  <c r="AA32" i="71"/>
  <c r="X31" i="71"/>
  <c r="AA33" i="71"/>
  <c r="C56" i="71"/>
  <c r="B64" i="71"/>
  <c r="N64" i="71" s="1"/>
  <c r="B68" i="71"/>
  <c r="B67" i="71" s="1"/>
  <c r="AE10" i="43"/>
  <c r="BA39" i="3"/>
  <c r="BL39" i="3"/>
  <c r="BA40" i="3"/>
  <c r="AZ40" i="3" s="1"/>
  <c r="BA41" i="3"/>
  <c r="AZ41" i="3" s="1"/>
  <c r="BA42" i="3"/>
  <c r="AZ42" i="3" s="1"/>
  <c r="BA43" i="3"/>
  <c r="BA45" i="3"/>
  <c r="BL45" i="3"/>
  <c r="BA46" i="3"/>
  <c r="AZ46" i="3" s="1"/>
  <c r="BA47" i="3"/>
  <c r="BL49" i="3"/>
  <c r="G50" i="3"/>
  <c r="BL51" i="3"/>
  <c r="G52" i="3"/>
  <c r="G54" i="3"/>
  <c r="BL55" i="3"/>
  <c r="G56" i="3"/>
  <c r="G61" i="3"/>
  <c r="G65" i="3"/>
  <c r="BL66" i="3"/>
  <c r="G67" i="3"/>
  <c r="BA68" i="3"/>
  <c r="BL68" i="3"/>
  <c r="BL70" i="3"/>
  <c r="G71" i="3"/>
  <c r="BL72" i="3"/>
  <c r="G73" i="3"/>
  <c r="G75" i="3"/>
  <c r="G79" i="3"/>
  <c r="G81" i="3"/>
  <c r="BL82" i="3"/>
  <c r="G83" i="3"/>
  <c r="BL84" i="3"/>
  <c r="G85" i="3"/>
  <c r="BL86" i="3"/>
  <c r="G87" i="3"/>
  <c r="BL88" i="3"/>
  <c r="G89" i="3"/>
  <c r="BA90" i="3"/>
  <c r="BL90" i="3"/>
  <c r="BL91" i="3"/>
  <c r="G92" i="3"/>
  <c r="G94" i="3"/>
  <c r="BA96" i="3"/>
  <c r="BL96" i="3"/>
  <c r="BL98" i="3"/>
  <c r="G99" i="3"/>
  <c r="G104" i="3"/>
  <c r="BL105" i="3"/>
  <c r="G106" i="3"/>
  <c r="G108" i="3"/>
  <c r="AC21" i="21"/>
  <c r="W21" i="37"/>
  <c r="W18" i="35"/>
  <c r="U21" i="34"/>
  <c r="U21" i="37"/>
  <c r="W29" i="39"/>
  <c r="S18" i="35"/>
  <c r="C25" i="40"/>
  <c r="C52" i="71"/>
  <c r="C40" i="69"/>
  <c r="S23" i="40"/>
  <c r="W23" i="40"/>
  <c r="AC21" i="40"/>
  <c r="S21" i="40"/>
  <c r="AA15" i="40"/>
  <c r="AC15" i="40"/>
  <c r="I14" i="74"/>
  <c r="B8" i="74" s="1"/>
  <c r="AR7" i="1"/>
  <c r="T8" i="1"/>
  <c r="S13" i="21"/>
  <c r="AA29" i="21"/>
  <c r="AZ14" i="3"/>
  <c r="AZ495" i="3"/>
  <c r="AZ517" i="3"/>
  <c r="AZ567" i="3"/>
  <c r="AZ571" i="3"/>
  <c r="AZ579" i="3"/>
  <c r="AZ13" i="3"/>
  <c r="E11" i="6"/>
  <c r="E56" i="40" s="1"/>
  <c r="S37" i="37"/>
  <c r="S20" i="35"/>
  <c r="AC27" i="36"/>
  <c r="AA12" i="39"/>
  <c r="U37" i="39"/>
  <c r="U35" i="40"/>
  <c r="AA39" i="34"/>
  <c r="W37" i="37"/>
  <c r="G509" i="3"/>
  <c r="E15" i="6"/>
  <c r="E60" i="40" s="1"/>
  <c r="AZ379" i="3"/>
  <c r="AZ345" i="3"/>
  <c r="AZ318" i="3"/>
  <c r="AZ372" i="3"/>
  <c r="AZ337" i="3"/>
  <c r="AZ320" i="3"/>
  <c r="AZ305" i="3"/>
  <c r="AZ376" i="3"/>
  <c r="AZ362" i="3"/>
  <c r="AZ341" i="3"/>
  <c r="AZ309" i="3"/>
  <c r="K5" i="4"/>
  <c r="B47" i="48" s="1"/>
  <c r="S14" i="40"/>
  <c r="AC31" i="33"/>
  <c r="W47" i="34"/>
  <c r="AB28" i="37"/>
  <c r="AC32" i="36"/>
  <c r="AZ523" i="3"/>
  <c r="AZ539" i="3"/>
  <c r="AZ553" i="3"/>
  <c r="AZ581" i="3"/>
  <c r="AZ566" i="3"/>
  <c r="AZ582" i="3"/>
  <c r="AZ584" i="3"/>
  <c r="S44" i="34"/>
  <c r="U13" i="33"/>
  <c r="AB45" i="33"/>
  <c r="AA14" i="34"/>
  <c r="AB46" i="34"/>
  <c r="AA14" i="37"/>
  <c r="AB11" i="35"/>
  <c r="U33" i="35"/>
  <c r="J12" i="33"/>
  <c r="H12" i="33"/>
  <c r="AZ442" i="3"/>
  <c r="AZ446" i="3"/>
  <c r="AZ481" i="3"/>
  <c r="AZ484" i="3"/>
  <c r="AZ487" i="3"/>
  <c r="BL586" i="3"/>
  <c r="AZ586" i="3" s="1"/>
  <c r="AC31" i="35"/>
  <c r="F9" i="36"/>
  <c r="F26" i="37"/>
  <c r="F44" i="39"/>
  <c r="J38" i="40"/>
  <c r="H39" i="40"/>
  <c r="G582" i="3"/>
  <c r="G566" i="3"/>
  <c r="G552" i="3"/>
  <c r="BA551" i="3"/>
  <c r="AZ551" i="3" s="1"/>
  <c r="BL550" i="3"/>
  <c r="BA550" i="3"/>
  <c r="AZ550" i="3" s="1"/>
  <c r="G14" i="3"/>
  <c r="G399" i="3"/>
  <c r="BL399" i="3"/>
  <c r="BA400" i="3"/>
  <c r="AZ400" i="3" s="1"/>
  <c r="BA401" i="3"/>
  <c r="AZ401" i="3" s="1"/>
  <c r="BA402" i="3"/>
  <c r="AZ402" i="3" s="1"/>
  <c r="BL402" i="3"/>
  <c r="G404" i="3"/>
  <c r="BL404" i="3"/>
  <c r="BA405" i="3"/>
  <c r="AZ405" i="3" s="1"/>
  <c r="BA406" i="3"/>
  <c r="BL406" i="3"/>
  <c r="BA407" i="3"/>
  <c r="BA408" i="3"/>
  <c r="AZ408" i="3" s="1"/>
  <c r="G411" i="3"/>
  <c r="BL411" i="3"/>
  <c r="AZ411" i="3" s="1"/>
  <c r="G414" i="3"/>
  <c r="BL414" i="3"/>
  <c r="AZ414" i="3" s="1"/>
  <c r="BA415" i="3"/>
  <c r="BL417" i="3"/>
  <c r="AZ417" i="3" s="1"/>
  <c r="G419" i="3"/>
  <c r="G421" i="3"/>
  <c r="BL421" i="3"/>
  <c r="G423" i="3"/>
  <c r="BL423" i="3"/>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AZ449" i="3" s="1"/>
  <c r="G451" i="3"/>
  <c r="G453" i="3"/>
  <c r="BL453" i="3"/>
  <c r="G455" i="3"/>
  <c r="BL455" i="3"/>
  <c r="BA456" i="3"/>
  <c r="AZ456" i="3" s="1"/>
  <c r="BA457" i="3"/>
  <c r="BA458" i="3"/>
  <c r="AZ458" i="3" s="1"/>
  <c r="BL458" i="3"/>
  <c r="G460" i="3"/>
  <c r="BL460" i="3"/>
  <c r="BA461" i="3"/>
  <c r="AZ461" i="3" s="1"/>
  <c r="BA462" i="3"/>
  <c r="BL462" i="3"/>
  <c r="BA463" i="3"/>
  <c r="AZ463" i="3" s="1"/>
  <c r="BL465" i="3"/>
  <c r="AZ465" i="3" s="1"/>
  <c r="BA466" i="3"/>
  <c r="G469" i="3"/>
  <c r="G471" i="3"/>
  <c r="BL471" i="3"/>
  <c r="AZ471" i="3" s="1"/>
  <c r="BA472" i="3"/>
  <c r="BA473" i="3"/>
  <c r="AZ473" i="3" s="1"/>
  <c r="G476" i="3"/>
  <c r="BL476" i="3"/>
  <c r="AZ476" i="3" s="1"/>
  <c r="G478" i="3"/>
  <c r="BL478" i="3"/>
  <c r="AZ478" i="3" s="1"/>
  <c r="BA479" i="3"/>
  <c r="AZ479" i="3" s="1"/>
  <c r="G484" i="3"/>
  <c r="BL484" i="3"/>
  <c r="BA485" i="3"/>
  <c r="AZ485" i="3" s="1"/>
  <c r="G490" i="3"/>
  <c r="G311" i="3"/>
  <c r="G315" i="3"/>
  <c r="BA317" i="3"/>
  <c r="AZ317" i="3" s="1"/>
  <c r="G327" i="3"/>
  <c r="G331" i="3"/>
  <c r="BA333" i="3"/>
  <c r="AZ333" i="3" s="1"/>
  <c r="G343" i="3"/>
  <c r="BA348" i="3"/>
  <c r="BA349" i="3"/>
  <c r="AZ349" i="3" s="1"/>
  <c r="G351" i="3"/>
  <c r="BA354" i="3"/>
  <c r="AZ354" i="3" s="1"/>
  <c r="G364" i="3"/>
  <c r="BA366" i="3"/>
  <c r="AZ366" i="3" s="1"/>
  <c r="BL368" i="3"/>
  <c r="G374" i="3"/>
  <c r="BL375" i="3"/>
  <c r="AZ375" i="3" s="1"/>
  <c r="G382" i="3"/>
  <c r="BA384" i="3"/>
  <c r="AZ384" i="3" s="1"/>
  <c r="BL385" i="3"/>
  <c r="AZ385" i="3" s="1"/>
  <c r="G387" i="3"/>
  <c r="BA395" i="3"/>
  <c r="AZ395" i="3" s="1"/>
  <c r="BA396" i="3"/>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G256" i="3"/>
  <c r="G259" i="3"/>
  <c r="G260" i="3"/>
  <c r="G261" i="3"/>
  <c r="G262" i="3"/>
  <c r="G263" i="3"/>
  <c r="G264" i="3"/>
  <c r="G265" i="3"/>
  <c r="BL265" i="3"/>
  <c r="AZ265" i="3" s="1"/>
  <c r="G268" i="3"/>
  <c r="G269" i="3"/>
  <c r="BL271" i="3"/>
  <c r="AZ271" i="3" s="1"/>
  <c r="BA272" i="3"/>
  <c r="AZ272" i="3" s="1"/>
  <c r="BA273" i="3"/>
  <c r="AZ273" i="3" s="1"/>
  <c r="BL275" i="3"/>
  <c r="AZ275" i="3" s="1"/>
  <c r="BA276" i="3"/>
  <c r="BA277" i="3"/>
  <c r="AZ277" i="3" s="1"/>
  <c r="BL280" i="3"/>
  <c r="AZ280" i="3" s="1"/>
  <c r="G283" i="3"/>
  <c r="G284" i="3"/>
  <c r="BL284" i="3"/>
  <c r="BA285" i="3"/>
  <c r="AZ285" i="3" s="1"/>
  <c r="BA286" i="3"/>
  <c r="AZ286" i="3" s="1"/>
  <c r="BA287" i="3"/>
  <c r="AZ287" i="3" s="1"/>
  <c r="G289" i="3"/>
  <c r="G290" i="3"/>
  <c r="BL290" i="3"/>
  <c r="AZ290" i="3" s="1"/>
  <c r="BA292" i="3"/>
  <c r="AZ292" i="3" s="1"/>
  <c r="G295" i="3"/>
  <c r="G296" i="3"/>
  <c r="G297" i="3"/>
  <c r="G298" i="3"/>
  <c r="BL298" i="3"/>
  <c r="AZ298" i="3" s="1"/>
  <c r="BA300" i="3"/>
  <c r="AZ300" i="3" s="1"/>
  <c r="BA302" i="3"/>
  <c r="AZ302" i="3" s="1"/>
  <c r="BA113" i="3"/>
  <c r="AZ113" i="3" s="1"/>
  <c r="BA114" i="3"/>
  <c r="AZ114" i="3" s="1"/>
  <c r="BL115" i="3"/>
  <c r="AZ115" i="3" s="1"/>
  <c r="G119" i="3"/>
  <c r="BA121" i="3"/>
  <c r="AZ121" i="3" s="1"/>
  <c r="G124" i="3"/>
  <c r="G127" i="3"/>
  <c r="G130" i="3"/>
  <c r="G131" i="3"/>
  <c r="AZ284" i="3"/>
  <c r="G135" i="3"/>
  <c r="G138" i="3"/>
  <c r="G139" i="3"/>
  <c r="G142" i="3"/>
  <c r="G143" i="3"/>
  <c r="BL143" i="3"/>
  <c r="AZ143" i="3" s="1"/>
  <c r="BA145" i="3"/>
  <c r="BA146" i="3"/>
  <c r="AZ146" i="3" s="1"/>
  <c r="BL147" i="3"/>
  <c r="AZ147" i="3" s="1"/>
  <c r="BL150" i="3"/>
  <c r="AZ150" i="3" s="1"/>
  <c r="BA152" i="3"/>
  <c r="AZ152" i="3" s="1"/>
  <c r="BL153" i="3"/>
  <c r="G156" i="3"/>
  <c r="BA157" i="3"/>
  <c r="AZ157" i="3" s="1"/>
  <c r="BA158" i="3"/>
  <c r="BL159" i="3"/>
  <c r="AZ159" i="3" s="1"/>
  <c r="BA161" i="3"/>
  <c r="BA162" i="3"/>
  <c r="AZ162" i="3" s="1"/>
  <c r="BL163" i="3"/>
  <c r="AZ163" i="3" s="1"/>
  <c r="BL166" i="3"/>
  <c r="AZ166" i="3" s="1"/>
  <c r="BA168" i="3"/>
  <c r="AZ168" i="3" s="1"/>
  <c r="BL169" i="3"/>
  <c r="AZ169" i="3" s="1"/>
  <c r="G172" i="3"/>
  <c r="BA173" i="3"/>
  <c r="AZ173" i="3" s="1"/>
  <c r="BA174" i="3"/>
  <c r="BL175" i="3"/>
  <c r="AZ175" i="3" s="1"/>
  <c r="BA177" i="3"/>
  <c r="AZ177" i="3" s="1"/>
  <c r="BA178" i="3"/>
  <c r="AZ178" i="3" s="1"/>
  <c r="BL179" i="3"/>
  <c r="AZ179" i="3" s="1"/>
  <c r="BL182" i="3"/>
  <c r="AZ182" i="3" s="1"/>
  <c r="BA185" i="3"/>
  <c r="AZ185" i="3" s="1"/>
  <c r="BA186" i="3"/>
  <c r="AZ186" i="3" s="1"/>
  <c r="BL187" i="3"/>
  <c r="AZ187" i="3" s="1"/>
  <c r="BL190" i="3"/>
  <c r="AZ190" i="3" s="1"/>
  <c r="BA192" i="3"/>
  <c r="AZ192" i="3" s="1"/>
  <c r="BL193" i="3"/>
  <c r="AZ193" i="3" s="1"/>
  <c r="G196" i="3"/>
  <c r="BA197" i="3"/>
  <c r="AZ197" i="3" s="1"/>
  <c r="BA198" i="3"/>
  <c r="AZ198" i="3" s="1"/>
  <c r="BA201" i="3"/>
  <c r="AZ201" i="3" s="1"/>
  <c r="BA202" i="3"/>
  <c r="AZ202" i="3" s="1"/>
  <c r="BL203" i="3"/>
  <c r="AZ203" i="3" s="1"/>
  <c r="BL206" i="3"/>
  <c r="AZ206" i="3" s="1"/>
  <c r="BA207" i="3"/>
  <c r="AZ207" i="3" s="1"/>
  <c r="BL19" i="3"/>
  <c r="AZ19" i="3" s="1"/>
  <c r="BL21" i="3"/>
  <c r="AZ21" i="3" s="1"/>
  <c r="BA22" i="3"/>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E59" i="43"/>
  <c r="B57" i="43" s="1"/>
  <c r="W21" i="33"/>
  <c r="AB21" i="33"/>
  <c r="C29" i="39"/>
  <c r="B66" i="43"/>
  <c r="O62" i="71"/>
  <c r="AA22" i="71"/>
  <c r="AB23" i="71"/>
  <c r="E72" i="71"/>
  <c r="E71" i="71" s="1"/>
  <c r="B63" i="71"/>
  <c r="B24" i="71"/>
  <c r="B23" i="71" s="1"/>
  <c r="S25" i="71"/>
  <c r="X33" i="71"/>
  <c r="X25" i="71"/>
  <c r="AA26" i="71"/>
  <c r="AA25" i="71"/>
  <c r="X27" i="71"/>
  <c r="AB29" i="71"/>
  <c r="E31" i="71"/>
  <c r="E32" i="71" s="1"/>
  <c r="E33" i="71" s="1"/>
  <c r="U33" i="71" s="1"/>
  <c r="AA30" i="71"/>
  <c r="AA31" i="71"/>
  <c r="AB33" i="71"/>
  <c r="E35" i="71"/>
  <c r="E36" i="71" s="1"/>
  <c r="E37" i="71" s="1"/>
  <c r="U37" i="71" s="1"/>
  <c r="AA34" i="71"/>
  <c r="P65" i="71"/>
  <c r="E64" i="71"/>
  <c r="U69" i="71"/>
  <c r="E68" i="71"/>
  <c r="E67" i="71" s="1"/>
  <c r="T73" i="71"/>
  <c r="C72" i="71"/>
  <c r="D73" i="71"/>
  <c r="U77" i="71"/>
  <c r="E76" i="71"/>
  <c r="E75" i="71" s="1"/>
  <c r="D81" i="71"/>
  <c r="C80" i="71"/>
  <c r="AB24" i="71"/>
  <c r="K56" i="9"/>
  <c r="AB22" i="71"/>
  <c r="E21" i="71"/>
  <c r="AA3" i="7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8" i="3"/>
  <c r="BA89" i="3"/>
  <c r="AZ89" i="3" s="1"/>
  <c r="BA91" i="3"/>
  <c r="BL93" i="3"/>
  <c r="AZ93" i="3" s="1"/>
  <c r="BA95" i="3"/>
  <c r="AZ95" i="3" s="1"/>
  <c r="BL97" i="3"/>
  <c r="AZ97" i="3" s="1"/>
  <c r="BA98" i="3"/>
  <c r="AZ98" i="3" s="1"/>
  <c r="G101" i="3"/>
  <c r="G102" i="3"/>
  <c r="G103" i="3"/>
  <c r="BL103" i="3"/>
  <c r="AZ103" i="3" s="1"/>
  <c r="BA104" i="3"/>
  <c r="AZ104" i="3" s="1"/>
  <c r="BA105" i="3"/>
  <c r="BL107" i="3"/>
  <c r="AZ107" i="3" s="1"/>
  <c r="G109" i="3"/>
  <c r="G110" i="3"/>
  <c r="G111" i="3"/>
  <c r="G112" i="3"/>
  <c r="BL112" i="3"/>
  <c r="AZ112" i="3" s="1"/>
  <c r="X28" i="71"/>
  <c r="X29" i="71"/>
  <c r="AB31" i="71"/>
  <c r="AB30" i="71"/>
  <c r="AJ12" i="43"/>
  <c r="AJ10" i="43"/>
  <c r="X23" i="71"/>
  <c r="AA23" i="71"/>
  <c r="P61" i="67"/>
  <c r="P74" i="67"/>
  <c r="AB26" i="71"/>
  <c r="X26" i="71"/>
  <c r="AB28" i="71"/>
  <c r="F32" i="71"/>
  <c r="F33" i="71" s="1"/>
  <c r="V33" i="71" s="1"/>
  <c r="AB32" i="71"/>
  <c r="F36" i="71"/>
  <c r="F37" i="71" s="1"/>
  <c r="W34" i="40"/>
  <c r="P61" i="15"/>
  <c r="H82" i="43"/>
  <c r="H85" i="43"/>
  <c r="H84" i="43"/>
  <c r="H83" i="43"/>
  <c r="H86" i="43"/>
  <c r="H87" i="43"/>
  <c r="H81" i="43"/>
  <c r="H88" i="43"/>
  <c r="G17" i="43"/>
  <c r="C16" i="43" s="1"/>
  <c r="D5" i="43" s="1"/>
  <c r="B41" i="1"/>
  <c r="C77" i="9"/>
  <c r="C74" i="9" s="1"/>
  <c r="C13" i="12"/>
  <c r="C36" i="11"/>
  <c r="C21" i="69"/>
  <c r="D22" i="67"/>
  <c r="M7" i="1"/>
  <c r="O7" i="1" s="1"/>
  <c r="AQ7" i="1"/>
  <c r="L27" i="6"/>
  <c r="AR8" i="1"/>
  <c r="F28" i="6"/>
  <c r="E28" i="6" s="1"/>
  <c r="C36" i="69"/>
  <c r="D9" i="68"/>
  <c r="C9" i="68" s="1"/>
  <c r="D9" i="69"/>
  <c r="C9" i="69" s="1"/>
  <c r="O9" i="1"/>
  <c r="P9" i="1" s="1"/>
  <c r="E12" i="6"/>
  <c r="D19" i="53"/>
  <c r="B38" i="72" s="1"/>
  <c r="E70" i="39"/>
  <c r="D124" i="9"/>
  <c r="D16" i="53"/>
  <c r="H110" i="9"/>
  <c r="D18" i="53" s="1"/>
  <c r="B35" i="72" s="1"/>
  <c r="P11" i="1"/>
  <c r="O11" i="1"/>
  <c r="AQ10" i="1"/>
  <c r="AR10" i="1"/>
  <c r="AB12" i="39"/>
  <c r="U12" i="39"/>
  <c r="U27" i="36"/>
  <c r="AB27" i="36"/>
  <c r="AB44" i="34"/>
  <c r="U44" i="34"/>
  <c r="S10" i="33"/>
  <c r="AA10" i="33"/>
  <c r="AA12" i="21"/>
  <c r="S12" i="21"/>
  <c r="P7" i="1"/>
  <c r="W17" i="21"/>
  <c r="E61" i="39"/>
  <c r="P12" i="1"/>
  <c r="E65" i="39"/>
  <c r="W39" i="34"/>
  <c r="AC39" i="34"/>
  <c r="S35" i="33"/>
  <c r="AA35" i="33"/>
  <c r="S34" i="33"/>
  <c r="AA34" i="33"/>
  <c r="AZ557" i="3"/>
  <c r="J34" i="35"/>
  <c r="H34" i="35"/>
  <c r="F34" i="35"/>
  <c r="AB27" i="40"/>
  <c r="E13" i="6"/>
  <c r="H75" i="43"/>
  <c r="S15" i="37"/>
  <c r="AC11" i="39"/>
  <c r="AA25" i="21"/>
  <c r="W31" i="34"/>
  <c r="AA13" i="35"/>
  <c r="H36" i="35"/>
  <c r="J36" i="35"/>
  <c r="G551" i="3"/>
  <c r="BL548" i="3"/>
  <c r="BL5" i="3" s="1"/>
  <c r="AZ416" i="3"/>
  <c r="AZ432" i="3"/>
  <c r="AZ467" i="3"/>
  <c r="AZ480" i="3"/>
  <c r="AZ486" i="3"/>
  <c r="AZ316" i="3"/>
  <c r="AZ247" i="3"/>
  <c r="AZ278" i="3"/>
  <c r="AZ399" i="3"/>
  <c r="AZ404" i="3"/>
  <c r="AZ421" i="3"/>
  <c r="AZ423" i="3"/>
  <c r="AZ440" i="3"/>
  <c r="AZ453" i="3"/>
  <c r="AZ455" i="3"/>
  <c r="AZ460" i="3"/>
  <c r="AZ225" i="3"/>
  <c r="AZ239" i="3"/>
  <c r="AZ293" i="3"/>
  <c r="AZ122" i="3"/>
  <c r="AZ125" i="3"/>
  <c r="AZ153" i="3"/>
  <c r="AZ38" i="3"/>
  <c r="AZ48" i="3"/>
  <c r="AZ60" i="3"/>
  <c r="AZ90" i="3"/>
  <c r="AZ96" i="3"/>
  <c r="F3" i="35"/>
  <c r="M100" i="43"/>
  <c r="I100" i="43"/>
  <c r="E100" i="43"/>
  <c r="D100" i="43"/>
  <c r="C40" i="68"/>
  <c r="C21" i="68"/>
  <c r="X5" i="71"/>
  <c r="Y5" i="71"/>
  <c r="Z5" i="71" s="1"/>
  <c r="AA5" i="71"/>
  <c r="AB5" i="71"/>
  <c r="F27" i="71"/>
  <c r="F28" i="71" s="1"/>
  <c r="F29" i="71" s="1"/>
  <c r="V29" i="71" s="1"/>
  <c r="Y6" i="71"/>
  <c r="Z6" i="71" s="1"/>
  <c r="Y7" i="71"/>
  <c r="Z7" i="71" s="1"/>
  <c r="AA6" i="71"/>
  <c r="AA7" i="71"/>
  <c r="Z12" i="43"/>
  <c r="Z10" i="43"/>
  <c r="AD12" i="43"/>
  <c r="AD10" i="43"/>
  <c r="AH12" i="43"/>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0" i="43"/>
  <c r="AG12" i="43"/>
  <c r="AG10" i="43"/>
  <c r="X21" i="71"/>
  <c r="Y21" i="71"/>
  <c r="Z21" i="71" s="1"/>
  <c r="AA19" i="71"/>
  <c r="X19" i="71"/>
  <c r="AA18" i="71"/>
  <c r="X15" i="71"/>
  <c r="AA15" i="71"/>
  <c r="X10" i="71"/>
  <c r="AA11" i="71"/>
  <c r="AB14" i="71"/>
  <c r="AA21" i="71"/>
  <c r="AB21" i="71"/>
  <c r="B21" i="71"/>
  <c r="C21" i="71"/>
  <c r="Y20" i="71"/>
  <c r="Z20" i="71" s="1"/>
  <c r="Y19" i="71"/>
  <c r="Z19" i="71" s="1"/>
  <c r="AA20" i="71"/>
  <c r="AB20" i="71"/>
  <c r="AB12" i="71"/>
  <c r="AB9" i="71"/>
  <c r="AB11" i="71"/>
  <c r="Y9" i="71"/>
  <c r="Z9" i="71" s="1"/>
  <c r="Y10" i="71"/>
  <c r="Z10" i="71" s="1"/>
  <c r="AA8" i="71"/>
  <c r="X12" i="71"/>
  <c r="AA12" i="71"/>
  <c r="AB8" i="71"/>
  <c r="AB10" i="71"/>
  <c r="Y8" i="71"/>
  <c r="Z8" i="71" s="1"/>
  <c r="AA9" i="71"/>
  <c r="AA10" i="71"/>
  <c r="X8" i="71"/>
  <c r="X9" i="71"/>
  <c r="X11" i="71"/>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K1" i="73"/>
  <c r="I1" i="73"/>
  <c r="B39" i="1" s="1"/>
  <c r="F51" i="67"/>
  <c r="F65" i="67"/>
  <c r="J20" i="67"/>
  <c r="B12" i="70"/>
  <c r="F51" i="15"/>
  <c r="B7" i="70"/>
  <c r="B11" i="70"/>
  <c r="B8" i="70"/>
  <c r="Q71" i="67"/>
  <c r="C27" i="67"/>
  <c r="C27" i="15"/>
  <c r="B9" i="70"/>
  <c r="B13" i="70"/>
  <c r="M7" i="67"/>
  <c r="F50" i="67"/>
  <c r="F68" i="67"/>
  <c r="F64" i="67"/>
  <c r="F68" i="15"/>
  <c r="F37" i="15"/>
  <c r="F36" i="15"/>
  <c r="F43" i="67"/>
  <c r="F38" i="15"/>
  <c r="M6" i="67"/>
  <c r="J15" i="67"/>
  <c r="L48" i="15"/>
  <c r="F42" i="15"/>
  <c r="M22" i="15"/>
  <c r="F9" i="67"/>
  <c r="L48" i="67"/>
  <c r="M8" i="15"/>
  <c r="F38" i="67"/>
  <c r="M28" i="67"/>
  <c r="L47" i="67"/>
  <c r="M24" i="15"/>
  <c r="L47" i="15"/>
  <c r="D6" i="73"/>
  <c r="M26" i="67"/>
  <c r="C76" i="15"/>
  <c r="D3" i="73"/>
  <c r="F6" i="67"/>
  <c r="F16" i="67"/>
  <c r="F6" i="15"/>
  <c r="F42" i="67"/>
  <c r="F41" i="67"/>
  <c r="M9" i="15"/>
  <c r="D4" i="73"/>
  <c r="F35" i="67"/>
  <c r="G1" i="73"/>
  <c r="AA27" i="40" l="1"/>
  <c r="E64" i="39"/>
  <c r="E59" i="40"/>
  <c r="D49" i="71"/>
  <c r="T49" i="71"/>
  <c r="AB36" i="39"/>
  <c r="U36" i="39"/>
  <c r="AC39" i="37"/>
  <c r="W39" i="37"/>
  <c r="AA24" i="35"/>
  <c r="S24" i="35"/>
  <c r="S11" i="35"/>
  <c r="AA11" i="35"/>
  <c r="W32" i="34"/>
  <c r="AC32" i="34"/>
  <c r="AB14" i="34"/>
  <c r="U14" i="34"/>
  <c r="S12" i="34"/>
  <c r="AA12" i="34"/>
  <c r="S31" i="33"/>
  <c r="AA31" i="33"/>
  <c r="S12" i="40"/>
  <c r="AA12" i="40"/>
  <c r="S32" i="40"/>
  <c r="AA32" i="40"/>
  <c r="AA30" i="40"/>
  <c r="S30" i="40"/>
  <c r="AB13" i="39"/>
  <c r="U13" i="39"/>
  <c r="AC32" i="40"/>
  <c r="W32" i="40"/>
  <c r="U17" i="40"/>
  <c r="AB17" i="40"/>
  <c r="W12" i="40"/>
  <c r="AC12" i="40"/>
  <c r="W37" i="39"/>
  <c r="AC37" i="39"/>
  <c r="U25" i="37"/>
  <c r="AB25" i="37"/>
  <c r="AB38" i="37"/>
  <c r="U38" i="37"/>
  <c r="AC26" i="37"/>
  <c r="W26" i="37"/>
  <c r="B20" i="31"/>
  <c r="B21" i="31" s="1"/>
  <c r="S11" i="40"/>
  <c r="AZ105" i="3"/>
  <c r="AZ91" i="3"/>
  <c r="AZ88" i="3"/>
  <c r="AZ174" i="3"/>
  <c r="AZ161" i="3"/>
  <c r="AZ158" i="3"/>
  <c r="AZ145" i="3"/>
  <c r="AZ276" i="3"/>
  <c r="AZ230" i="3"/>
  <c r="AZ396" i="3"/>
  <c r="AZ368" i="3"/>
  <c r="AZ348" i="3"/>
  <c r="AZ472" i="3"/>
  <c r="AZ466" i="3"/>
  <c r="AZ457" i="3"/>
  <c r="AZ415" i="3"/>
  <c r="AZ407" i="3"/>
  <c r="W11" i="36"/>
  <c r="AB33" i="40"/>
  <c r="U23" i="40"/>
  <c r="AZ68" i="3"/>
  <c r="AZ47" i="3"/>
  <c r="AZ43" i="3"/>
  <c r="AZ35" i="3"/>
  <c r="AZ29" i="3"/>
  <c r="AZ27" i="3"/>
  <c r="AZ23" i="3"/>
  <c r="AZ205" i="3"/>
  <c r="AZ170" i="3"/>
  <c r="AZ165" i="3"/>
  <c r="AZ291" i="3"/>
  <c r="AZ257" i="3"/>
  <c r="AZ251" i="3"/>
  <c r="AZ249" i="3"/>
  <c r="AZ224" i="3"/>
  <c r="AZ214" i="3"/>
  <c r="AZ212" i="3"/>
  <c r="AZ545" i="3"/>
  <c r="AZ535" i="3"/>
  <c r="AZ507" i="3"/>
  <c r="AZ469" i="3"/>
  <c r="AZ412" i="3"/>
  <c r="AZ570" i="3"/>
  <c r="S9" i="34"/>
  <c r="AZ543" i="3"/>
  <c r="F29" i="6"/>
  <c r="E29" i="6" s="1"/>
  <c r="K15" i="1" s="1"/>
  <c r="S46" i="21"/>
  <c r="AZ527" i="3"/>
  <c r="AZ562" i="3"/>
  <c r="AZ509" i="3"/>
  <c r="AZ514" i="3"/>
  <c r="AZ532" i="3"/>
  <c r="AZ556" i="3"/>
  <c r="AZ99" i="3"/>
  <c r="AZ94" i="3"/>
  <c r="AZ154" i="3"/>
  <c r="AZ149" i="3"/>
  <c r="D24" i="71"/>
  <c r="C23" i="71"/>
  <c r="D23" i="71" s="1"/>
  <c r="AZ299" i="3"/>
  <c r="AZ281" i="3"/>
  <c r="AZ279" i="3"/>
  <c r="AZ353" i="3"/>
  <c r="AZ441" i="3"/>
  <c r="AZ419" i="3"/>
  <c r="AZ564" i="3"/>
  <c r="AC36" i="39"/>
  <c r="W36" i="39"/>
  <c r="S39" i="37"/>
  <c r="AA39" i="37"/>
  <c r="AC24" i="35"/>
  <c r="W24" i="35"/>
  <c r="W12" i="35"/>
  <c r="AC12" i="35"/>
  <c r="AB32" i="34"/>
  <c r="U32" i="34"/>
  <c r="W14" i="34"/>
  <c r="AC14" i="34"/>
  <c r="W12" i="34"/>
  <c r="AC12" i="34"/>
  <c r="W13" i="33"/>
  <c r="AC13" i="33"/>
  <c r="S13" i="39"/>
  <c r="AA13" i="39"/>
  <c r="W12" i="36"/>
  <c r="AC12" i="36"/>
  <c r="AB11" i="40"/>
  <c r="U11" i="40"/>
  <c r="AB32" i="40"/>
  <c r="U32" i="40"/>
  <c r="AB12" i="40"/>
  <c r="U12" i="40"/>
  <c r="AC25" i="37"/>
  <c r="W25" i="37"/>
  <c r="S38" i="37"/>
  <c r="AA38" i="37"/>
  <c r="AB26" i="37"/>
  <c r="U26" i="37"/>
  <c r="AB27" i="34"/>
  <c r="U27" i="34"/>
  <c r="W27" i="34"/>
  <c r="AC27" i="34"/>
  <c r="W46" i="21"/>
  <c r="AC46" i="21"/>
  <c r="U15" i="40"/>
  <c r="C53" i="71"/>
  <c r="D52" i="71"/>
  <c r="D28" i="71"/>
  <c r="C29" i="71"/>
  <c r="C61" i="71"/>
  <c r="D60" i="71"/>
  <c r="AB35" i="39"/>
  <c r="U35" i="39"/>
  <c r="W40" i="40"/>
  <c r="AC40" i="40"/>
  <c r="H113" i="40"/>
  <c r="I113" i="40" s="1"/>
  <c r="J113" i="40" s="1"/>
  <c r="K113" i="40" s="1"/>
  <c r="L113" i="40" s="1"/>
  <c r="M113" i="40" s="1"/>
  <c r="H36" i="40"/>
  <c r="W33" i="40"/>
  <c r="AC33" i="40"/>
  <c r="AC31" i="40"/>
  <c r="W31" i="40"/>
  <c r="AA17" i="40"/>
  <c r="S17" i="40"/>
  <c r="W31" i="39"/>
  <c r="AC31" i="39"/>
  <c r="AA40" i="37"/>
  <c r="S40" i="37"/>
  <c r="AC27" i="37"/>
  <c r="W27" i="37"/>
  <c r="AA11" i="36"/>
  <c r="S11" i="36"/>
  <c r="AB9" i="36"/>
  <c r="U9" i="36"/>
  <c r="AB35" i="35"/>
  <c r="U35" i="35"/>
  <c r="U13" i="35"/>
  <c r="AB13" i="35"/>
  <c r="S45" i="34"/>
  <c r="AA45" i="34"/>
  <c r="AB29" i="34"/>
  <c r="U29" i="34"/>
  <c r="AA13" i="34"/>
  <c r="S13" i="34"/>
  <c r="AB13" i="34"/>
  <c r="U13" i="34"/>
  <c r="AA46" i="33"/>
  <c r="S46" i="33"/>
  <c r="S44" i="33"/>
  <c r="AA44" i="33"/>
  <c r="W30" i="33"/>
  <c r="AC30" i="33"/>
  <c r="U26" i="33"/>
  <c r="AB26" i="33"/>
  <c r="AB25" i="36"/>
  <c r="U25" i="36"/>
  <c r="AC14" i="37"/>
  <c r="W14" i="37"/>
  <c r="AA12" i="37"/>
  <c r="S12" i="37"/>
  <c r="AC12" i="37"/>
  <c r="W12" i="37"/>
  <c r="U9" i="37"/>
  <c r="AB9" i="37"/>
  <c r="AA26" i="33"/>
  <c r="S26" i="33"/>
  <c r="AA44" i="21"/>
  <c r="S44" i="21"/>
  <c r="W45" i="39"/>
  <c r="AC45" i="39"/>
  <c r="U43" i="39"/>
  <c r="AB43" i="39"/>
  <c r="AB32" i="36"/>
  <c r="U32" i="36"/>
  <c r="AC23" i="36"/>
  <c r="W23" i="36"/>
  <c r="U29" i="21"/>
  <c r="AB29" i="21"/>
  <c r="AB27" i="21"/>
  <c r="U27" i="21"/>
  <c r="AZ45" i="3"/>
  <c r="AZ39" i="3"/>
  <c r="D56" i="71"/>
  <c r="C57" i="71"/>
  <c r="D33" i="71"/>
  <c r="T33" i="71"/>
  <c r="AZ274" i="3"/>
  <c r="AZ266" i="3"/>
  <c r="AZ228" i="3"/>
  <c r="AZ220" i="3"/>
  <c r="AZ428" i="3"/>
  <c r="AZ578" i="3"/>
  <c r="AC35" i="39"/>
  <c r="W35" i="39"/>
  <c r="AA40" i="40"/>
  <c r="S40" i="40"/>
  <c r="W36" i="40"/>
  <c r="AC36" i="40"/>
  <c r="AA31" i="40"/>
  <c r="S31" i="40"/>
  <c r="AA31" i="39"/>
  <c r="S31" i="39"/>
  <c r="W12" i="39"/>
  <c r="AC12" i="39"/>
  <c r="U40" i="37"/>
  <c r="AB40" i="37"/>
  <c r="U27" i="37"/>
  <c r="AB27" i="37"/>
  <c r="AC9" i="36"/>
  <c r="W9" i="36"/>
  <c r="AC35" i="35"/>
  <c r="W35" i="35"/>
  <c r="U45" i="34"/>
  <c r="AB45" i="34"/>
  <c r="W29" i="34"/>
  <c r="AC29" i="34"/>
  <c r="AC13" i="34"/>
  <c r="W13" i="34"/>
  <c r="U46" i="33"/>
  <c r="AB46" i="33"/>
  <c r="W46" i="33"/>
  <c r="AC46" i="33"/>
  <c r="W44" i="33"/>
  <c r="AC44" i="33"/>
  <c r="AB30" i="33"/>
  <c r="U30" i="33"/>
  <c r="U46" i="21"/>
  <c r="AB46" i="21"/>
  <c r="AC13" i="21"/>
  <c r="W13" i="21"/>
  <c r="AA43" i="39"/>
  <c r="S43" i="39"/>
  <c r="AB14" i="37"/>
  <c r="U14" i="37"/>
  <c r="U12" i="37"/>
  <c r="AB12" i="37"/>
  <c r="S9" i="37"/>
  <c r="AA9" i="37"/>
  <c r="W9" i="37"/>
  <c r="AC9" i="37"/>
  <c r="W26" i="33"/>
  <c r="AC26" i="33"/>
  <c r="AC44" i="21"/>
  <c r="W44" i="21"/>
  <c r="AZ494" i="3"/>
  <c r="AZ522" i="3"/>
  <c r="AZ530" i="3"/>
  <c r="U45" i="39"/>
  <c r="AB45" i="39"/>
  <c r="AC43" i="39"/>
  <c r="W43" i="39"/>
  <c r="S32" i="36"/>
  <c r="AA32" i="36"/>
  <c r="AB23" i="36"/>
  <c r="U23" i="36"/>
  <c r="AC29" i="21"/>
  <c r="W29" i="21"/>
  <c r="W27" i="21"/>
  <c r="AC27" i="21"/>
  <c r="F66" i="15"/>
  <c r="F66" i="67"/>
  <c r="F63" i="67"/>
  <c r="C62" i="67" s="1"/>
  <c r="C34" i="67"/>
  <c r="Q71" i="15"/>
  <c r="F64" i="15"/>
  <c r="F71" i="67"/>
  <c r="C6" i="67"/>
  <c r="J53" i="67"/>
  <c r="Q52" i="67" s="1"/>
  <c r="L56" i="67"/>
  <c r="J57" i="67"/>
  <c r="J55" i="67" s="1"/>
  <c r="J58" i="67" s="1"/>
  <c r="Q50" i="67" s="1"/>
  <c r="I54" i="67"/>
  <c r="F70" i="67"/>
  <c r="L59" i="67"/>
  <c r="Q61" i="67" s="1"/>
  <c r="M59" i="67"/>
  <c r="N59" i="67"/>
  <c r="L58" i="67"/>
  <c r="Q60" i="67" s="1"/>
  <c r="N59" i="15"/>
  <c r="M59" i="15"/>
  <c r="L59" i="15"/>
  <c r="Q74" i="15" s="1"/>
  <c r="L58" i="15"/>
  <c r="Q60" i="15" s="1"/>
  <c r="F65" i="15"/>
  <c r="F69" i="67"/>
  <c r="J53" i="15"/>
  <c r="L56" i="15" s="1"/>
  <c r="I54" i="15"/>
  <c r="J57" i="15"/>
  <c r="J55" i="15" s="1"/>
  <c r="J58" i="15" s="1"/>
  <c r="Q50" i="15" s="1"/>
  <c r="V37" i="71"/>
  <c r="M19" i="43"/>
  <c r="E20" i="71"/>
  <c r="E19" i="71" s="1"/>
  <c r="E18" i="71" s="1"/>
  <c r="E17" i="71" s="1"/>
  <c r="V21" i="71"/>
  <c r="C79" i="71"/>
  <c r="D79" i="71" s="1"/>
  <c r="D80" i="71"/>
  <c r="U39" i="40"/>
  <c r="AB39" i="40"/>
  <c r="AA44" i="39"/>
  <c r="S44" i="39"/>
  <c r="AA9" i="36"/>
  <c r="S9" i="36"/>
  <c r="W12" i="33"/>
  <c r="AC12" i="33"/>
  <c r="J6" i="67"/>
  <c r="C19" i="43"/>
  <c r="D20" i="53"/>
  <c r="B40" i="72" s="1"/>
  <c r="D72" i="71"/>
  <c r="C71" i="71"/>
  <c r="D71" i="71" s="1"/>
  <c r="P64" i="71"/>
  <c r="E63" i="71"/>
  <c r="N62" i="71"/>
  <c r="N63" i="71"/>
  <c r="AZ22" i="3"/>
  <c r="BA5" i="3"/>
  <c r="AZ462" i="3"/>
  <c r="AZ406" i="3"/>
  <c r="AC38" i="40"/>
  <c r="W38" i="40"/>
  <c r="AA26" i="37"/>
  <c r="S26" i="37"/>
  <c r="U12" i="33"/>
  <c r="AB12" i="33"/>
  <c r="F48" i="9"/>
  <c r="O52" i="9" s="1"/>
  <c r="F30" i="68"/>
  <c r="F28" i="67"/>
  <c r="C28" i="67" s="1"/>
  <c r="F52" i="9"/>
  <c r="F32" i="67"/>
  <c r="F60" i="67" s="1"/>
  <c r="F32" i="15"/>
  <c r="F60" i="15" s="1"/>
  <c r="M18" i="15"/>
  <c r="F54" i="9"/>
  <c r="F53" i="9"/>
  <c r="F30" i="11"/>
  <c r="F31" i="12"/>
  <c r="C31" i="12" s="1"/>
  <c r="M18" i="67"/>
  <c r="F30" i="69"/>
  <c r="F28" i="15"/>
  <c r="C28" i="15" s="1"/>
  <c r="D68" i="9"/>
  <c r="E57" i="40"/>
  <c r="E62" i="39"/>
  <c r="B20" i="71"/>
  <c r="B19" i="71" s="1"/>
  <c r="B18" i="71" s="1"/>
  <c r="B17" i="71" s="1"/>
  <c r="S21" i="71"/>
  <c r="G5" i="3"/>
  <c r="B3" i="3" s="1"/>
  <c r="AB36" i="35"/>
  <c r="U36" i="35"/>
  <c r="E58" i="40"/>
  <c r="E63" i="39"/>
  <c r="E66" i="39" s="1"/>
  <c r="E16" i="6"/>
  <c r="AB34" i="35"/>
  <c r="U34" i="35"/>
  <c r="B34" i="72"/>
  <c r="D17" i="53"/>
  <c r="B36" i="72" s="1"/>
  <c r="D10" i="52"/>
  <c r="D125" i="9"/>
  <c r="D11" i="52" s="1"/>
  <c r="H14" i="74"/>
  <c r="B7" i="74" s="1"/>
  <c r="C20" i="71"/>
  <c r="D21" i="71"/>
  <c r="U21" i="71" s="1"/>
  <c r="T21" i="71"/>
  <c r="F63" i="71"/>
  <c r="Q64" i="71"/>
  <c r="AC36" i="35"/>
  <c r="W36" i="35"/>
  <c r="AZ548" i="3"/>
  <c r="AZ5" i="3" s="1"/>
  <c r="AA34" i="35"/>
  <c r="S34" i="35"/>
  <c r="W34" i="35"/>
  <c r="AC34" i="35"/>
  <c r="E30" i="6"/>
  <c r="K14" i="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C49" i="67"/>
  <c r="P25" i="43"/>
  <c r="P23" i="43"/>
  <c r="B71" i="39" s="1"/>
  <c r="M28" i="43"/>
  <c r="N28" i="43"/>
  <c r="O28" i="43"/>
  <c r="P28" i="43"/>
  <c r="G20" i="43" s="1"/>
  <c r="M11" i="67"/>
  <c r="J10" i="67" s="1"/>
  <c r="F11" i="15"/>
  <c r="M11" i="15"/>
  <c r="F11" i="67"/>
  <c r="C14" i="67"/>
  <c r="C16" i="67"/>
  <c r="C17" i="67"/>
  <c r="F30" i="6" l="1"/>
  <c r="D61" i="71"/>
  <c r="T61" i="71"/>
  <c r="D53" i="71"/>
  <c r="T53" i="71"/>
  <c r="C32" i="67"/>
  <c r="J18" i="67"/>
  <c r="D57" i="71"/>
  <c r="T57" i="71"/>
  <c r="AB36" i="40"/>
  <c r="U36" i="40"/>
  <c r="D29" i="71"/>
  <c r="T29" i="71"/>
  <c r="Q73" i="15"/>
  <c r="Q73" i="67"/>
  <c r="Q74" i="67"/>
  <c r="F1" i="67"/>
  <c r="Q61" i="15"/>
  <c r="Q52" i="15"/>
  <c r="F1" i="15"/>
  <c r="J5" i="67"/>
  <c r="J26" i="67" s="1"/>
  <c r="J29" i="67" s="1"/>
  <c r="C18" i="67"/>
  <c r="C15" i="67"/>
  <c r="C20" i="43"/>
  <c r="T8" i="43" s="1"/>
  <c r="V8" i="43" s="1"/>
  <c r="E41" i="43"/>
  <c r="C41" i="43" s="1"/>
  <c r="C38" i="43" s="1"/>
  <c r="T15" i="43"/>
  <c r="V15" i="43" s="1"/>
  <c r="T12" i="43"/>
  <c r="V12" i="43" s="1"/>
  <c r="C37" i="43"/>
  <c r="E37" i="43" s="1"/>
  <c r="C39" i="43"/>
  <c r="G39" i="43" s="1"/>
  <c r="I39" i="43" s="1"/>
  <c r="P62" i="71"/>
  <c r="P63" i="71"/>
  <c r="E16" i="71"/>
  <c r="E15" i="71" s="1"/>
  <c r="E14" i="71" s="1"/>
  <c r="E13" i="71" s="1"/>
  <c r="V17" i="71"/>
  <c r="E39" i="43"/>
  <c r="C48" i="11"/>
  <c r="C30" i="11"/>
  <c r="F48" i="68"/>
  <c r="C30" i="68"/>
  <c r="C48" i="68"/>
  <c r="F48" i="69"/>
  <c r="C48" i="69"/>
  <c r="C30" i="69"/>
  <c r="AY6" i="3"/>
  <c r="E3" i="6"/>
  <c r="M14" i="1"/>
  <c r="Q63" i="71"/>
  <c r="Q62" i="7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16" i="71"/>
  <c r="B15" i="71" s="1"/>
  <c r="B14" i="71" s="1"/>
  <c r="B13" i="71" s="1"/>
  <c r="S17" i="71"/>
  <c r="U7" i="37"/>
  <c r="C19" i="71"/>
  <c r="D20" i="71"/>
  <c r="E551" i="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F25" i="12"/>
  <c r="F22" i="69"/>
  <c r="F41" i="69" s="1"/>
  <c r="F24" i="67"/>
  <c r="C24" i="67" s="1"/>
  <c r="F22" i="11"/>
  <c r="F22" i="68"/>
  <c r="F24" i="15"/>
  <c r="C24" i="15" s="1"/>
  <c r="AE6" i="1"/>
  <c r="F41" i="15"/>
  <c r="T13" i="43" l="1"/>
  <c r="V13" i="43" s="1"/>
  <c r="J24" i="67"/>
  <c r="G38" i="43"/>
  <c r="I38" i="43" s="1"/>
  <c r="E38" i="43"/>
  <c r="G37" i="43"/>
  <c r="I37" i="43" s="1"/>
  <c r="C19" i="67"/>
  <c r="C20" i="67" s="1"/>
  <c r="C26" i="67" s="1"/>
  <c r="V13" i="71"/>
  <c r="E12" i="71"/>
  <c r="E11" i="71" s="1"/>
  <c r="E10" i="71" s="1"/>
  <c r="E9" i="71" s="1"/>
  <c r="T11" i="43"/>
  <c r="V11" i="43" s="1"/>
  <c r="C35" i="43"/>
  <c r="C34" i="43"/>
  <c r="C36" i="43"/>
  <c r="C33" i="43"/>
  <c r="T9" i="43"/>
  <c r="V9" i="43" s="1"/>
  <c r="T10" i="43"/>
  <c r="V10" i="43" s="1"/>
  <c r="T16" i="43"/>
  <c r="V16" i="43" s="1"/>
  <c r="T14" i="43"/>
  <c r="V14" i="43" s="1"/>
  <c r="F69" i="15"/>
  <c r="AC6" i="3"/>
  <c r="H6" i="3"/>
  <c r="E6" i="3" s="1"/>
  <c r="O14" i="1"/>
  <c r="D3" i="21"/>
  <c r="D19" i="11"/>
  <c r="C19" i="11" s="1"/>
  <c r="C17" i="4"/>
  <c r="B4" i="52" s="1"/>
  <c r="B43" i="72" s="1"/>
  <c r="L18" i="9"/>
  <c r="D3" i="37"/>
  <c r="D3" i="34"/>
  <c r="D3" i="33"/>
  <c r="E6" i="6"/>
  <c r="D37" i="11"/>
  <c r="C37" i="11" s="1"/>
  <c r="D14" i="12"/>
  <c r="M18" i="9"/>
  <c r="B118" i="9" s="1"/>
  <c r="B14" i="74" s="1"/>
  <c r="B1" i="74" s="1"/>
  <c r="D19" i="71"/>
  <c r="C18" i="7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4" i="11"/>
  <c r="C26" i="11"/>
  <c r="D22" i="11" s="1"/>
  <c r="C38" i="67"/>
  <c r="C66" i="67"/>
  <c r="C60" i="67"/>
  <c r="S19" i="1" l="1"/>
  <c r="T22" i="1" s="1"/>
  <c r="W22" i="1" s="1"/>
  <c r="C23" i="67"/>
  <c r="C29" i="67" s="1"/>
  <c r="C36" i="67" s="1"/>
  <c r="G33" i="43"/>
  <c r="I33" i="43" s="1"/>
  <c r="E33" i="43"/>
  <c r="G34" i="43"/>
  <c r="I34" i="43" s="1"/>
  <c r="E34" i="43"/>
  <c r="E36" i="43"/>
  <c r="G36" i="43"/>
  <c r="I36" i="43" s="1"/>
  <c r="E35" i="43"/>
  <c r="G35" i="43"/>
  <c r="I35" i="43" s="1"/>
  <c r="E8" i="71"/>
  <c r="E7" i="71" s="1"/>
  <c r="E6" i="71" s="1"/>
  <c r="E5" i="71" s="1"/>
  <c r="V9" i="71"/>
  <c r="P14" i="1"/>
  <c r="C17" i="71"/>
  <c r="D18" i="71"/>
  <c r="C8" i="74"/>
  <c r="C7" i="74"/>
  <c r="C20" i="11"/>
  <c r="C25" i="11" s="1"/>
  <c r="M19" i="9"/>
  <c r="C118" i="9" s="1"/>
  <c r="C14" i="74" s="1"/>
  <c r="B2" i="74" s="1"/>
  <c r="D26" i="6"/>
  <c r="C18" i="4"/>
  <c r="D8" i="6"/>
  <c r="D23" i="6"/>
  <c r="D14" i="6"/>
  <c r="D5" i="6"/>
  <c r="D12" i="6"/>
  <c r="D11" i="6"/>
  <c r="D13" i="6"/>
  <c r="D28" i="6"/>
  <c r="E61" i="40"/>
  <c r="D25" i="6"/>
  <c r="D15" i="6"/>
  <c r="D22" i="6"/>
  <c r="D21" i="6"/>
  <c r="D24" i="6"/>
  <c r="D20" i="6"/>
  <c r="D6" i="6"/>
  <c r="D9" i="6"/>
  <c r="D10" i="6"/>
  <c r="L19" i="9"/>
  <c r="D29" i="6"/>
  <c r="B8" i="71"/>
  <c r="B7" i="71" s="1"/>
  <c r="B6" i="71" s="1"/>
  <c r="B5" i="71" s="1"/>
  <c r="S9" i="71"/>
  <c r="D17" i="12"/>
  <c r="C17" i="12" s="1"/>
  <c r="C14" i="12"/>
  <c r="D10" i="68"/>
  <c r="D10" i="69"/>
  <c r="D10" i="11"/>
  <c r="C10" i="11" s="1"/>
  <c r="D20" i="12"/>
  <c r="C20"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C22" i="11"/>
  <c r="C33" i="67" l="1"/>
  <c r="C31" i="67" s="1"/>
  <c r="D29" i="43"/>
  <c r="D1" i="43" s="1"/>
  <c r="E19" i="6"/>
  <c r="F27" i="6"/>
  <c r="F31" i="6" s="1"/>
  <c r="C57" i="67"/>
  <c r="C61" i="67" s="1"/>
  <c r="C59" i="67" s="1"/>
  <c r="J59" i="67"/>
  <c r="J60" i="67" s="1"/>
  <c r="Q48" i="67" s="1"/>
  <c r="C13" i="67"/>
  <c r="C75" i="67" s="1"/>
  <c r="Q49" i="67"/>
  <c r="J19" i="67"/>
  <c r="J17" i="67" s="1"/>
  <c r="J14" i="67"/>
  <c r="J22" i="67" s="1"/>
  <c r="D16" i="6"/>
  <c r="D30" i="6"/>
  <c r="C10" i="69"/>
  <c r="C8" i="69" s="1"/>
  <c r="C5" i="69" s="1"/>
  <c r="D19" i="69"/>
  <c r="A7" i="51"/>
  <c r="B7" i="72" s="1"/>
  <c r="C4" i="52"/>
  <c r="B45" i="72" s="1"/>
  <c r="A10" i="51"/>
  <c r="B9" i="72" s="1"/>
  <c r="C10" i="68"/>
  <c r="D19" i="68"/>
  <c r="D8" i="74"/>
  <c r="D7" i="74"/>
  <c r="C16" i="71"/>
  <c r="T17" i="71"/>
  <c r="D17" i="71"/>
  <c r="U17" i="71" s="1"/>
  <c r="K70" i="39"/>
  <c r="L68" i="39"/>
  <c r="I63" i="40"/>
  <c r="H65" i="40"/>
  <c r="I58" i="21"/>
  <c r="J58" i="21" s="1"/>
  <c r="K58" i="21" s="1"/>
  <c r="L58" i="21" s="1"/>
  <c r="M58" i="21" s="1"/>
  <c r="N58" i="21" s="1"/>
  <c r="O58" i="21" s="1"/>
  <c r="H7" i="21" s="1"/>
  <c r="F7" i="21"/>
  <c r="J48" i="35"/>
  <c r="Q48" i="15"/>
  <c r="L46" i="67" l="1"/>
  <c r="J13" i="67"/>
  <c r="J23" i="67" s="1"/>
  <c r="J16" i="67" s="1"/>
  <c r="J25" i="67" s="1"/>
  <c r="K6" i="1"/>
  <c r="E27" i="6"/>
  <c r="K19" i="6" s="1"/>
  <c r="D19" i="6"/>
  <c r="C56" i="67"/>
  <c r="C65" i="67" s="1"/>
  <c r="C64" i="67"/>
  <c r="Q70" i="67"/>
  <c r="C37" i="67"/>
  <c r="C30" i="67" s="1"/>
  <c r="C39" i="67" s="1"/>
  <c r="C40" i="67" s="1"/>
  <c r="B29" i="1"/>
  <c r="C8" i="68" s="1"/>
  <c r="J7" i="21"/>
  <c r="C19" i="69"/>
  <c r="C24" i="69" s="1"/>
  <c r="D37" i="69"/>
  <c r="C37" i="69" s="1"/>
  <c r="C15" i="71"/>
  <c r="D16" i="71"/>
  <c r="C19" i="68"/>
  <c r="D37" i="68"/>
  <c r="C37" i="68" s="1"/>
  <c r="C23" i="69"/>
  <c r="L70" i="39"/>
  <c r="M68" i="39"/>
  <c r="U7" i="21"/>
  <c r="AB7" i="21"/>
  <c r="T48" i="21" s="1"/>
  <c r="G48" i="21" s="1"/>
  <c r="S7" i="21"/>
  <c r="AA7" i="21"/>
  <c r="R48" i="21" s="1"/>
  <c r="J63" i="40"/>
  <c r="I65" i="40"/>
  <c r="K48" i="35"/>
  <c r="L48" i="35" s="1"/>
  <c r="M48" i="35" s="1"/>
  <c r="N48" i="35" s="1"/>
  <c r="O48" i="35" s="1"/>
  <c r="H7" i="35" s="1"/>
  <c r="AC7" i="21"/>
  <c r="V48" i="21" s="1"/>
  <c r="I48" i="21" s="1"/>
  <c r="W7" i="21"/>
  <c r="M29" i="15"/>
  <c r="L51" i="67"/>
  <c r="F7" i="15"/>
  <c r="F43" i="15"/>
  <c r="J7" i="35" l="1"/>
  <c r="C80" i="67"/>
  <c r="C79" i="67" s="1"/>
  <c r="F71" i="15"/>
  <c r="M7" i="15"/>
  <c r="J6" i="15" s="1"/>
  <c r="F50" i="15"/>
  <c r="C49" i="15" s="1"/>
  <c r="C48" i="15" s="1"/>
  <c r="C6" i="15"/>
  <c r="S6" i="1"/>
  <c r="E6" i="70" s="1"/>
  <c r="E2" i="70" s="1"/>
  <c r="M19" i="6"/>
  <c r="D27" i="6"/>
  <c r="D31" i="6" s="1"/>
  <c r="I6" i="6" s="1"/>
  <c r="G3" i="43" s="1"/>
  <c r="K101" i="43" s="1"/>
  <c r="K24" i="6"/>
  <c r="M24" i="6" s="1"/>
  <c r="I24" i="6" s="1"/>
  <c r="K26" i="6"/>
  <c r="M26" i="6" s="1"/>
  <c r="I26" i="6" s="1"/>
  <c r="K21" i="6"/>
  <c r="M21" i="6" s="1"/>
  <c r="I21" i="6" s="1"/>
  <c r="K25" i="6"/>
  <c r="M25" i="6" s="1"/>
  <c r="I25" i="6" s="1"/>
  <c r="K20" i="6"/>
  <c r="M20" i="6" s="1"/>
  <c r="I20" i="6" s="1"/>
  <c r="K22" i="6"/>
  <c r="M22" i="6" s="1"/>
  <c r="I22" i="6" s="1"/>
  <c r="K23" i="6"/>
  <c r="M23" i="6" s="1"/>
  <c r="I23" i="6" s="1"/>
  <c r="E31" i="6"/>
  <c r="I5" i="6" s="1"/>
  <c r="M6" i="1"/>
  <c r="Q16" i="1"/>
  <c r="H16" i="1"/>
  <c r="G16" i="1"/>
  <c r="K16" i="1"/>
  <c r="T18" i="1" s="1"/>
  <c r="C34" i="69"/>
  <c r="Q69" i="67"/>
  <c r="Q68" i="67" s="1"/>
  <c r="C58" i="67"/>
  <c r="C67" i="67" s="1"/>
  <c r="C68" i="67" s="1"/>
  <c r="C45" i="67" s="1"/>
  <c r="C46" i="67" s="1"/>
  <c r="C18" i="12"/>
  <c r="G101" i="43"/>
  <c r="N101" i="43"/>
  <c r="C20" i="69"/>
  <c r="C25" i="69" s="1"/>
  <c r="C22" i="69" s="1"/>
  <c r="C24" i="68"/>
  <c r="C14" i="71"/>
  <c r="D15" i="7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3" i="67"/>
  <c r="D2" i="67"/>
  <c r="Q47" i="67"/>
  <c r="Q53" i="67" s="1"/>
  <c r="Q56" i="67"/>
  <c r="Q65" i="67"/>
  <c r="C83" i="67"/>
  <c r="C82" i="67" s="1"/>
  <c r="C16" i="15"/>
  <c r="C17" i="15"/>
  <c r="F101" i="43" l="1"/>
  <c r="E22" i="43"/>
  <c r="AB11" i="43"/>
  <c r="AB13" i="43" s="1"/>
  <c r="E101" i="43"/>
  <c r="Z7" i="43"/>
  <c r="AH11" i="43"/>
  <c r="AH13" i="43" s="1"/>
  <c r="AA11" i="43"/>
  <c r="AA13" i="43" s="1"/>
  <c r="I101" i="43"/>
  <c r="AG11" i="43"/>
  <c r="AG13" i="43" s="1"/>
  <c r="N104" i="46"/>
  <c r="J22" i="43"/>
  <c r="G22" i="43"/>
  <c r="AC11" i="43"/>
  <c r="AC13" i="43" s="1"/>
  <c r="L101" i="43"/>
  <c r="L106" i="43" s="1"/>
  <c r="K27" i="6"/>
  <c r="F10" i="39"/>
  <c r="H10" i="39"/>
  <c r="J10" i="39"/>
  <c r="J10" i="40"/>
  <c r="F10" i="40"/>
  <c r="H10" i="40"/>
  <c r="F27" i="11"/>
  <c r="F27" i="68"/>
  <c r="F27" i="69"/>
  <c r="C28" i="69" s="1"/>
  <c r="C27" i="69" s="1"/>
  <c r="F28" i="12"/>
  <c r="C29" i="12" s="1"/>
  <c r="D28" i="12" s="1"/>
  <c r="S22" i="6"/>
  <c r="H22" i="6"/>
  <c r="R22" i="6" s="1"/>
  <c r="S25" i="6"/>
  <c r="H25" i="6"/>
  <c r="R25" i="6" s="1"/>
  <c r="S26" i="6"/>
  <c r="H26" i="6"/>
  <c r="R26" i="6" s="1"/>
  <c r="M27" i="6"/>
  <c r="I19" i="6"/>
  <c r="AI11" i="43"/>
  <c r="AI13" i="43" s="1"/>
  <c r="AJ11" i="43"/>
  <c r="AJ13" i="43" s="1"/>
  <c r="H22" i="43"/>
  <c r="D22" i="43" s="1"/>
  <c r="Y11" i="43"/>
  <c r="Y13" i="43" s="1"/>
  <c r="AD11" i="43"/>
  <c r="AD13" i="43" s="1"/>
  <c r="H101" i="43"/>
  <c r="H103" i="43" s="1"/>
  <c r="C101" i="43"/>
  <c r="C104" i="43" s="1"/>
  <c r="B113" i="43"/>
  <c r="G118" i="43" s="1"/>
  <c r="H118" i="43" s="1"/>
  <c r="AE11" i="43"/>
  <c r="AE13" i="43" s="1"/>
  <c r="AF11" i="43"/>
  <c r="AF13" i="43" s="1"/>
  <c r="D101" i="43"/>
  <c r="D109" i="43" s="1"/>
  <c r="F22" i="43"/>
  <c r="Z11" i="43"/>
  <c r="Z13" i="43" s="1"/>
  <c r="M101" i="43"/>
  <c r="M102" i="43" s="1"/>
  <c r="J101" i="43"/>
  <c r="J103" i="43" s="1"/>
  <c r="C35" i="69"/>
  <c r="C38" i="69"/>
  <c r="O6" i="1"/>
  <c r="M16" i="1"/>
  <c r="N16" i="1" s="1"/>
  <c r="S23" i="6"/>
  <c r="H23" i="6"/>
  <c r="R23" i="6" s="1"/>
  <c r="S20" i="6"/>
  <c r="H20" i="6"/>
  <c r="R20" i="6" s="1"/>
  <c r="S21" i="6"/>
  <c r="H21" i="6"/>
  <c r="R21" i="6" s="1"/>
  <c r="S24" i="6"/>
  <c r="H24" i="6"/>
  <c r="R24" i="6" s="1"/>
  <c r="C32" i="15"/>
  <c r="C10" i="15"/>
  <c r="C5" i="15" s="1"/>
  <c r="C38" i="15" s="1"/>
  <c r="C33" i="15"/>
  <c r="J10" i="15"/>
  <c r="J5" i="15" s="1"/>
  <c r="J18" i="15"/>
  <c r="T19" i="1"/>
  <c r="V19" i="1" s="1"/>
  <c r="S16" i="1"/>
  <c r="T6" i="1"/>
  <c r="AQ6" i="1"/>
  <c r="AR6" i="1"/>
  <c r="C66" i="15"/>
  <c r="C60" i="15"/>
  <c r="C71" i="67"/>
  <c r="I104" i="43"/>
  <c r="I105" i="43"/>
  <c r="I106" i="43"/>
  <c r="I109" i="43"/>
  <c r="I107" i="43"/>
  <c r="I102" i="43"/>
  <c r="I103" i="43"/>
  <c r="F102" i="43"/>
  <c r="F104" i="43"/>
  <c r="F105" i="43"/>
  <c r="F109" i="43"/>
  <c r="F103" i="43"/>
  <c r="F107" i="43"/>
  <c r="F106" i="43"/>
  <c r="E102" i="43"/>
  <c r="E103" i="43"/>
  <c r="E107" i="43"/>
  <c r="E109" i="43"/>
  <c r="E106" i="43"/>
  <c r="E104" i="43"/>
  <c r="E105" i="43"/>
  <c r="N105" i="43"/>
  <c r="N102" i="43"/>
  <c r="N109" i="43"/>
  <c r="N107" i="43"/>
  <c r="N104" i="43"/>
  <c r="N106" i="43"/>
  <c r="N103" i="43"/>
  <c r="L104" i="43"/>
  <c r="G103" i="43"/>
  <c r="G102" i="43"/>
  <c r="G104" i="43"/>
  <c r="G109" i="43"/>
  <c r="G105" i="43"/>
  <c r="G107" i="43"/>
  <c r="G106" i="43"/>
  <c r="H109" i="43"/>
  <c r="H102" i="43"/>
  <c r="H107" i="43"/>
  <c r="B118" i="43"/>
  <c r="C118" i="43" s="1"/>
  <c r="B115" i="43"/>
  <c r="C115" i="43" s="1"/>
  <c r="D118" i="43"/>
  <c r="E118" i="43" s="1"/>
  <c r="F118" i="43" s="1"/>
  <c r="B116" i="43"/>
  <c r="C116" i="43" s="1"/>
  <c r="I116" i="43"/>
  <c r="J116" i="43" s="1"/>
  <c r="K116" i="43" s="1"/>
  <c r="L116" i="43" s="1"/>
  <c r="M116" i="43" s="1"/>
  <c r="D116" i="43"/>
  <c r="E116" i="43" s="1"/>
  <c r="F116" i="43" s="1"/>
  <c r="G116" i="43" s="1"/>
  <c r="H116" i="43" s="1"/>
  <c r="M103" i="43"/>
  <c r="M109" i="43"/>
  <c r="M104" i="43"/>
  <c r="K103" i="43"/>
  <c r="K105" i="43"/>
  <c r="K102" i="43"/>
  <c r="K106" i="43"/>
  <c r="K107" i="43"/>
  <c r="K104" i="43"/>
  <c r="K109" i="43"/>
  <c r="L57" i="15"/>
  <c r="L60" i="15" s="1"/>
  <c r="L46" i="15" s="1"/>
  <c r="D14" i="71"/>
  <c r="C13" i="71"/>
  <c r="O68" i="39"/>
  <c r="O70" i="39" s="1"/>
  <c r="N70" i="39"/>
  <c r="F7" i="39"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4" i="15"/>
  <c r="C107" i="43" l="1"/>
  <c r="W18" i="1"/>
  <c r="J104" i="43"/>
  <c r="D106" i="43"/>
  <c r="J109" i="43"/>
  <c r="D102" i="43"/>
  <c r="C103" i="43"/>
  <c r="L109" i="43"/>
  <c r="L103" i="43"/>
  <c r="J105" i="43"/>
  <c r="D107" i="43"/>
  <c r="C102" i="43"/>
  <c r="C105" i="43"/>
  <c r="L105" i="43"/>
  <c r="L107" i="43"/>
  <c r="L102" i="43"/>
  <c r="C33" i="69"/>
  <c r="C39" i="69" s="1"/>
  <c r="C43" i="69" s="1"/>
  <c r="J102" i="43"/>
  <c r="J106" i="43"/>
  <c r="J107" i="43"/>
  <c r="D104" i="43"/>
  <c r="D105" i="43"/>
  <c r="D103" i="43"/>
  <c r="C106" i="43"/>
  <c r="C109" i="43"/>
  <c r="U20" i="1"/>
  <c r="C18" i="15"/>
  <c r="C15" i="15"/>
  <c r="J24" i="15"/>
  <c r="J26" i="15"/>
  <c r="J29" i="15" s="1"/>
  <c r="M105" i="43"/>
  <c r="M106" i="43"/>
  <c r="M107" i="43"/>
  <c r="D115" i="43"/>
  <c r="E115" i="43" s="1"/>
  <c r="F115" i="43" s="1"/>
  <c r="G115" i="43" s="1"/>
  <c r="H115" i="43" s="1"/>
  <c r="D117" i="43"/>
  <c r="E117" i="43" s="1"/>
  <c r="F117" i="43" s="1"/>
  <c r="G117" i="43" s="1"/>
  <c r="H117" i="43" s="1"/>
  <c r="I117" i="43"/>
  <c r="J117" i="43" s="1"/>
  <c r="K117" i="43" s="1"/>
  <c r="L117" i="43" s="1"/>
  <c r="M117" i="43" s="1"/>
  <c r="I118" i="43"/>
  <c r="J118" i="43" s="1"/>
  <c r="K118" i="43" s="1"/>
  <c r="L118" i="43" s="1"/>
  <c r="M118" i="43" s="1"/>
  <c r="I115" i="43"/>
  <c r="J115" i="43" s="1"/>
  <c r="K115" i="43" s="1"/>
  <c r="L115" i="43" s="1"/>
  <c r="M115" i="43" s="1"/>
  <c r="B117" i="43"/>
  <c r="C117" i="43" s="1"/>
  <c r="H105" i="43"/>
  <c r="H104" i="43"/>
  <c r="H106" i="43"/>
  <c r="T16" i="1"/>
  <c r="L16" i="1"/>
  <c r="C34" i="68"/>
  <c r="C34" i="11"/>
  <c r="C47" i="69"/>
  <c r="D45" i="69" s="1"/>
  <c r="F45" i="69"/>
  <c r="C29" i="69"/>
  <c r="D27" i="69" s="1"/>
  <c r="C31" i="69" s="1"/>
  <c r="C29" i="11"/>
  <c r="D27" i="11" s="1"/>
  <c r="C47" i="11"/>
  <c r="D45" i="11" s="1"/>
  <c r="C28" i="11"/>
  <c r="C27" i="11" s="1"/>
  <c r="C31" i="11" s="1"/>
  <c r="AA10" i="40"/>
  <c r="S10" i="40"/>
  <c r="AC10" i="39"/>
  <c r="W10" i="39"/>
  <c r="AA10" i="39"/>
  <c r="S10" i="39"/>
  <c r="F50" i="68"/>
  <c r="F50" i="11"/>
  <c r="F50" i="69"/>
  <c r="P6" i="1"/>
  <c r="P16" i="1" s="1"/>
  <c r="C11" i="12" s="1"/>
  <c r="O16" i="1"/>
  <c r="I27" i="6"/>
  <c r="H19" i="6"/>
  <c r="S19" i="6"/>
  <c r="S27" i="6" s="1"/>
  <c r="F45" i="68"/>
  <c r="C29" i="68"/>
  <c r="D27" i="68" s="1"/>
  <c r="C47" i="68"/>
  <c r="D45" i="68" s="1"/>
  <c r="AB10" i="40"/>
  <c r="U10" i="40"/>
  <c r="W10" i="40"/>
  <c r="AC10" i="40"/>
  <c r="U10" i="39"/>
  <c r="AB10" i="39"/>
  <c r="D113" i="43"/>
  <c r="S3" i="43"/>
  <c r="T3" i="43" s="1"/>
  <c r="V3" i="43" s="1"/>
  <c r="S7" i="43"/>
  <c r="T7" i="43" s="1"/>
  <c r="V7" i="43" s="1"/>
  <c r="S2" i="43"/>
  <c r="T2" i="43" s="1"/>
  <c r="V2" i="43" s="1"/>
  <c r="S4" i="43"/>
  <c r="T4" i="43" s="1"/>
  <c r="V4" i="43" s="1"/>
  <c r="C23" i="43"/>
  <c r="C21" i="43" s="1"/>
  <c r="S6" i="43"/>
  <c r="T6" i="43" s="1"/>
  <c r="V6" i="43" s="1"/>
  <c r="Q57" i="15"/>
  <c r="Q66" i="15"/>
  <c r="C12" i="71"/>
  <c r="T13" i="71"/>
  <c r="D13" i="71"/>
  <c r="U13" i="71" s="1"/>
  <c r="H7" i="39"/>
  <c r="J7" i="39"/>
  <c r="AA7" i="39"/>
  <c r="R47" i="39" s="1"/>
  <c r="S7" i="39"/>
  <c r="R39" i="35"/>
  <c r="E38" i="35"/>
  <c r="M63" i="40"/>
  <c r="L65" i="40"/>
  <c r="S5" i="43" l="1"/>
  <c r="T5" i="43" s="1"/>
  <c r="V5" i="43" s="1"/>
  <c r="C19" i="15"/>
  <c r="C46" i="69"/>
  <c r="C45" i="69" s="1"/>
  <c r="C42" i="69"/>
  <c r="C41" i="69" s="1"/>
  <c r="C12" i="12"/>
  <c r="C15" i="12"/>
  <c r="C35" i="11"/>
  <c r="C38" i="11"/>
  <c r="C33" i="11"/>
  <c r="H27" i="6"/>
  <c r="R19" i="6"/>
  <c r="C38" i="68"/>
  <c r="C35" i="68"/>
  <c r="C20" i="15"/>
  <c r="C26" i="15" s="1"/>
  <c r="C29" i="43"/>
  <c r="D12" i="71"/>
  <c r="C11" i="71"/>
  <c r="E47" i="39"/>
  <c r="R48" i="39"/>
  <c r="W7" i="39"/>
  <c r="AC7" i="39"/>
  <c r="V47" i="39" s="1"/>
  <c r="I47" i="39" s="1"/>
  <c r="U7" i="39"/>
  <c r="AB7" i="39"/>
  <c r="T47" i="39" s="1"/>
  <c r="G47" i="39" s="1"/>
  <c r="C39" i="35"/>
  <c r="B2" i="35" s="1"/>
  <c r="B3" i="35" s="1"/>
  <c r="C38" i="35"/>
  <c r="N63" i="40"/>
  <c r="M65" i="40"/>
  <c r="E43" i="35"/>
  <c r="F43" i="35" s="1"/>
  <c r="E42" i="35"/>
  <c r="F42" i="35" s="1"/>
  <c r="I43" i="35"/>
  <c r="J43" i="35" s="1"/>
  <c r="C23" i="15" l="1"/>
  <c r="C29" i="15" s="1"/>
  <c r="C13" i="15" s="1"/>
  <c r="C33" i="68"/>
  <c r="C42" i="68" s="1"/>
  <c r="C49" i="69"/>
  <c r="C51" i="69" s="1"/>
  <c r="C52" i="69" s="1"/>
  <c r="B2" i="69" s="1"/>
  <c r="B3" i="69" s="1"/>
  <c r="C39" i="68"/>
  <c r="C43" i="68" s="1"/>
  <c r="C42" i="11"/>
  <c r="C39" i="11"/>
  <c r="C43" i="11" s="1"/>
  <c r="R27" i="6"/>
  <c r="R6" i="1"/>
  <c r="C16" i="12"/>
  <c r="C21" i="12" s="1"/>
  <c r="C30" i="43"/>
  <c r="E30" i="43" s="1"/>
  <c r="C27" i="43" s="1"/>
  <c r="E29" i="43"/>
  <c r="C26" i="43" s="1"/>
  <c r="C10" i="71"/>
  <c r="D11" i="71"/>
  <c r="E52" i="39"/>
  <c r="F52" i="39" s="1"/>
  <c r="E51" i="39"/>
  <c r="F51" i="39" s="1"/>
  <c r="G51" i="39"/>
  <c r="H51" i="39" s="1"/>
  <c r="G52" i="39"/>
  <c r="H52" i="39" s="1"/>
  <c r="I51" i="39"/>
  <c r="J51" i="39" s="1"/>
  <c r="I52" i="39"/>
  <c r="J52" i="39" s="1"/>
  <c r="C48" i="39"/>
  <c r="C47" i="39"/>
  <c r="O63" i="40"/>
  <c r="O65" i="40" s="1"/>
  <c r="N65" i="40"/>
  <c r="F35" i="15"/>
  <c r="M21" i="15"/>
  <c r="E6" i="76"/>
  <c r="J14" i="15" l="1"/>
  <c r="J22" i="15" s="1"/>
  <c r="C36" i="15"/>
  <c r="J19" i="15"/>
  <c r="C57" i="15"/>
  <c r="C61" i="15" s="1"/>
  <c r="Q49" i="15"/>
  <c r="C57" i="69"/>
  <c r="C56" i="69" s="1"/>
  <c r="C46" i="68"/>
  <c r="C45" i="68" s="1"/>
  <c r="C41" i="68"/>
  <c r="C46" i="11"/>
  <c r="C45" i="11" s="1"/>
  <c r="C34" i="15"/>
  <c r="C31" i="15" s="1"/>
  <c r="F63" i="15"/>
  <c r="C62" i="15" s="1"/>
  <c r="J20" i="15"/>
  <c r="R16" i="1"/>
  <c r="C41" i="11"/>
  <c r="C37" i="15"/>
  <c r="C75" i="15"/>
  <c r="C56" i="15"/>
  <c r="C65" i="15" s="1"/>
  <c r="Q70" i="15"/>
  <c r="C22" i="12"/>
  <c r="C30" i="12" s="1"/>
  <c r="C28" i="12" s="1"/>
  <c r="E2" i="76"/>
  <c r="B2" i="43"/>
  <c r="C9" i="71"/>
  <c r="D10"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6" i="76"/>
  <c r="J13" i="15" l="1"/>
  <c r="J23" i="15" s="1"/>
  <c r="C64" i="15"/>
  <c r="J17" i="15"/>
  <c r="C49" i="68"/>
  <c r="C51" i="68" s="1"/>
  <c r="I7" i="79" s="1"/>
  <c r="J7" i="79" s="1"/>
  <c r="C27" i="12"/>
  <c r="C25" i="12" s="1"/>
  <c r="C32" i="12" s="1"/>
  <c r="B2" i="12" s="1"/>
  <c r="B3" i="12" s="1"/>
  <c r="C59" i="15"/>
  <c r="C58" i="15" s="1"/>
  <c r="C67" i="15" s="1"/>
  <c r="C68" i="15" s="1"/>
  <c r="C49" i="11"/>
  <c r="C51" i="11" s="1"/>
  <c r="C30" i="15"/>
  <c r="C39" i="15" s="1"/>
  <c r="C80" i="15" s="1"/>
  <c r="C79" i="15" s="1"/>
  <c r="B2" i="76"/>
  <c r="B3" i="76" s="1"/>
  <c r="G6" i="79"/>
  <c r="B3" i="43"/>
  <c r="C8" i="71"/>
  <c r="T9" i="71"/>
  <c r="D9" i="71"/>
  <c r="U9" i="71" s="1"/>
  <c r="U7" i="40"/>
  <c r="AB7" i="40"/>
  <c r="T42" i="40" s="1"/>
  <c r="G42" i="40" s="1"/>
  <c r="AA7" i="40"/>
  <c r="R42" i="40" s="1"/>
  <c r="S7" i="40"/>
  <c r="AC7" i="40"/>
  <c r="V42" i="40" s="1"/>
  <c r="I42" i="40" s="1"/>
  <c r="W7" i="40"/>
  <c r="L51" i="15"/>
  <c r="J16" i="15" l="1"/>
  <c r="J25" i="15" s="1"/>
  <c r="C52" i="11"/>
  <c r="B2" i="11" s="1"/>
  <c r="B3" i="11" s="1"/>
  <c r="Q67" i="15"/>
  <c r="C71" i="15"/>
  <c r="C40" i="15"/>
  <c r="C46" i="15" s="1"/>
  <c r="Q69" i="15"/>
  <c r="Q68" i="15" s="1"/>
  <c r="C7" i="71"/>
  <c r="D8" i="71"/>
  <c r="I46" i="40"/>
  <c r="J46" i="40" s="1"/>
  <c r="R43" i="40"/>
  <c r="E42" i="40"/>
  <c r="G47" i="40"/>
  <c r="H47" i="40" s="1"/>
  <c r="G46" i="40"/>
  <c r="H46" i="40" s="1"/>
  <c r="C56" i="11" l="1"/>
  <c r="C57" i="11" s="1"/>
  <c r="Q47" i="15"/>
  <c r="Q53" i="15" s="1"/>
  <c r="C43" i="15"/>
  <c r="Q65" i="15"/>
  <c r="Q75" i="15" s="1"/>
  <c r="B2" i="15"/>
  <c r="Q56" i="15"/>
  <c r="Q62" i="15" s="1"/>
  <c r="C83" i="15"/>
  <c r="C82" i="15" s="1"/>
  <c r="D7" i="71"/>
  <c r="C6" i="71"/>
  <c r="C42" i="40"/>
  <c r="C43" i="40"/>
  <c r="C44" i="40" s="1"/>
  <c r="E47" i="40"/>
  <c r="F47" i="40" s="1"/>
  <c r="E46" i="40"/>
  <c r="F46" i="40" s="1"/>
  <c r="I47" i="40"/>
  <c r="J47" i="40" s="1"/>
  <c r="AO6" i="1"/>
  <c r="D19" i="9"/>
  <c r="D102" i="9" l="1"/>
  <c r="D21" i="9"/>
  <c r="B6" i="70"/>
  <c r="B2" i="70" s="1"/>
  <c r="B3" i="70" s="1"/>
  <c r="B3" i="15"/>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E6" i="79" s="1"/>
  <c r="J6" i="79" s="1"/>
  <c r="J8" i="79" s="1"/>
  <c r="D20" i="9"/>
  <c r="D103" i="9" l="1"/>
  <c r="B3" i="40"/>
  <c r="C6" i="68"/>
  <c r="D5" i="71"/>
  <c r="M20" i="43"/>
  <c r="C7" i="68" l="1"/>
  <c r="C5" i="68" s="1"/>
  <c r="C23" i="68" l="1"/>
  <c r="C20" i="68"/>
  <c r="C25" i="68" s="1"/>
  <c r="C22" i="68" l="1"/>
  <c r="C28" i="68"/>
  <c r="C27" i="68" s="1"/>
  <c r="C31" i="68" l="1"/>
  <c r="C52" i="68" s="1"/>
  <c r="B2" i="68" s="1"/>
  <c r="C19" i="9"/>
  <c r="D22" i="9" l="1"/>
  <c r="C102" i="9"/>
  <c r="G19" i="9"/>
  <c r="G21" i="9" s="1"/>
  <c r="C21" i="9"/>
  <c r="B3" i="68"/>
  <c r="C57" i="68"/>
  <c r="C56" i="68" s="1"/>
  <c r="D34" i="9"/>
  <c r="D35" i="9"/>
  <c r="C20" i="9"/>
  <c r="G20" i="9" l="1"/>
  <c r="C103" i="9"/>
  <c r="C32" i="9" l="1"/>
  <c r="C35" i="9" s="1"/>
  <c r="C34" i="9" s="1"/>
  <c r="D118" i="9" s="1"/>
  <c r="J118" i="9" l="1"/>
  <c r="H118" i="9"/>
  <c r="C104" i="9" s="1"/>
  <c r="F118" i="9"/>
  <c r="F4" i="52" s="1"/>
  <c r="B51" i="72" s="1"/>
  <c r="D4" i="52"/>
  <c r="B47" i="72" s="1"/>
  <c r="D119" i="9"/>
  <c r="D5" i="52" s="1"/>
  <c r="B49" i="72" s="1"/>
  <c r="H101" i="9"/>
  <c r="D14" i="74" l="1"/>
  <c r="F14" i="74" s="1"/>
  <c r="H119" i="9"/>
  <c r="H5" i="52" s="1"/>
  <c r="H4" i="52"/>
  <c r="I118" i="9"/>
  <c r="H102" i="9" s="1"/>
  <c r="D7" i="53" s="1"/>
  <c r="B21" i="72" s="1"/>
  <c r="F119" i="9"/>
  <c r="F5" i="52" s="1"/>
  <c r="B53" i="72" s="1"/>
  <c r="G118" i="9"/>
  <c r="G4" i="52" s="1"/>
  <c r="B52" i="72" s="1"/>
  <c r="E14" i="74"/>
  <c r="M48" i="9"/>
  <c r="D5" i="53"/>
  <c r="H107" i="9"/>
  <c r="D45" i="9"/>
  <c r="B5" i="74" l="1"/>
  <c r="D5" i="74" s="1"/>
  <c r="I4" i="52"/>
  <c r="C105" i="9"/>
  <c r="E118" i="9"/>
  <c r="E4" i="52" s="1"/>
  <c r="B48" i="72" s="1"/>
  <c r="D6" i="53"/>
  <c r="B22" i="72" s="1"/>
  <c r="B20" i="72"/>
  <c r="D13" i="53"/>
  <c r="D122" i="9"/>
  <c r="H108" i="9"/>
  <c r="D15" i="53" s="1"/>
  <c r="B31" i="72" s="1"/>
  <c r="M49" i="9"/>
  <c r="D53" i="9"/>
  <c r="C78" i="9"/>
  <c r="C73" i="9" s="1"/>
  <c r="C64" i="9"/>
  <c r="C63" i="9" s="1"/>
  <c r="C67" i="9" s="1"/>
  <c r="D52" i="9"/>
  <c r="C93" i="9"/>
  <c r="C86" i="9" s="1"/>
  <c r="C72" i="9"/>
  <c r="D55" i="9"/>
  <c r="M53" i="9" s="1"/>
  <c r="C85" i="9"/>
  <c r="C5" i="74"/>
  <c r="C79" i="9" l="1"/>
  <c r="C95" i="9"/>
  <c r="C80" i="9"/>
  <c r="E80" i="9" s="1"/>
  <c r="E81" i="9" s="1"/>
  <c r="L65" i="9"/>
  <c r="M65" i="9" s="1"/>
  <c r="L63" i="9"/>
  <c r="M63" i="9" s="1"/>
  <c r="L68" i="9"/>
  <c r="M68" i="9" s="1"/>
  <c r="L67" i="9"/>
  <c r="M67" i="9" s="1"/>
  <c r="L64" i="9"/>
  <c r="M64" i="9" s="1"/>
  <c r="L66" i="9"/>
  <c r="M66" i="9" s="1"/>
  <c r="D8" i="52"/>
  <c r="D123" i="9"/>
  <c r="D9" i="52" s="1"/>
  <c r="G14" i="74"/>
  <c r="B6" i="74" s="1"/>
  <c r="D59" i="9"/>
  <c r="M55" i="9" s="1"/>
  <c r="C68" i="9"/>
  <c r="D54" i="9" s="1"/>
  <c r="B30" i="72"/>
  <c r="D14" i="53"/>
  <c r="B32" i="72" s="1"/>
  <c r="M69" i="9" l="1"/>
  <c r="N69" i="9" s="1"/>
  <c r="C81" i="9"/>
  <c r="D6" i="74"/>
  <c r="C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<sst xmlns="http://schemas.openxmlformats.org/spreadsheetml/2006/main" count="7895" uniqueCount="3404">
  <si>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</si>
  <si>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</si>
  <si>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</si>
  <si>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</si>
  <si>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</si>
  <si>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</si>
  <si>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</si>
  <si>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</si>
  <si>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</si>
  <si>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</si>
  <si>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</si>
  <si>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</si>
  <si>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</si>
  <si>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</si>
  <si>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</si>
  <si>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</si>
  <si>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</si>
  <si>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</si>
  <si>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</si>
  <si>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</si>
  <si>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</si>
  <si>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</si>
  <si>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</si>
  <si>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</si>
  <si>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</si>
  <si>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</si>
  <si>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</si>
  <si>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</si>
  <si>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</si>
  <si>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</si>
  <si>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</si>
  <si>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</si>
  <si>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</si>
  <si>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</si>
  <si>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</si>
  <si>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</si>
  <si>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</si>
  <si>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</si>
  <si>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</si>
  <si>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</si>
  <si>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</si>
  <si>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</si>
  <si>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</si>
  <si>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</si>
  <si>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</si>
  <si>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</si>
  <si>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</si>
  <si>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</si>
  <si>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</si>
  <si>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</si>
  <si>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</si>
  <si>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</si>
  <si>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</si>
  <si>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</si>
  <si>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</si>
  <si>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</si>
  <si>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</si>
  <si>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</si>
  <si>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</si>
  <si>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</si>
  <si>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</si>
  <si>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</si>
  <si>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</si>
  <si>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</si>
  <si>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</si>
  <si>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</si>
  <si>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</si>
  <si>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</si>
  <si>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</si>
  <si>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</si>
  <si>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</si>
  <si>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</si>
  <si>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</si>
  <si>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</si>
  <si>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</si>
  <si>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</si>
  <si>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</si>
  <si>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</si>
  <si>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</si>
  <si>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</si>
  <si>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</si>
  <si>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</si>
  <si>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</si>
  <si>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</si>
  <si>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</si>
  <si>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</si>
  <si>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</si>
  <si>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</si>
  <si>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</si>
  <si>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</si>
  <si>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</si>
  <si>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</si>
  <si>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</si>
  <si>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</si>
  <si>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</si>
  <si>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</si>
  <si>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</si>
  <si>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</si>
  <si>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</si>
  <si>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</si>
  <si>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</si>
  <si>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</si>
  <si>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</si>
  <si>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</si>
  <si>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</si>
  <si>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</si>
  <si>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</si>
  <si>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</si>
  <si>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</si>
  <si>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</si>
  <si>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</si>
  <si>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</si>
  <si>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</si>
  <si>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</si>
  <si>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</si>
  <si>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</si>
  <si>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</si>
  <si>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</si>
  <si>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</si>
  <si>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</si>
  <si>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</si>
  <si>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</si>
  <si>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</si>
  <si>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</si>
  <si>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</si>
  <si>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</si>
  <si>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</si>
  <si>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</si>
  <si>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</si>
  <si>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</si>
  <si>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</si>
  <si>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</si>
  <si>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</si>
  <si>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</si>
  <si>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</si>
  <si>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</si>
  <si>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</si>
  <si>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</si>
  <si>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</si>
  <si>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</si>
  <si>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</si>
  <si>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</si>
  <si>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</si>
  <si>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</si>
  <si>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</si>
  <si>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</si>
  <si>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</si>
  <si>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</si>
  <si>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</si>
  <si>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</si>
  <si>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</si>
  <si>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</si>
  <si>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</si>
  <si>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</si>
  <si>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</si>
  <si>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</si>
  <si>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</si>
  <si>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</si>
  <si>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</si>
  <si>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</si>
  <si>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</si>
  <si>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</si>
  <si>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</si>
  <si>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</si>
  <si>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</si>
  <si>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</si>
  <si>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</si>
  <si>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</si>
  <si>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</si>
  <si>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</si>
  <si>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</si>
  <si>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</si>
  <si>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</si>
  <si>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</si>
  <si>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</si>
  <si>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</si>
  <si>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</si>
  <si>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</si>
  <si>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</si>
  <si>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</si>
  <si>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</si>
  <si>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</si>
  <si>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</si>
  <si>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</si>
  <si>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</si>
  <si>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</si>
  <si>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</si>
  <si>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</si>
  <si>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</si>
  <si>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</si>
  <si>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</si>
  <si>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</si>
  <si>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</si>
  <si>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</si>
  <si>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</si>
  <si>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</si>
  <si>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</si>
  <si>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</si>
  <si>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</si>
  <si>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</si>
  <si>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</si>
  <si>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</si>
  <si>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</si>
  <si>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</si>
  <si>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</si>
  <si>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</si>
  <si>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</si>
  <si>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</si>
  <si>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</si>
  <si>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</si>
  <si>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</si>
  <si>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</si>
  <si>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</si>
  <si>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</si>
  <si>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</si>
  <si>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</si>
  <si>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</si>
  <si>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</si>
  <si>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</si>
  <si>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</si>
  <si>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</si>
  <si>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</si>
  <si>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</si>
  <si>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</si>
  <si>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</si>
  <si>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</si>
  <si>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</si>
  <si>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</si>
  <si>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</si>
  <si>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</si>
  <si>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</si>
  <si>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</si>
  <si>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</si>
  <si>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</si>
  <si>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</si>
  <si>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</si>
  <si>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</si>
  <si>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</si>
  <si>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</si>
  <si>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</si>
  <si>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</si>
  <si>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</si>
  <si>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</si>
  <si>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</si>
  <si>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</si>
  <si>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</si>
  <si>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</si>
  <si>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</si>
  <si>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</si>
  <si>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</si>
  <si>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</si>
  <si>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</si>
  <si>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</si>
  <si>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</si>
  <si>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</si>
  <si>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</si>
  <si>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</si>
  <si>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</si>
  <si>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</si>
  <si>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</si>
  <si>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</si>
  <si>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</si>
  <si>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</si>
  <si>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</si>
  <si>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</si>
  <si>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</si>
  <si>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</si>
  <si>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</si>
  <si>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</si>
  <si>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</si>
  <si>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</si>
  <si>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</si>
  <si>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</si>
  <si>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</si>
  <si>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</si>
  <si>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</si>
  <si>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</si>
  <si>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</si>
  <si>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</si>
  <si>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</si>
  <si>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</si>
  <si>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</si>
  <si>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</si>
  <si>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</si>
  <si>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</si>
  <si>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</si>
  <si>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</si>
  <si>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</si>
  <si>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</si>
  <si>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</si>
  <si>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</si>
  <si>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</si>
  <si>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</si>
  <si>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</si>
  <si>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</si>
  <si>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</si>
  <si>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</si>
  <si>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</si>
  <si>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</si>
  <si>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</si>
  <si>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</si>
  <si>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</si>
  <si>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</si>
  <si>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</si>
  <si>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</si>
  <si>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</si>
  <si>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</si>
  <si>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</si>
  <si>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</si>
  <si>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</si>
  <si>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</si>
  <si>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</si>
  <si>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</si>
  <si>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</si>
  <si>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</si>
  <si>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</si>
  <si>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</si>
  <si>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</si>
  <si>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</si>
  <si>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</si>
  <si>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</si>
  <si>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</si>
  <si>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</si>
  <si>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</si>
  <si>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</si>
  <si>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</si>
  <si>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</si>
  <si>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</si>
  <si>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</si>
  <si>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</si>
  <si>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</si>
  <si>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</si>
  <si>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</si>
  <si>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</si>
  <si>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</si>
  <si>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</si>
  <si>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</si>
  <si>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</si>
  <si>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</si>
  <si>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</si>
  <si>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</si>
  <si>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</si>
  <si>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</si>
  <si>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</si>
  <si>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</si>
  <si>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</si>
  <si>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</si>
  <si>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</si>
  <si>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</si>
  <si>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</si>
  <si>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</si>
  <si>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</si>
  <si>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</si>
  <si>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</si>
  <si>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</si>
  <si>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</si>
  <si>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</si>
  <si>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</si>
  <si>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</si>
  <si>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</si>
  <si>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</si>
  <si>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</si>
  <si>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</si>
  <si>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</si>
  <si>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</si>
  <si>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</si>
  <si>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</si>
  <si>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</si>
  <si>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</si>
  <si>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</si>
  <si>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</si>
  <si>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</si>
  <si>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</si>
  <si>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</si>
  <si>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</si>
  <si>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</si>
  <si>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</si>
  <si>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</si>
  <si>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</si>
  <si>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</si>
  <si>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</si>
  <si>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</si>
  <si>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</si>
  <si>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</si>
  <si>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</si>
  <si>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</si>
  <si>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</si>
  <si>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</si>
  <si>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</si>
  <si>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</si>
  <si>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</si>
  <si>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</si>
  <si>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</si>
  <si>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</si>
  <si>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</si>
  <si>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</si>
  <si>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</si>
  <si>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</si>
  <si>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</si>
  <si>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</si>
  <si>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</si>
  <si>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</si>
  <si>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</si>
  <si>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</si>
  <si>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</si>
  <si>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</si>
  <si>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</si>
  <si>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</si>
  <si>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</si>
  <si>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</si>
  <si>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</si>
  <si>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</si>
  <si>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</si>
  <si>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</si>
  <si>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</si>
  <si>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</si>
  <si>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</si>
  <si>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</si>
  <si>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</si>
  <si>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</si>
  <si>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</si>
  <si>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</si>
  <si>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</si>
  <si>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</si>
  <si>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</si>
  <si>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</si>
  <si>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</si>
  <si>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</si>
  <si>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</si>
  <si>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</si>
  <si>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</si>
  <si>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</si>
  <si>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</si>
  <si>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</si>
  <si>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</si>
  <si>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</si>
  <si>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</si>
  <si>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</si>
  <si>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</si>
  <si>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</si>
  <si>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</si>
  <si>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</si>
  <si>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</si>
  <si>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</si>
  <si>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</si>
  <si>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</si>
  <si>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</si>
  <si>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</si>
  <si>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</si>
  <si>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</si>
  <si>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</si>
  <si>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</si>
  <si>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</si>
  <si>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</si>
  <si>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</si>
  <si>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</si>
  <si>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</si>
  <si>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</si>
  <si>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</si>
  <si>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</si>
  <si>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</si>
  <si>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</si>
  <si>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</si>
  <si>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</si>
  <si>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</si>
  <si>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</si>
  <si>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</si>
  <si>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</si>
  <si>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</si>
  <si>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</si>
  <si>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</si>
  <si>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</si>
  <si>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</si>
  <si>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</si>
  <si>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</si>
  <si>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</si>
  <si>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</si>
  <si>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</si>
  <si>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</si>
  <si>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</si>
  <si>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</si>
  <si>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</si>
  <si>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</si>
  <si>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</si>
  <si>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</si>
  <si>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</si>
  <si>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</si>
  <si>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</si>
  <si>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</si>
  <si>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</si>
  <si>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</si>
  <si>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</si>
  <si>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</si>
  <si>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</si>
  <si>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</si>
  <si>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</si>
  <si>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</si>
  <si>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</si>
  <si>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</si>
  <si>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</si>
  <si>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</si>
  <si>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</si>
  <si>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</si>
  <si>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</si>
  <si>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</si>
  <si>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</si>
  <si>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</si>
  <si>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</si>
  <si>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</si>
  <si>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</si>
  <si>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</si>
  <si>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</si>
  <si>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</si>
  <si>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</si>
  <si>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</si>
  <si>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</si>
  <si>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</si>
  <si>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</si>
  <si>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</si>
  <si>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</si>
  <si>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</si>
  <si>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</si>
  <si>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</si>
  <si>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</si>
  <si>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</si>
  <si>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</si>
  <si>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</si>
  <si>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</si>
  <si>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</si>
  <si>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</si>
  <si>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</si>
  <si>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</si>
  <si>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</si>
  <si>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</si>
  <si>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</si>
  <si>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</si>
  <si>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</si>
  <si>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</si>
  <si>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</si>
  <si>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</si>
  <si>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</si>
  <si>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</si>
  <si>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</si>
  <si>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</si>
  <si>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</si>
  <si>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</si>
  <si>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</si>
  <si>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</si>
  <si>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</si>
  <si>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</si>
  <si>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</si>
  <si>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</si>
  <si>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</si>
  <si>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</si>
  <si>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</si>
  <si>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</si>
  <si>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</si>
  <si>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</si>
  <si>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</si>
  <si>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</si>
  <si>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</si>
  <si>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</si>
  <si>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</si>
  <si>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</si>
  <si>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</si>
  <si>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</si>
  <si>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</si>
  <si>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</si>
  <si>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</si>
  <si>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</si>
  <si>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</si>
  <si>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</si>
  <si>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</si>
  <si>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</si>
  <si>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</si>
  <si>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</si>
  <si>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</si>
  <si>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</si>
  <si>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</si>
  <si>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</si>
  <si>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</si>
  <si>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</si>
  <si>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</si>
  <si>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</si>
  <si>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</si>
  <si>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</si>
  <si>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</si>
  <si>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</si>
  <si>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</si>
  <si>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</si>
  <si>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</si>
  <si>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</si>
  <si>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</si>
  <si>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</si>
  <si>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</si>
  <si>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</si>
  <si>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</si>
  <si>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</si>
  <si>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</si>
  <si>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</si>
  <si>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</si>
  <si>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</si>
  <si>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</si>
  <si>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</si>
  <si>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</si>
  <si>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</si>
  <si>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</si>
  <si>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</si>
  <si>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</si>
  <si>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</si>
  <si>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</si>
  <si>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</si>
  <si>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</si>
  <si>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</si>
  <si>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</si>
  <si>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</si>
  <si>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</si>
  <si>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</si>
  <si>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</si>
  <si>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</si>
  <si>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</si>
  <si>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</si>
  <si>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</si>
  <si>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</si>
  <si>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</si>
  <si>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</si>
  <si>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</si>
  <si>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</si>
  <si>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</si>
  <si>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</si>
  <si>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</si>
  <si>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</si>
  <si>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</si>
  <si>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</si>
  <si>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</si>
  <si>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</si>
  <si>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</si>
  <si>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</si>
  <si>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</si>
  <si>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</si>
  <si>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</si>
  <si>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</si>
  <si>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</si>
  <si>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</si>
  <si>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</si>
  <si>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</si>
  <si>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</si>
  <si>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</si>
  <si>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</si>
  <si>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</si>
  <si>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</si>
  <si>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</si>
  <si>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</si>
  <si>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</si>
  <si>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</si>
  <si>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</si>
  <si>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</si>
  <si>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</si>
  <si>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</si>
  <si>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</si>
  <si>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</si>
  <si>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</si>
  <si>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</si>
  <si>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</si>
  <si>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</si>
  <si>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</si>
  <si>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</si>
  <si>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</si>
  <si>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</si>
  <si>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</si>
  <si>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</si>
  <si>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</si>
  <si>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</si>
  <si>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</si>
  <si>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</si>
  <si>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</si>
  <si>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</si>
  <si>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</si>
  <si>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</si>
  <si>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</si>
  <si>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</si>
  <si>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</si>
  <si>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</si>
  <si>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</si>
  <si>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</si>
  <si>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</si>
  <si>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</si>
  <si>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</si>
  <si>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</si>
  <si>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</si>
  <si>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</si>
  <si>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</si>
  <si>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</si>
  <si>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</si>
  <si>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</si>
  <si>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</si>
  <si>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</si>
  <si>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</si>
  <si>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</si>
  <si>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</si>
  <si>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</si>
  <si>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</si>
  <si>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</si>
  <si>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</si>
  <si>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</si>
  <si>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</si>
  <si>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</si>
  <si>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</si>
  <si>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</si>
  <si>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</si>
  <si>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</si>
  <si>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</si>
  <si>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</si>
  <si>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</si>
  <si>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</si>
  <si>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</si>
  <si>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</si>
  <si>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</si>
  <si>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</si>
  <si>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</si>
  <si>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</si>
  <si>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</si>
  <si>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</si>
  <si>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</si>
  <si>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</si>
  <si>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</si>
  <si>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</si>
  <si>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</si>
  <si>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</si>
  <si>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</si>
  <si>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</si>
  <si>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</si>
  <si>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</si>
  <si>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</si>
  <si>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</si>
  <si>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</si>
  <si>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</si>
  <si>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</si>
  <si>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</si>
  <si>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</si>
  <si>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</si>
  <si>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</si>
  <si>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</si>
  <si>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</si>
  <si>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</si>
  <si>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</si>
  <si>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</si>
  <si>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</si>
  <si>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</si>
  <si>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</si>
  <si>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</si>
  <si>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</si>
  <si>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</si>
  <si>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</si>
  <si>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</si>
  <si>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</si>
  <si>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</si>
  <si>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</si>
  <si>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</si>
  <si>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</si>
  <si>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</si>
  <si>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</si>
  <si>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</si>
  <si>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</si>
  <si>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</si>
  <si>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</si>
  <si>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</si>
  <si>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</si>
  <si>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</si>
  <si>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</si>
  <si>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</si>
  <si>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</si>
  <si>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</si>
  <si>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</si>
  <si>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</si>
  <si>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</si>
  <si>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</si>
  <si>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</si>
  <si>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</si>
  <si>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</si>
  <si>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</si>
  <si>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</si>
  <si>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</si>
  <si>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</si>
  <si>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</si>
  <si>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</si>
  <si>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</si>
  <si>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</si>
  <si>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</si>
  <si>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</si>
  <si>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</si>
  <si>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</si>
  <si>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</si>
  <si>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</si>
  <si>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</si>
  <si>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</si>
  <si>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</si>
  <si>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</si>
  <si>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</si>
  <si>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</si>
  <si>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</si>
  <si>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</si>
  <si>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</si>
  <si>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</si>
  <si>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</si>
  <si>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</si>
  <si>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</si>
  <si>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</si>
  <si>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</si>
  <si>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</si>
  <si>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</si>
  <si>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</si>
  <si>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</si>
  <si>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</si>
  <si>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</si>
  <si>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</si>
  <si>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</si>
  <si>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</si>
  <si>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</si>
  <si>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</si>
  <si>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</si>
  <si>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</si>
  <si>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</si>
  <si>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</si>
  <si>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</si>
  <si>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</si>
  <si>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</si>
  <si>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</si>
  <si>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</si>
  <si>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</si>
  <si>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</si>
  <si>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</si>
  <si>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</si>
  <si>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</si>
  <si>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</si>
  <si>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</si>
  <si>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</si>
  <si>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</si>
  <si>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</si>
  <si>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</si>
  <si>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</si>
  <si>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</si>
  <si>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</si>
  <si>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</si>
  <si>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</si>
  <si>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</si>
  <si>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</si>
  <si>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</si>
  <si>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</si>
  <si>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</si>
  <si>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</si>
  <si>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</si>
  <si>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</si>
  <si>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</si>
  <si>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</si>
  <si>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</si>
  <si>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</si>
  <si>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</si>
  <si>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</si>
  <si>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</si>
  <si>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</si>
  <si>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</si>
  <si>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</si>
  <si>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</si>
  <si>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</si>
  <si>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</si>
  <si>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</si>
  <si>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</si>
  <si>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</si>
  <si>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</si>
  <si>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</si>
  <si>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</si>
  <si>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</si>
  <si>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</si>
  <si>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</si>
  <si>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</si>
  <si>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</si>
  <si>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</si>
  <si>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</si>
  <si>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</si>
  <si>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</si>
  <si>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</si>
  <si>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</si>
  <si>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</si>
  <si>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</si>
  <si>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</si>
  <si>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</si>
  <si>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</si>
  <si>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</si>
  <si>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</si>
  <si>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</si>
  <si>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</si>
  <si>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</si>
  <si>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</si>
  <si>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</si>
  <si>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</si>
  <si>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</si>
  <si>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</si>
  <si>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</si>
  <si>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</si>
  <si>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</si>
  <si>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</si>
  <si>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</si>
  <si>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</si>
  <si>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</si>
  <si>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</si>
  <si>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</si>
  <si>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</si>
  <si>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</si>
  <si>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</si>
  <si>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</si>
  <si>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</si>
  <si>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</si>
  <si>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</si>
  <si>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</si>
  <si>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</si>
  <si>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</si>
  <si>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</si>
  <si>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</si>
  <si>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</si>
  <si>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</si>
  <si>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</si>
  <si>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</si>
  <si>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</si>
  <si>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</si>
  <si>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</si>
  <si>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</si>
  <si>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</si>
  <si>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</si>
  <si>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</si>
  <si>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</si>
  <si>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</si>
  <si>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</si>
  <si>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</si>
  <si>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</si>
  <si>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</si>
  <si>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</si>
  <si>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</si>
  <si>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</si>
  <si>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</si>
  <si>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</si>
  <si>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</si>
  <si>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</si>
  <si>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</si>
  <si>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</si>
  <si>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</si>
  <si>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</si>
  <si>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</si>
  <si>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</si>
  <si>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</si>
  <si>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</si>
  <si>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</si>
  <si>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</si>
  <si>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</si>
  <si>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</si>
  <si>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</si>
  <si>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</si>
  <si>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</si>
  <si>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</si>
  <si>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</si>
  <si>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</si>
  <si>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</si>
  <si>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</si>
  <si>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</si>
  <si>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</si>
  <si>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</si>
  <si>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</si>
  <si>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</si>
  <si>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</si>
  <si>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</si>
  <si>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</si>
  <si>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</si>
  <si>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</si>
  <si>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</si>
  <si>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</si>
  <si>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</si>
  <si>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</si>
  <si>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</si>
  <si>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</si>
  <si>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</si>
  <si>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</si>
  <si>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</si>
  <si>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</si>
  <si>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</si>
  <si>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</si>
  <si>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</si>
  <si>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</si>
  <si>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</si>
  <si>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</si>
  <si>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</si>
  <si>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</si>
  <si>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</si>
  <si>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</si>
  <si>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</si>
  <si>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</si>
  <si>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</si>
  <si>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</si>
  <si>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</si>
  <si>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</si>
  <si>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</si>
  <si>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</si>
  <si>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</si>
  <si>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</si>
  <si>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</si>
  <si>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</si>
  <si>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</si>
  <si>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</si>
  <si>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</si>
  <si>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</si>
  <si>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</si>
  <si>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</si>
  <si>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</si>
  <si>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</si>
  <si>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</si>
  <si>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</si>
  <si>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</si>
  <si>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</si>
  <si>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</si>
  <si>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</si>
  <si>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</si>
  <si>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</si>
  <si>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</si>
  <si>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</si>
  <si>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</si>
  <si>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</si>
  <si>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</si>
  <si>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</si>
  <si>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</si>
  <si>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</si>
  <si>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</si>
  <si>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</si>
  <si>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</si>
  <si>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</si>
  <si>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</si>
  <si>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</si>
  <si>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</si>
  <si>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</si>
  <si>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</si>
  <si>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</si>
  <si>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</si>
  <si>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</si>
  <si>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</si>
  <si>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</si>
  <si>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</si>
  <si>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</si>
  <si>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</si>
  <si>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</si>
  <si>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</si>
  <si>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</si>
  <si>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</si>
  <si>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</si>
  <si>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</si>
  <si>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</si>
  <si>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</si>
  <si>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</si>
  <si>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</si>
  <si>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</si>
  <si>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</si>
  <si>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</si>
  <si>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</si>
  <si>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</si>
  <si>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</si>
  <si>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</si>
  <si>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</si>
  <si>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</si>
  <si>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</si>
  <si>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</si>
  <si>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</si>
  <si>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</si>
  <si>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</si>
  <si>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</si>
  <si>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</si>
  <si>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</si>
  <si>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</si>
  <si>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</si>
  <si>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</si>
  <si>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</si>
  <si>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</si>
  <si>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</si>
  <si>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</si>
  <si>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</si>
  <si>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</si>
  <si>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</si>
  <si>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</si>
  <si>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</si>
  <si>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</si>
  <si>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</si>
  <si>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</si>
  <si>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</si>
  <si>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</si>
  <si>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</si>
  <si>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</si>
  <si>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</si>
  <si>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</si>
  <si>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</si>
  <si>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</si>
  <si>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</si>
  <si>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</si>
  <si>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</si>
  <si>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</si>
  <si>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</si>
  <si>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</si>
  <si>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</si>
  <si>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</si>
  <si>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</si>
  <si>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</si>
  <si>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</si>
  <si>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</si>
  <si>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</si>
  <si>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</si>
  <si>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</si>
  <si>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</si>
  <si>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</si>
  <si>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</si>
  <si>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</si>
  <si>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</si>
  <si>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</si>
  <si>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</si>
  <si>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</si>
  <si>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</si>
  <si>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</si>
  <si>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</si>
  <si>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</si>
  <si>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</si>
  <si>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</si>
  <si>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</si>
  <si>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</si>
  <si>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</si>
  <si>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</si>
  <si>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</si>
  <si>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</si>
  <si>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</si>
  <si>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</si>
  <si>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</si>
  <si>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</si>
  <si>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</si>
  <si>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</si>
  <si>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</si>
  <si>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</si>
  <si>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</si>
  <si>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</si>
  <si>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</si>
  <si>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</si>
  <si>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</si>
  <si>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</si>
  <si>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</si>
  <si>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</si>
  <si>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</si>
  <si>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</si>
  <si>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</si>
  <si>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</si>
  <si>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</si>
  <si>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</si>
  <si>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</si>
  <si>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</si>
  <si>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</si>
  <si>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</si>
  <si>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</si>
  <si>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</si>
  <si>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</si>
  <si>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</si>
  <si>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</si>
  <si>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</si>
  <si>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</si>
  <si>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</si>
  <si>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</si>
  <si>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</si>
  <si>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</si>
  <si>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</si>
  <si>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</si>
  <si>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</si>
  <si>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</si>
  <si>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</si>
  <si>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</si>
  <si>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</si>
  <si>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</si>
  <si>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</si>
  <si>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</si>
  <si>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</si>
  <si>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</si>
  <si>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</si>
  <si>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</si>
  <si>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</si>
  <si>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</si>
  <si>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</si>
  <si>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</si>
  <si>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</si>
  <si>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</si>
  <si>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</si>
  <si>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</si>
  <si>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</si>
  <si>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</si>
  <si>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</si>
  <si>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</si>
  <si>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</si>
  <si>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</si>
  <si>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</si>
  <si>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</si>
  <si>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</si>
  <si>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</si>
  <si>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</si>
  <si>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</si>
  <si>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</si>
  <si>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</si>
  <si>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</si>
  <si>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</si>
  <si>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</si>
  <si>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</si>
  <si>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</si>
  <si>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</si>
  <si>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</si>
  <si>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</si>
  <si>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</si>
  <si>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</si>
  <si>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</si>
  <si>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</si>
  <si>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</si>
  <si>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</si>
  <si>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</si>
  <si>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</si>
  <si>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</si>
  <si>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</si>
  <si>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</si>
  <si>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</si>
  <si>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</si>
  <si>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</si>
  <si>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</si>
  <si>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</si>
  <si>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</si>
  <si>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</si>
  <si>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</si>
  <si>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</si>
  <si>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</si>
  <si>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</si>
  <si>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</si>
  <si>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</si>
  <si>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</si>
  <si>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</si>
  <si>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</si>
  <si>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</si>
  <si>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</si>
  <si>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</si>
  <si>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</si>
  <si>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</si>
  <si>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</si>
  <si>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</si>
  <si>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</si>
  <si>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</si>
  <si>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</si>
  <si>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</si>
  <si>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</si>
  <si>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</si>
  <si>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</si>
  <si>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</si>
  <si>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</si>
  <si>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</si>
  <si>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</si>
  <si>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</si>
  <si>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</si>
  <si>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</si>
  <si>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</si>
  <si>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</si>
  <si>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</si>
  <si>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</si>
  <si>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</si>
  <si>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</si>
  <si>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</si>
  <si>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</si>
  <si>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</si>
  <si>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</si>
  <si>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</si>
  <si>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</si>
  <si>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</si>
  <si>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</si>
  <si>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</si>
  <si>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</si>
  <si>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</si>
  <si>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</si>
  <si>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</si>
  <si>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</si>
  <si>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</si>
  <si>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</si>
  <si>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</si>
  <si>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</si>
  <si>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</si>
  <si>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</si>
  <si>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</si>
  <si>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</si>
  <si>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</si>
  <si>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</si>
  <si>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</si>
  <si>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</si>
  <si>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</si>
  <si>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</si>
  <si>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</si>
  <si>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</si>
  <si>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</si>
  <si>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</si>
  <si>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</si>
  <si>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</si>
  <si>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</si>
  <si>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</si>
  <si>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</si>
  <si>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</si>
  <si>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</si>
  <si>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</si>
  <si>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</si>
  <si>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</si>
  <si>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</si>
  <si>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</si>
  <si>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</si>
  <si>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</si>
  <si>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</si>
  <si>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</si>
  <si>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</si>
  <si>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</si>
  <si>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</si>
  <si>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</si>
  <si>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</si>
  <si>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</si>
  <si>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</si>
  <si>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</si>
  <si>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</si>
  <si>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</si>
  <si>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</si>
  <si>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</si>
  <si>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</si>
  <si>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</si>
  <si>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</si>
  <si>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</si>
  <si>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</si>
  <si>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</si>
  <si>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</si>
  <si>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</si>
  <si>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</si>
  <si>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</si>
  <si>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</si>
  <si>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</si>
  <si>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</si>
  <si>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</si>
  <si>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</si>
  <si>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</si>
  <si>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</si>
  <si>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</si>
  <si>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</si>
  <si>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</si>
  <si>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</si>
  <si>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</si>
  <si>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</si>
  <si>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</si>
  <si>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</si>
  <si>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</si>
  <si>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</si>
  <si>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</si>
  <si>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</si>
  <si>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</si>
  <si>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</si>
  <si>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</si>
  <si>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</si>
  <si>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</si>
  <si>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</si>
  <si>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</si>
  <si>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</si>
  <si>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</si>
  <si>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</si>
  <si>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</si>
  <si>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</si>
  <si>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</si>
  <si>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</si>
  <si>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</si>
  <si>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</si>
  <si>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</si>
  <si>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</si>
  <si>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</si>
  <si>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</si>
  <si>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</si>
  <si>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</si>
  <si>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</si>
  <si>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</si>
  <si>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</si>
  <si>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</si>
  <si>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</si>
  <si>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</si>
  <si>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</si>
  <si>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</si>
  <si>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</si>
  <si>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</si>
  <si>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</si>
  <si>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</si>
  <si>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</si>
  <si>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</si>
  <si>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</si>
  <si>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</si>
  <si>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</si>
  <si>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</si>
  <si>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</si>
  <si>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</si>
  <si>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</si>
  <si>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</si>
  <si>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</si>
  <si>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</si>
  <si>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</si>
  <si>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</si>
  <si>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</si>
  <si>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</si>
  <si>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</si>
  <si>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</si>
  <si>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</si>
  <si>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</si>
  <si>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</si>
  <si>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</si>
  <si>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</si>
  <si>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</si>
  <si>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</si>
  <si>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</si>
  <si>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</si>
  <si>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</si>
  <si>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</si>
  <si>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</si>
  <si>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</si>
  <si>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</si>
  <si>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</si>
  <si>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</si>
  <si>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</si>
  <si>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</si>
  <si>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</si>
  <si>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</si>
  <si>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</si>
  <si>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</si>
  <si>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</si>
  <si>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</si>
  <si>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</si>
  <si>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</si>
  <si>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</si>
  <si>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</si>
  <si>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</si>
  <si>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</si>
  <si>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</si>
  <si>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</si>
  <si>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</si>
  <si>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</si>
  <si>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</si>
  <si>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</si>
  <si>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</si>
  <si>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</si>
  <si>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</si>
  <si>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</si>
  <si>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</si>
  <si>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</si>
  <si>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</si>
  <si>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</si>
  <si>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</si>
  <si>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</si>
  <si>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</si>
  <si>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</si>
  <si>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</si>
  <si>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</si>
  <si>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</si>
  <si>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</si>
  <si>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</si>
  <si>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</si>
  <si>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</si>
  <si>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</si>
  <si>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</si>
  <si>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</si>
  <si>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</si>
  <si>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</si>
  <si>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</si>
  <si>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</si>
  <si>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</si>
  <si>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</si>
  <si>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</si>
  <si>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</si>
  <si>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</si>
  <si>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</si>
  <si>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</si>
  <si>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</si>
  <si>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</si>
  <si>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</si>
  <si>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</si>
  <si>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</si>
  <si>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</si>
  <si>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</si>
  <si>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</si>
  <si>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</si>
  <si>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</si>
  <si>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</si>
  <si>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</si>
  <si>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</si>
  <si>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</si>
  <si>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</si>
  <si>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</si>
  <si>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</si>
  <si>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</si>
  <si>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</si>
  <si>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</si>
  <si>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</si>
  <si>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</si>
  <si>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</si>
  <si>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</si>
  <si>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</si>
  <si>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</si>
  <si>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</si>
  <si>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</si>
  <si>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</si>
  <si>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</si>
  <si>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</si>
  <si>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</si>
  <si>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</si>
  <si>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</si>
  <si>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</si>
  <si>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</si>
  <si>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</si>
  <si>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</si>
  <si>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</si>
  <si>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</si>
  <si>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</si>
  <si>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</si>
  <si>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</si>
  <si>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</si>
  <si>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</si>
  <si>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</si>
  <si>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</si>
  <si>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</si>
  <si>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</si>
  <si>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</si>
  <si>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</si>
  <si>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</si>
  <si>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</si>
  <si>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</si>
  <si>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</si>
  <si>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</si>
  <si>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</si>
  <si>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</si>
  <si>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</si>
  <si>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</si>
  <si>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</si>
  <si>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</si>
  <si>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</si>
  <si>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</si>
  <si>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</si>
  <si>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</si>
  <si>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</si>
  <si>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</si>
  <si>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</si>
  <si>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</si>
  <si>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</si>
  <si>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</si>
  <si>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</si>
  <si>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</si>
  <si>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</si>
  <si>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</si>
  <si>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</si>
  <si>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</si>
  <si>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</si>
  <si>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</si>
  <si>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</si>
  <si>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</si>
  <si>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</si>
  <si>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</si>
  <si>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</si>
  <si>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</si>
  <si>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</si>
  <si>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</si>
  <si>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</si>
  <si>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</si>
  <si>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</si>
  <si>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</si>
  <si>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</si>
  <si>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</si>
  <si>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</si>
  <si>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</si>
  <si>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</si>
  <si>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</si>
  <si>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</si>
  <si>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</si>
  <si>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</si>
  <si>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</si>
  <si>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</si>
  <si>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</si>
  <si>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</si>
  <si>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</si>
  <si>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</si>
  <si>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</si>
  <si>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</si>
  <si>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</si>
  <si>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</si>
  <si>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</si>
  <si>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</si>
  <si>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</si>
  <si>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</si>
  <si>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</si>
  <si>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</si>
  <si>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</si>
  <si>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</si>
  <si>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</si>
  <si>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</si>
  <si>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</si>
  <si>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</si>
  <si>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</si>
  <si>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</si>
  <si>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</si>
  <si>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</si>
  <si>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</si>
  <si>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</si>
  <si>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</si>
  <si>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</si>
  <si>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</si>
  <si>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</si>
  <si>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</si>
  <si>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</si>
  <si>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</si>
  <si>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</si>
  <si>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</si>
  <si>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</si>
  <si>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</si>
  <si>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</si>
  <si>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</si>
  <si>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</si>
  <si>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</si>
  <si>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</si>
  <si>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</si>
  <si>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</si>
  <si>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</si>
  <si>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</si>
  <si>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</si>
  <si>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</si>
  <si>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</si>
  <si>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</si>
  <si>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</si>
  <si>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</si>
  <si>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</si>
  <si>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</si>
  <si>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</si>
  <si>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</si>
  <si>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</si>
  <si>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</si>
  <si>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</si>
  <si>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</si>
  <si>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</si>
  <si>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</si>
  <si>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</si>
  <si>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</si>
  <si>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</si>
  <si>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</si>
  <si>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</si>
  <si>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</si>
  <si>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</si>
  <si>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</si>
  <si>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</si>
  <si>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</si>
  <si>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</si>
  <si>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</si>
  <si>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</si>
  <si>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</si>
  <si>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</si>
  <si>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</si>
  <si>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</si>
  <si>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</si>
  <si>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</si>
  <si>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</si>
  <si>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</si>
  <si>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</si>
  <si>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</si>
  <si>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</si>
  <si>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</si>
  <si>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</si>
  <si>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</si>
  <si>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</si>
  <si>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</si>
  <si>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</si>
  <si>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</si>
  <si>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</si>
  <si>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</si>
  <si>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</si>
  <si>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</si>
  <si>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</si>
  <si>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</si>
  <si>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</si>
  <si>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</si>
  <si>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</si>
  <si>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</si>
  <si>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</si>
  <si>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</si>
  <si>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</si>
  <si>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</si>
  <si>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</si>
  <si>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</si>
  <si>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</si>
  <si>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</si>
  <si>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</si>
  <si>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</si>
  <si>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</si>
  <si>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</si>
  <si>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</si>
  <si>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</si>
  <si>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</si>
  <si>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</si>
  <si>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</si>
  <si>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</si>
  <si>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</si>
  <si>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</si>
  <si>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</si>
  <si>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</si>
  <si>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</si>
  <si>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</si>
  <si>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</si>
  <si>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</si>
  <si>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</si>
  <si>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</si>
  <si>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</si>
  <si>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</si>
  <si>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</si>
  <si>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</si>
  <si>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</si>
  <si>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</si>
  <si>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</si>
  <si>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</si>
  <si>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</si>
  <si>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</si>
  <si>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</si>
  <si>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</si>
  <si>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</si>
  <si>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</si>
  <si>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</si>
  <si>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</si>
  <si>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</si>
  <si>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</si>
  <si>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</si>
  <si>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</si>
  <si>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</si>
  <si>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</si>
  <si>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</si>
  <si>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</si>
  <si>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</si>
  <si>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</si>
  <si>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</si>
  <si>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</si>
  <si>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</si>
  <si>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</si>
  <si>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</si>
  <si>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</si>
  <si>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</si>
  <si>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</si>
  <si>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</si>
  <si>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</si>
  <si>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</si>
  <si>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</si>
  <si>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</si>
  <si>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</si>
  <si>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</si>
  <si>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</si>
  <si>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</si>
  <si>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</si>
  <si>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</si>
  <si>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</si>
  <si>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</si>
  <si>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</si>
  <si>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</si>
  <si>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</si>
  <si>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</si>
  <si>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</si>
  <si>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</si>
  <si>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</si>
  <si>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</si>
  <si>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</si>
  <si>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</si>
  <si>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</si>
  <si>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</si>
  <si>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</si>
  <si>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</si>
  <si>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</si>
  <si>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</si>
  <si>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</si>
  <si>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</si>
  <si>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</si>
  <si>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</si>
  <si>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</si>
  <si>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</si>
  <si>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</si>
  <si>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</si>
  <si>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</si>
  <si>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</si>
  <si>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</si>
  <si>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</si>
  <si>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</si>
  <si>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</si>
  <si>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</si>
  <si>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</si>
  <si>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</si>
  <si>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</si>
  <si>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</si>
  <si>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</si>
  <si>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</si>
  <si>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</si>
  <si>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</si>
  <si>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</si>
  <si>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</si>
  <si>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</si>
  <si>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</si>
  <si>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</si>
  <si>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</si>
  <si>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</si>
  <si>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</si>
  <si>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</si>
  <si>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</si>
  <si>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</si>
  <si>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</si>
  <si>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</si>
  <si>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</si>
  <si>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</si>
  <si>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</si>
  <si>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</si>
  <si>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</si>
  <si>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</si>
  <si>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</si>
  <si>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</si>
  <si>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</si>
  <si>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</si>
  <si>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</si>
  <si>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</si>
  <si>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</si>
  <si>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</si>
  <si>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</si>
  <si>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</si>
  <si>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</si>
  <si>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</si>
  <si>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</si>
  <si>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</si>
  <si>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</si>
  <si>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</si>
  <si>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</si>
  <si>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</si>
  <si>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</si>
  <si>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</si>
  <si>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</si>
  <si>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</si>
  <si>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</si>
  <si>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</si>
  <si>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</si>
  <si>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</si>
  <si>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</si>
  <si>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</si>
  <si>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</si>
  <si>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</si>
  <si>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</si>
  <si>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</si>
  <si>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</si>
  <si>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</si>
  <si>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</si>
  <si>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</si>
  <si>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</si>
  <si>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</si>
  <si>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</si>
  <si>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</si>
  <si>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</si>
  <si>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</si>
  <si>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</si>
  <si>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</si>
  <si>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</si>
  <si>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</si>
  <si>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</si>
  <si>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</si>
  <si>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</si>
  <si>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</si>
  <si>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</si>
  <si>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</si>
  <si>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</si>
  <si>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</si>
  <si>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</si>
  <si>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</si>
  <si>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</si>
  <si>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</si>
  <si>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</si>
  <si>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</si>
  <si>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</si>
  <si>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</si>
  <si>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</si>
  <si>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</si>
  <si>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</si>
  <si>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</si>
  <si>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</si>
  <si>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</si>
  <si>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</si>
  <si>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</si>
  <si>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</si>
  <si>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</si>
  <si>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</si>
  <si>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</si>
  <si>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</si>
  <si>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</si>
  <si>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</si>
  <si>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</si>
  <si>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</si>
  <si>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</si>
  <si>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</si>
  <si>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</si>
  <si>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</si>
  <si>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</si>
  <si>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</si>
  <si>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</si>
  <si>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</si>
  <si>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</si>
  <si>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</si>
  <si>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</si>
  <si>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</si>
  <si>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</si>
  <si>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</si>
  <si>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</si>
  <si>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</si>
  <si>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</si>
  <si>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</si>
  <si>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</si>
  <si>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</si>
  <si>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</si>
  <si>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</si>
  <si>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</si>
  <si>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</si>
  <si>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</si>
  <si>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</si>
  <si>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</si>
  <si>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</si>
  <si>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</si>
  <si>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</si>
  <si>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</si>
  <si>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</si>
  <si>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</si>
  <si>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</si>
  <si>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</si>
  <si>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</si>
  <si>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</si>
  <si>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</si>
  <si>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</si>
  <si>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</si>
  <si>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</si>
  <si>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</si>
  <si>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</si>
  <si>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</si>
  <si>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</si>
  <si>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</si>
  <si>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</si>
  <si>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</si>
  <si>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</si>
  <si>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</si>
  <si>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</si>
  <si>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</si>
  <si>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</si>
  <si>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</si>
  <si>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</si>
  <si>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</si>
  <si>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</si>
  <si>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</si>
  <si>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</si>
  <si>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</si>
  <si>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</si>
  <si>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</si>
  <si>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</si>
  <si>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</si>
  <si>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</si>
  <si>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</si>
  <si>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</si>
  <si>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</si>
  <si>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</si>
  <si>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</si>
  <si>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</si>
  <si>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</si>
  <si>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</si>
  <si>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</si>
  <si>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</si>
  <si>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</si>
  <si>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</si>
  <si>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</si>
  <si>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</si>
  <si>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</si>
  <si>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</si>
  <si>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</si>
  <si>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</si>
  <si>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</si>
  <si>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</si>
  <si>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</si>
  <si>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</si>
  <si>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</si>
  <si>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</si>
  <si>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</si>
  <si>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</si>
  <si>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</si>
  <si>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</si>
  <si>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</si>
  <si>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</si>
  <si>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</si>
  <si>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</si>
  <si>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</si>
  <si>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</si>
  <si>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</si>
  <si>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</si>
  <si>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</si>
  <si>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</si>
  <si>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</si>
  <si>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</si>
  <si>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</si>
  <si>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</si>
  <si>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</si>
  <si>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</si>
  <si>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</si>
  <si>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</si>
  <si>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</si>
  <si>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</si>
  <si>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</si>
  <si>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</si>
  <si>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</si>
  <si>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</si>
  <si>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</si>
  <si>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</si>
  <si>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</si>
  <si>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</si>
  <si>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</si>
  <si>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</si>
  <si>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</si>
  <si>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</si>
  <si>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</si>
  <si>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</si>
  <si>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</si>
  <si>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</si>
  <si>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</si>
  <si>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</si>
  <si>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</si>
  <si>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</si>
  <si>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</si>
  <si>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</si>
  <si>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</si>
  <si>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</si>
  <si>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</si>
  <si>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</si>
  <si>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</si>
  <si>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</si>
  <si>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</si>
  <si>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</si>
  <si>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</si>
  <si>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</si>
  <si>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</si>
  <si>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</si>
  <si>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</si>
  <si>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</si>
  <si>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</si>
  <si>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</si>
  <si>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</si>
  <si>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</si>
  <si>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</si>
  <si>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</si>
  <si>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</si>
  <si>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</si>
  <si>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</si>
  <si>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</si>
  <si>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</si>
  <si>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</si>
  <si>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</si>
  <si>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</si>
  <si>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</si>
  <si>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</si>
  <si>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</si>
  <si>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</si>
  <si>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</si>
  <si>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</si>
  <si>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</si>
  <si>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</si>
  <si>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</si>
  <si>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</si>
  <si>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</si>
  <si>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</si>
  <si>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</si>
  <si>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</si>
  <si>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</si>
  <si>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</si>
  <si>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</si>
  <si>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</si>
  <si>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</si>
  <si>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</si>
  <si>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</si>
  <si>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</si>
  <si>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</si>
  <si>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</si>
  <si>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</si>
  <si>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</si>
  <si>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</si>
  <si>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</si>
  <si>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</si>
  <si>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</si>
  <si>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</si>
  <si>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</si>
  <si>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</si>
  <si>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</si>
  <si>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</si>
  <si>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</si>
  <si>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</si>
  <si>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</si>
  <si>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</si>
  <si>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</si>
  <si>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</si>
  <si>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</si>
  <si>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</si>
  <si>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</si>
  <si>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</si>
  <si>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</si>
  <si>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</si>
  <si>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</si>
  <si>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</si>
  <si>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</si>
  <si>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</si>
  <si>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</si>
  <si>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</si>
  <si>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</si>
  <si>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</si>
  <si>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</si>
  <si>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</si>
  <si>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</si>
  <si>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</si>
  <si>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</si>
  <si>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</si>
  <si>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</si>
  <si>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</si>
  <si>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</si>
  <si>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</si>
  <si>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</si>
  <si>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</si>
  <si>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</si>
  <si>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</si>
  <si>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</si>
  <si>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</si>
  <si>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</si>
  <si>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</si>
  <si>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</si>
  <si>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</si>
  <si>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</si>
  <si>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</si>
  <si>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</si>
  <si>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</si>
  <si>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</si>
  <si>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</si>
  <si>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</si>
  <si>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</si>
  <si>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</si>
  <si>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</si>
  <si>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</si>
  <si>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</si>
  <si>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</si>
  <si>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</si>
  <si>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</si>
  <si>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</si>
  <si>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</si>
  <si>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</si>
  <si>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</si>
  <si>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</si>
  <si>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</si>
  <si>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</si>
  <si>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</si>
  <si>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</si>
  <si>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</si>
  <si>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</si>
  <si>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</si>
  <si>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</si>
  <si>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</si>
  <si>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</si>
  <si>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</si>
  <si>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</si>
  <si>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</si>
  <si>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</si>
  <si>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</si>
  <si>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</si>
  <si>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</si>
  <si>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</si>
  <si>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</si>
  <si>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</si>
  <si>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</si>
  <si>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</si>
  <si>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</si>
  <si>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</si>
  <si>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</si>
  <si>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</si>
  <si>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</si>
  <si>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</si>
  <si>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</si>
  <si>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</si>
  <si>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</si>
  <si>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</si>
  <si>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</si>
  <si>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</si>
  <si>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</si>
  <si>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</si>
  <si>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</si>
  <si>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</si>
  <si>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</si>
  <si>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</si>
  <si>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</si>
  <si>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</si>
  <si>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</si>
  <si>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</si>
  <si>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</si>
  <si>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</si>
  <si>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</si>
  <si>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</si>
  <si>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</si>
  <si>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</si>
  <si>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</si>
  <si>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</si>
  <si>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</si>
  <si>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</si>
  <si>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</si>
  <si>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</si>
  <si>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</si>
  <si>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</si>
  <si>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</si>
  <si>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</si>
  <si>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</si>
  <si>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</si>
  <si>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</si>
  <si>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</si>
  <si>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</si>
  <si>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</si>
  <si>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</si>
  <si>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</si>
  <si>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</si>
  <si>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</si>
  <si>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</si>
  <si>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</si>
  <si>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</si>
  <si>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</si>
  <si>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</si>
  <si>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</si>
  <si>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</si>
  <si>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</si>
  <si>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</si>
  <si>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</si>
  <si>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</si>
  <si>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</si>
  <si>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</si>
  <si>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</si>
  <si>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</si>
  <si>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</si>
  <si>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</si>
  <si>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</si>
  <si>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</si>
  <si>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</si>
  <si>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</si>
  <si>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</si>
  <si>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</si>
  <si>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</si>
  <si>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</si>
  <si>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</si>
  <si>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</si>
  <si>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</si>
  <si>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</si>
  <si>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</si>
  <si>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</si>
  <si>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</si>
  <si>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</si>
  <si>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</si>
  <si>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</si>
  <si>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</si>
  <si>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</si>
  <si>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</si>
  <si>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</si>
  <si>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</si>
  <si>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</si>
  <si>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</si>
  <si>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</si>
  <si>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</si>
  <si>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</si>
  <si>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</si>
  <si>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</si>
  <si>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</si>
  <si>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</si>
  <si>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</si>
  <si>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</si>
  <si>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</si>
  <si>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</si>
  <si>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</si>
  <si>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</si>
  <si>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</si>
  <si>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</si>
  <si>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</si>
  <si>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</si>
  <si>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</si>
  <si>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</si>
  <si>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</si>
  <si>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</si>
  <si>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</si>
  <si>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</si>
  <si>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</si>
  <si>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</si>
  <si>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</si>
  <si>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</si>
  <si>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</si>
  <si>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</si>
  <si>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</si>
  <si>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</si>
  <si>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</si>
  <si>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</si>
  <si>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</si>
  <si>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</si>
  <si>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</si>
  <si>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</si>
  <si>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</si>
  <si>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</si>
  <si>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</si>
  <si>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</si>
  <si>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</si>
  <si>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</si>
  <si>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</si>
  <si>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</si>
  <si>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</si>
  <si>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</si>
  <si>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</si>
  <si>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</si>
  <si>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</si>
  <si>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</si>
  <si>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</si>
  <si>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</si>
  <si>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</si>
  <si>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</si>
  <si>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</si>
  <si>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</si>
  <si>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</si>
  <si>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</si>
  <si>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</si>
  <si>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</si>
  <si>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</si>
  <si>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</si>
  <si>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</si>
  <si>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</si>
  <si>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</si>
  <si>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</si>
  <si>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</si>
  <si>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</si>
  <si>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</si>
  <si>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</si>
  <si>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</si>
  <si>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</si>
  <si>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</si>
  <si>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</si>
  <si>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</si>
  <si>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</si>
  <si>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</si>
  <si>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</si>
  <si>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</si>
  <si>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</si>
  <si>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</si>
  <si>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</si>
  <si>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</si>
  <si>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</si>
  <si>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</si>
  <si>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</si>
  <si>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</si>
  <si>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</si>
  <si>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</si>
  <si>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</si>
  <si>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</si>
  <si>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</si>
  <si>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</si>
  <si>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</si>
  <si>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</si>
  <si>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</si>
  <si>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</si>
  <si>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</si>
  <si>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</si>
  <si>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</si>
  <si>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</si>
  <si>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</si>
  <si>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</si>
  <si>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</si>
  <si>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</si>
  <si>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</si>
  <si>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</si>
  <si>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</si>
  <si>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</si>
  <si>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</si>
  <si>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</si>
  <si>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</si>
  <si>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</si>
  <si>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</si>
  <si>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</si>
  <si>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</si>
  <si>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</si>
  <si>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</si>
  <si>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</si>
  <si>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</si>
  <si>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</si>
  <si>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</si>
  <si>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</si>
  <si>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</si>
  <si>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</si>
  <si>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</si>
  <si>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</si>
  <si>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</si>
  <si>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</si>
  <si>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</si>
  <si>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</si>
  <si>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</si>
  <si>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</si>
  <si>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</si>
  <si>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</si>
  <si>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</si>
  <si>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</si>
  <si>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</si>
  <si>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</si>
  <si>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</si>
  <si>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</si>
  <si>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</si>
  <si>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</si>
  <si>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</si>
  <si>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</si>
  <si>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</si>
  <si>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</si>
  <si>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</si>
  <si>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</si>
  <si>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</si>
  <si>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</si>
  <si>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</si>
  <si>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</si>
  <si>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</si>
  <si>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</si>
  <si>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</si>
  <si>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</si>
  <si>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</si>
  <si>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</si>
  <si>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</si>
  <si>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</si>
  <si>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</si>
  <si>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</si>
  <si>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</si>
  <si>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</si>
  <si>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</si>
  <si>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</si>
  <si>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</si>
  <si>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</si>
  <si>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</si>
  <si>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</si>
  <si>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</si>
  <si>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</si>
  <si>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</si>
  <si>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</si>
  <si>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</si>
  <si>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</si>
  <si>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</si>
  <si>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</si>
  <si>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</si>
  <si>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</si>
  <si>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</si>
  <si>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</si>
  <si>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</si>
  <si>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</si>
  <si>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</si>
  <si>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</si>
  <si>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</si>
  <si>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</si>
  <si>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</si>
  <si>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</si>
  <si>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</si>
  <si>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</si>
  <si>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</si>
  <si>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</si>
  <si>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</si>
  <si>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</si>
  <si>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</si>
  <si>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</si>
  <si>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</si>
  <si>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</si>
  <si>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</si>
  <si>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</si>
  <si>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</si>
  <si>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</si>
  <si>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</si>
  <si>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</si>
  <si>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</si>
  <si>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</si>
  <si>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</si>
  <si>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</si>
  <si>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</si>
  <si>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</si>
  <si>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</si>
  <si>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</si>
  <si>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</si>
  <si>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</si>
  <si>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</si>
  <si>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</si>
  <si>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</si>
  <si>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</si>
  <si>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</si>
  <si>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</si>
  <si>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</si>
  <si>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</si>
  <si>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</si>
  <si>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</si>
  <si>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</si>
  <si>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</si>
  <si>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</si>
  <si>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</si>
  <si>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</si>
  <si>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</si>
  <si>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</si>
  <si>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</si>
  <si>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</si>
  <si>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</si>
  <si>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</si>
  <si>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</si>
  <si>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</si>
  <si>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</si>
  <si>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</si>
  <si>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</si>
  <si>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</si>
  <si>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</si>
  <si>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</si>
  <si>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</si>
  <si>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</si>
  <si>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</si>
  <si>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</si>
  <si>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</si>
  <si>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</si>
  <si>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</si>
  <si>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</si>
  <si>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</si>
  <si>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</si>
  <si>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</si>
  <si>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</si>
  <si>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</si>
  <si>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</si>
  <si>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</si>
  <si>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</si>
  <si>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</si>
  <si>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</si>
  <si>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</si>
  <si>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</si>
  <si>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</si>
  <si>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</si>
  <si>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</si>
  <si>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</si>
  <si>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</si>
  <si>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</si>
  <si>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</si>
  <si>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</si>
  <si>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</si>
  <si>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</si>
  <si>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</si>
  <si>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</si>
  <si>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</si>
  <si>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</si>
  <si>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</si>
  <si>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</si>
  <si>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</si>
  <si>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</si>
  <si>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</si>
  <si>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</si>
  <si>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</si>
  <si>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</si>
  <si>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</si>
  <si>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</si>
  <si>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</si>
  <si>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</si>
  <si>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</si>
  <si>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</si>
  <si>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</si>
  <si>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</si>
  <si>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</si>
  <si>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</si>
  <si>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</si>
  <si>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</si>
  <si>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</si>
  <si>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</si>
  <si>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</si>
  <si>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</si>
  <si>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</si>
  <si>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</si>
  <si>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</si>
  <si>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</si>
  <si>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</si>
  <si>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</si>
  <si>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</si>
  <si>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</si>
  <si>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</si>
  <si>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</si>
  <si>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</si>
  <si>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</si>
  <si>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</si>
  <si>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</si>
  <si>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</si>
  <si>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</si>
  <si>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</si>
  <si>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</si>
  <si>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</si>
  <si>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</si>
  <si>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</si>
  <si>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</si>
  <si>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</si>
  <si>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</si>
  <si>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</si>
  <si>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</si>
  <si>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</si>
  <si>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</si>
  <si>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</si>
  <si>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</si>
  <si>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</si>
  <si>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</si>
  <si>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</si>
  <si>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</si>
  <si>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</si>
  <si>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</si>
  <si>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</si>
  <si>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</si>
  <si>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</si>
  <si>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</si>
  <si>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</si>
  <si>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</si>
  <si>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</si>
  <si>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</si>
  <si>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</si>
  <si>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</si>
  <si>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</si>
  <si>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</si>
  <si>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</si>
  <si>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</si>
  <si>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</si>
  <si>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</si>
  <si>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</si>
  <si>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</si>
  <si>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</si>
  <si>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</si>
  <si>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</si>
  <si>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</si>
  <si>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</si>
  <si>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</si>
  <si>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</si>
  <si>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</si>
  <si>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</si>
  <si>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</si>
  <si>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</si>
  <si>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</si>
  <si>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</si>
  <si>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</si>
  <si>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</si>
  <si>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</si>
  <si>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</si>
  <si>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</si>
  <si>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</si>
  <si>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</si>
  <si>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</si>
  <si>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</si>
  <si>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</si>
  <si>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</si>
  <si>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</si>
  <si>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</si>
  <si>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</si>
  <si>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</si>
  <si>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</si>
  <si>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</si>
  <si>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</si>
  <si>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</si>
  <si>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</si>
  <si>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</si>
  <si>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</si>
  <si>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</si>
  <si>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</si>
  <si>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</si>
  <si>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</si>
  <si>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</si>
  <si>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</si>
  <si>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</si>
  <si>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</si>
  <si>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</si>
  <si>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</si>
  <si>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</si>
  <si>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</si>
  <si>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</si>
  <si>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</si>
  <si>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</si>
  <si>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</si>
  <si>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</si>
  <si>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</si>
  <si>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</si>
  <si>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</si>
  <si>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</si>
  <si>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</si>
  <si>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</si>
  <si>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</si>
  <si>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</si>
  <si>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</si>
  <si>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</si>
  <si>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</si>
  <si>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</si>
  <si>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</si>
  <si>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</si>
  <si>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</si>
  <si>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</si>
  <si>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</si>
  <si>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</si>
  <si>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</si>
  <si>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</si>
  <si>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</si>
  <si>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</si>
  <si>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</si>
  <si>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</si>
  <si>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</si>
  <si>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</si>
  <si>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</si>
  <si>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</si>
  <si>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</si>
  <si>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</si>
  <si>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</si>
  <si>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</si>
  <si>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</si>
  <si>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</si>
  <si>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</si>
  <si>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</si>
  <si>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</si>
  <si>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</si>
  <si>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</si>
  <si>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</si>
  <si>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</si>
  <si>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</si>
  <si>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</si>
  <si>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</si>
  <si>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</si>
  <si>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</si>
  <si>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</si>
  <si>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</si>
  <si>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</si>
  <si>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</si>
  <si>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</si>
  <si>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</si>
  <si>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</si>
  <si>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</si>
  <si>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</si>
  <si>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</si>
  <si>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</si>
  <si>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</si>
  <si>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</si>
  <si>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</si>
  <si>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</si>
  <si>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</si>
  <si>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</si>
  <si>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</si>
  <si>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</si>
  <si>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</si>
  <si>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</si>
  <si>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</si>
  <si>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</si>
  <si>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</si>
  <si>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</si>
  <si>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</si>
  <si>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</si>
  <si>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</si>
  <si>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</si>
  <si>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</si>
  <si>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</si>
  <si>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</si>
  <si>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</si>
  <si>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</si>
  <si>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</si>
  <si>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</si>
  <si>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</si>
  <si>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</si>
  <si>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</si>
  <si>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</si>
  <si>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</si>
  <si>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</si>
  <si>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</si>
  <si>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</si>
  <si>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</si>
  <si>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</si>
  <si>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</si>
  <si>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</si>
  <si>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</si>
  <si>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</si>
  <si>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</si>
  <si>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</si>
  <si>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</si>
  <si>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</si>
  <si>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</si>
  <si>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</si>
  <si>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</si>
  <si>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</si>
  <si>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</si>
  <si>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</si>
  <si>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</si>
  <si>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</si>
  <si>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</si>
  <si>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</si>
  <si>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</si>
  <si>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</si>
  <si>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</si>
  <si>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</si>
  <si>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</si>
  <si>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</si>
  <si>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</si>
  <si>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</si>
  <si>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</si>
  <si>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</si>
  <si>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</si>
  <si>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</si>
  <si>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</si>
  <si>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</si>
  <si>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</si>
  <si>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</si>
  <si>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</si>
  <si>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</si>
  <si>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</si>
  <si>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</si>
  <si>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</si>
  <si>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</si>
  <si>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</si>
  <si>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</si>
  <si>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</si>
  <si>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</si>
  <si>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</si>
  <si>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</si>
  <si>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</si>
  <si>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</si>
  <si>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</si>
  <si>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</si>
  <si>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</si>
  <si>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</si>
  <si>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</si>
  <si>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</si>
  <si>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</si>
  <si>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</si>
  <si>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</si>
  <si>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</si>
  <si>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</si>
  <si>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</si>
  <si>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</si>
  <si>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</si>
  <si>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</si>
  <si>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</si>
  <si>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</si>
  <si>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</si>
  <si>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</si>
  <si>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</si>
  <si>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</si>
  <si>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</si>
  <si>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</si>
  <si>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</si>
  <si>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</si>
  <si>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</si>
  <si>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</si>
  <si>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</si>
  <si>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</si>
  <si>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</si>
  <si>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</si>
  <si>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</si>
  <si>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</si>
  <si>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</si>
  <si>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</si>
  <si>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</si>
  <si>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</si>
  <si>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</si>
  <si>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</si>
  <si>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</si>
  <si>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</si>
  <si>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</si>
  <si>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</si>
  <si>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</si>
  <si>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</si>
  <si>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</si>
  <si>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</si>
  <si>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</si>
  <si>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</si>
  <si>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</si>
  <si>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</si>
  <si>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</si>
  <si>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</si>
  <si>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</si>
  <si>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</si>
  <si>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</si>
  <si>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</si>
  <si>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</si>
  <si>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</si>
  <si>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</si>
  <si>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</si>
  <si>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</si>
  <si>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</si>
  <si>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</si>
  <si>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</si>
  <si>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</si>
  <si>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</si>
  <si>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</si>
  <si>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</si>
  <si>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</si>
  <si>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</si>
  <si>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</si>
  <si>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</si>
  <si>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</si>
  <si>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</si>
  <si>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</si>
  <si>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</si>
  <si>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</si>
  <si>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</si>
  <si>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</si>
  <si>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</si>
  <si>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</si>
  <si>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</si>
  <si>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</si>
  <si>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</si>
  <si>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</si>
  <si>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</si>
  <si>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</si>
  <si>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</si>
  <si>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</si>
  <si>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</si>
  <si>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</si>
  <si>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</si>
  <si>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</si>
  <si>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</si>
  <si>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</si>
  <si>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</si>
  <si>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</si>
  <si>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</si>
  <si>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</si>
  <si>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</si>
  <si>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</si>
  <si>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</si>
  <si>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</si>
  <si>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</si>
  <si>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</si>
  <si>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</si>
  <si>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</si>
  <si>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</si>
  <si>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</si>
  <si>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</si>
  <si>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</si>
  <si>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</si>
  <si>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</si>
  <si>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</si>
  <si>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</si>
  <si>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</si>
  <si>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</si>
  <si>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</si>
  <si>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</si>
  <si>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</si>
  <si>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</si>
  <si>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</si>
  <si>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</si>
  <si>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</si>
  <si>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</si>
  <si>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</si>
  <si>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</si>
  <si>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</si>
  <si>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</si>
  <si>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</si>
  <si>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</si>
  <si>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</si>
  <si>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</si>
  <si>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</si>
  <si>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</si>
  <si>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</si>
  <si>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</si>
  <si>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</si>
  <si>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</si>
  <si>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</si>
  <si>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</si>
  <si>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</si>
  <si>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</si>
  <si>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</si>
  <si>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</si>
  <si>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</si>
  <si>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</si>
  <si>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</si>
  <si>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</si>
  <si>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</si>
  <si>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</si>
  <si>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</si>
  <si>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</si>
  <si>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</si>
  <si>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</si>
  <si>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</si>
  <si>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</si>
  <si>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</si>
  <si>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</si>
  <si>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</si>
  <si>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</si>
  <si>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</si>
  <si>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</si>
  <si>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</si>
  <si>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</si>
  <si>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</si>
  <si>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</si>
  <si>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</si>
  <si>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</si>
  <si>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</si>
  <si>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</si>
  <si>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</si>
  <si>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</si>
  <si>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</si>
  <si>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</si>
  <si>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</si>
  <si>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</si>
  <si>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</si>
  <si>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</si>
  <si>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</si>
  <si>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</si>
  <si>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</si>
  <si>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</si>
  <si>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</si>
  <si>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</si>
  <si>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</si>
  <si>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</si>
  <si>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</si>
  <si>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</si>
  <si>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</si>
  <si>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</si>
  <si>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</si>
  <si>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</si>
  <si>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</si>
  <si>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</si>
  <si>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</si>
  <si>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</si>
  <si>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</si>
  <si>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</si>
  <si>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</si>
  <si>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</si>
  <si>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</si>
  <si>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</si>
  <si>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</si>
  <si>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</si>
  <si>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</si>
  <si>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</si>
  <si>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</si>
  <si>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</si>
  <si>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</si>
  <si>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</si>
  <si>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</si>
  <si>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</si>
  <si>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</si>
  <si>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</si>
  <si>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</si>
  <si>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</si>
  <si>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</si>
  <si>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</si>
  <si>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</si>
  <si>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</si>
  <si>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</si>
  <si>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</si>
  <si>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</si>
  <si>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</si>
  <si>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</si>
  <si>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</si>
  <si>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</si>
  <si>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</si>
  <si>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</si>
  <si>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</si>
  <si>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</si>
  <si>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</si>
  <si>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</si>
  <si>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</si>
  <si>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</si>
  <si>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</si>
  <si>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</si>
  <si>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</si>
  <si>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</si>
  <si>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</si>
  <si>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</si>
  <si>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</si>
  <si>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</si>
  <si>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</si>
  <si>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</si>
  <si>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</si>
  <si>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</si>
  <si>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</si>
  <si>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</si>
  <si>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</si>
  <si>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</si>
  <si>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</si>
  <si>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</si>
  <si>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</si>
  <si>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</si>
  <si>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</si>
  <si>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</si>
  <si>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</si>
  <si>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</si>
  <si>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</si>
  <si>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</si>
  <si>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</si>
  <si>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</si>
  <si>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</si>
  <si>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</si>
  <si>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</si>
  <si>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</si>
  <si>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</si>
  <si>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</si>
  <si>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</si>
  <si>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</si>
  <si>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</si>
  <si>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</si>
  <si>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</si>
  <si>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</si>
  <si>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</si>
  <si>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</si>
  <si>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</si>
  <si>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</si>
  <si>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</si>
  <si>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</si>
  <si>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</si>
  <si>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</si>
  <si>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</si>
  <si>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</si>
  <si>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</si>
  <si>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</si>
  <si>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</si>
  <si>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</si>
  <si>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</si>
  <si>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</si>
  <si>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</si>
  <si>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</si>
  <si>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</si>
  <si>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</si>
  <si>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</si>
  <si>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</si>
  <si>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</si>
  <si>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</si>
  <si>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</si>
  <si>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</si>
  <si>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</si>
  <si>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</si>
  <si>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</si>
  <si>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</si>
  <si>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</si>
  <si>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</si>
  <si>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</si>
  <si>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</si>
  <si>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</si>
  <si>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</si>
  <si>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</si>
  <si>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</si>
  <si>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Ⅹ-怀1</t>
  </si>
  <si>
    <t>地上</t>
  </si>
  <si>
    <t>是</t>
  </si>
  <si>
    <t>工业</t>
    <phoneticPr fontId="7" type="noConversion"/>
  </si>
  <si>
    <t>成新度</t>
  </si>
  <si>
    <t>收益法</t>
  </si>
  <si>
    <t>利息：取LPR加浮动点数</t>
  </si>
  <si>
    <t>工业用地</t>
  </si>
  <si>
    <t>通路</t>
  </si>
  <si>
    <t>通电</t>
  </si>
  <si>
    <t>通讯</t>
  </si>
  <si>
    <t>通上水</t>
  </si>
  <si>
    <t>通下水</t>
  </si>
  <si>
    <t>平整</t>
  </si>
  <si>
    <t>按公示增长率计算</t>
  </si>
  <si>
    <t>容积率修正</t>
  </si>
  <si>
    <t>按租金收入计税</t>
  </si>
  <si>
    <t>押一</t>
  </si>
  <si>
    <t>钢</t>
  </si>
  <si>
    <t>非生产用房</t>
  </si>
  <si>
    <t>未包含在土地购买价格中</t>
  </si>
  <si>
    <t>全部缴纳</t>
  </si>
  <si>
    <t>已包含在土地取得成本中</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</si>
  <si>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</si>
  <si>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</si>
  <si>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</si>
  <si>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</si>
  <si>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</si>
  <si>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</si>
  <si>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</si>
  <si>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</si>
  <si>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</si>
  <si>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</si>
  <si>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</si>
  <si>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</si>
  <si>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</si>
  <si>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</si>
  <si>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</si>
  <si>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</si>
  <si>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</si>
  <si>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顺义区马坡聚源工业区A02-2-2地块</t>
  </si>
  <si>
    <t>≤1.6</t>
  </si>
  <si>
    <t>挂牌</t>
  </si>
  <si>
    <t>M1工业用地</t>
  </si>
  <si>
    <t>2021-09-07</t>
  </si>
  <si>
    <t>北京奕承科技有限公司</t>
  </si>
  <si>
    <t>0星</t>
  </si>
  <si>
    <t>顺义区赵全营镇SY04-0100-6006-1-2地块</t>
  </si>
  <si>
    <t>≤1.80</t>
  </si>
  <si>
    <t>北京理工华创电动车技术有限公司</t>
  </si>
  <si>
    <t>北京市平谷新城北部产业用地D02-01地块M1工业用地国有建设用地使用权出让公告</t>
  </si>
  <si>
    <t>≤1.1</t>
  </si>
  <si>
    <t>2021-08-11</t>
  </si>
  <si>
    <t>北京同生科技有限公司</t>
  </si>
  <si>
    <t>北京市平谷新城北部产业用地F01地块M1工业用地国有建设用地使用权出让公告</t>
  </si>
  <si>
    <t>≤1.0</t>
  </si>
  <si>
    <t>北京二十二城一号供应链管理有限公司</t>
  </si>
  <si>
    <t>北京密云经济开发区三期B7地块M1工业用地国有建设用地使用权出让公告</t>
  </si>
  <si>
    <t>＞1.2;＜1.6</t>
  </si>
  <si>
    <t>2021-04-22</t>
  </si>
  <si>
    <t>复星北铃(北京)医疗科技有限公司</t>
  </si>
  <si>
    <t>北京市顺义临空国际(科创功能区)6-1-1地块M1一类工业用地国有建设用地</t>
  </si>
  <si>
    <t>≥0.8;≤2</t>
  </si>
  <si>
    <t>一类工业用地</t>
  </si>
  <si>
    <t>2021-04-21</t>
  </si>
  <si>
    <t>中电科光电科技有限公司、中国电子科技集团公司第十一研究所联合体</t>
  </si>
  <si>
    <t>怀柔区庙城镇HR05-0702-6001地块M1一类工业用地国有建设用地使用权出让公告</t>
  </si>
  <si>
    <t>≤1.2</t>
  </si>
  <si>
    <t>M1一类工业用地</t>
  </si>
  <si>
    <t>2020-11-10</t>
  </si>
  <si>
    <t>北京天辰众合汽车零部件有限公司</t>
  </si>
  <si>
    <t>2星</t>
  </si>
  <si>
    <t>北京密云经济开发区三期A6-1-1地块M1一类工业用地国有建设用地使用权出让</t>
  </si>
  <si>
    <t>≥1.2,≤2</t>
  </si>
  <si>
    <t>2020-10-15</t>
  </si>
  <si>
    <t>友康厚德生物科技(北京)有限公司</t>
  </si>
  <si>
    <t>3星</t>
  </si>
  <si>
    <t>北京密云经济开发区三期A7-1-2地块M1工业项目用地</t>
  </si>
  <si>
    <t>一类工业用地(M1)</t>
  </si>
  <si>
    <t>2020-07-29</t>
  </si>
  <si>
    <t>卡迪诺科技(北京)有限公司</t>
  </si>
  <si>
    <t>北京市平谷新城北部产业用地F05-05地块M2工业用地</t>
  </si>
  <si>
    <t>≤1</t>
  </si>
  <si>
    <t>M2工业用地</t>
  </si>
  <si>
    <t>2020-02-17</t>
  </si>
  <si>
    <t>北京市富乐科技开发有限公司</t>
  </si>
  <si>
    <t>顺义区赵全营板桥SY04-0100-6006-2地块M4工业研发用地</t>
  </si>
  <si>
    <t>≤1.8</t>
  </si>
  <si>
    <t>工业研发M4</t>
  </si>
  <si>
    <t>2020-02-12</t>
  </si>
  <si>
    <t>北京怡和中源科技有限公司</t>
  </si>
  <si>
    <t>平谷区新城北部产业用地F05-04地块工业用地</t>
  </si>
  <si>
    <t>2019-11-28</t>
  </si>
  <si>
    <t>北京中安泰华科技有限公司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</si>
  <si>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</si>
  <si>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</si>
  <si>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</si>
  <si>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</si>
  <si>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</si>
  <si>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</si>
  <si>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</si>
  <si>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</si>
  <si>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</si>
  <si>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容积率</t>
    <phoneticPr fontId="78" type="noConversion"/>
  </si>
  <si>
    <t>系数</t>
    <phoneticPr fontId="78" type="noConversion"/>
  </si>
  <si>
    <r>
      <rPr>
        <sz val="10"/>
        <rFont val="宋体"/>
        <family val="3"/>
        <charset val="134"/>
      </rPr>
      <t>年期修正系数</t>
    </r>
    <phoneticPr fontId="140" type="noConversion"/>
  </si>
  <si>
    <r>
      <rPr>
        <sz val="10"/>
        <rFont val="宋体"/>
        <family val="3"/>
        <charset val="134"/>
      </rPr>
      <t>年期修正后</t>
    </r>
    <phoneticPr fontId="140" type="noConversion"/>
  </si>
  <si>
    <r>
      <rPr>
        <sz val="10"/>
        <rFont val="宋体"/>
        <family val="3"/>
        <charset val="134"/>
      </rPr>
      <t>容积率修正系数</t>
    </r>
    <phoneticPr fontId="140" type="noConversion"/>
  </si>
  <si>
    <r>
      <rPr>
        <sz val="10"/>
        <rFont val="宋体"/>
        <family val="3"/>
        <charset val="134"/>
      </rPr>
      <t>最终楼面价</t>
    </r>
    <phoneticPr fontId="140" type="noConversion"/>
  </si>
  <si>
    <t>正常</t>
    <phoneticPr fontId="33" type="noConversion"/>
  </si>
  <si>
    <t>正常</t>
    <phoneticPr fontId="33" type="noConversion"/>
  </si>
  <si>
    <t>成本法</t>
  </si>
  <si>
    <t>吴薇</t>
  </si>
  <si>
    <t>郑燚</t>
  </si>
  <si>
    <t>总价</t>
  </si>
  <si>
    <t>成本比率</t>
  </si>
  <si>
    <t>单位面积地价</t>
  </si>
  <si>
    <t>五通</t>
    <phoneticPr fontId="33" type="noConversion"/>
  </si>
  <si>
    <t>七通</t>
    <phoneticPr fontId="33" type="noConversion"/>
  </si>
  <si>
    <t>三通</t>
    <phoneticPr fontId="33" type="noConversion"/>
  </si>
  <si>
    <t>六通</t>
    <phoneticPr fontId="33" type="noConversion"/>
  </si>
  <si>
    <t>五通</t>
    <phoneticPr fontId="33" type="noConversion"/>
  </si>
  <si>
    <t>四通</t>
    <phoneticPr fontId="33" type="noConversion"/>
  </si>
  <si>
    <t>三通</t>
    <phoneticPr fontId="33" type="noConversion"/>
  </si>
  <si>
    <t>较好</t>
    <phoneticPr fontId="33" type="noConversion"/>
  </si>
  <si>
    <t>较好</t>
    <phoneticPr fontId="33" type="noConversion"/>
  </si>
  <si>
    <t>一般</t>
    <phoneticPr fontId="33" type="noConversion"/>
  </si>
  <si>
    <t>较差</t>
    <phoneticPr fontId="33" type="noConversion"/>
  </si>
  <si>
    <t>较差</t>
    <phoneticPr fontId="33" type="noConversion"/>
  </si>
  <si>
    <t>较差</t>
    <phoneticPr fontId="33" type="noConversion"/>
  </si>
  <si>
    <t>七通</t>
    <phoneticPr fontId="33" type="noConversion"/>
  </si>
  <si>
    <t>七通</t>
    <phoneticPr fontId="33" type="noConversion"/>
  </si>
  <si>
    <t>估价对象容积率</t>
  </si>
  <si>
    <t>土地价值</t>
    <phoneticPr fontId="140" type="noConversion"/>
  </si>
  <si>
    <t>比较法</t>
    <phoneticPr fontId="140" type="noConversion"/>
  </si>
  <si>
    <t>基准地价系数修正法</t>
    <phoneticPr fontId="140" type="noConversion"/>
  </si>
  <si>
    <t>建筑物价值</t>
  </si>
  <si>
    <t>建筑物价值</t>
    <phoneticPr fontId="140" type="noConversion"/>
  </si>
  <si>
    <t>成本法</t>
    <phoneticPr fontId="140" type="noConversion"/>
  </si>
  <si>
    <t>权重</t>
    <phoneticPr fontId="140" type="noConversion"/>
  </si>
  <si>
    <t>结果</t>
    <phoneticPr fontId="140" type="noConversion"/>
  </si>
  <si>
    <t>地块编号</t>
  </si>
  <si>
    <t>区县</t>
  </si>
  <si>
    <t>建设用地面积</t>
  </si>
  <si>
    <t>规划建筑面积</t>
  </si>
  <si>
    <t>成交价</t>
  </si>
  <si>
    <t>成交每亩价</t>
  </si>
  <si>
    <t>成交楼面价</t>
  </si>
  <si>
    <t>出让年限</t>
  </si>
  <si>
    <t>限地价</t>
  </si>
  <si>
    <t>限售价(均价)</t>
  </si>
  <si>
    <t xml:space="preserve">顺义区马坡聚源工业区A02-2-2地块    </t>
  </si>
  <si>
    <t xml:space="preserve"> 京土整储挂(顺)工业[2021]001号</t>
  </si>
  <si>
    <t xml:space="preserve"> 顺义区</t>
  </si>
  <si>
    <t xml:space="preserve"> 工业用地</t>
  </si>
  <si>
    <t xml:space="preserve"> ≤1.6</t>
  </si>
  <si>
    <t xml:space="preserve"> 挂牌</t>
  </si>
  <si>
    <t xml:space="preserve"> M1工业用地</t>
  </si>
  <si>
    <t xml:space="preserve">-- </t>
  </si>
  <si>
    <t xml:space="preserve"> 北京奕承科技有限公司  </t>
  </si>
  <si>
    <t xml:space="preserve"> 20年</t>
  </si>
  <si>
    <t xml:space="preserve"> -- </t>
  </si>
  <si>
    <t xml:space="preserve">顺义区赵全营镇SY04-0100-6006-1-2地块    </t>
  </si>
  <si>
    <t xml:space="preserve"> 京土整储挂(顺)工业研发[2021]002号</t>
  </si>
  <si>
    <t xml:space="preserve"> ≤1.80</t>
  </si>
  <si>
    <t xml:space="preserve"> 北京理工华创电动车技术有限公司  </t>
  </si>
  <si>
    <t xml:space="preserve">北京市平谷新城北部产业用地D02-01地块M1工业用地国有建设用地使用权出让公告    </t>
  </si>
  <si>
    <t xml:space="preserve"> 京土整储挂(平)工业【2021】003号</t>
  </si>
  <si>
    <t xml:space="preserve"> 平谷区</t>
  </si>
  <si>
    <t xml:space="preserve"> ≤1.1</t>
  </si>
  <si>
    <t xml:space="preserve"> 北京同生科技有限公司  </t>
  </si>
  <si>
    <t xml:space="preserve">北京市平谷新城北部产业用地F01地块M1工业用地国有建设用地使用权出让公告    </t>
  </si>
  <si>
    <t xml:space="preserve"> 京土整储挂(平)工业【2021】004号</t>
  </si>
  <si>
    <t xml:space="preserve"> ≤1.0</t>
  </si>
  <si>
    <t xml:space="preserve"> 北京二十二城一号供应链管理有限公司  </t>
  </si>
  <si>
    <t xml:space="preserve">北京密云经济开发区三期B7地块M1工业用地国有建设用地使用权出让公告    </t>
  </si>
  <si>
    <t xml:space="preserve"> 京土整储挂(密)工业【2021】001号</t>
  </si>
  <si>
    <t xml:space="preserve"> 密云区</t>
  </si>
  <si>
    <t xml:space="preserve"> &gt;1.2;&lt;1.6</t>
  </si>
  <si>
    <t xml:space="preserve"> 复星北铃(北京)医疗科技有限公司  </t>
  </si>
  <si>
    <t xml:space="preserve">北京市顺义临空国际(科创功能区)6-1-1地块M1一类工业用地国有建设用地    </t>
  </si>
  <si>
    <t xml:space="preserve"> 京土整储挂(顺)工业[2020]002号</t>
  </si>
  <si>
    <t xml:space="preserve"> ≥0.8;≤2</t>
  </si>
  <si>
    <t xml:space="preserve"> 一类工业用地</t>
  </si>
  <si>
    <t xml:space="preserve"> 中电科光电科技有限公司 、中国电子科技集团公司第十一研究所联合体  </t>
  </si>
  <si>
    <t xml:space="preserve">怀柔区庙城镇HR05-0702-6001地块M1一类工业用地国有建设用地使用权出让公告   </t>
  </si>
  <si>
    <t xml:space="preserve"> 京土整储挂(怀)工业[2020]001号</t>
  </si>
  <si>
    <t xml:space="preserve"> 怀柔区</t>
  </si>
  <si>
    <t xml:space="preserve"> ≤1.2</t>
  </si>
  <si>
    <t xml:space="preserve"> M1一类工业用地</t>
  </si>
  <si>
    <t xml:space="preserve"> 北京天辰众合汽车零部件有限公司  </t>
  </si>
  <si>
    <t xml:space="preserve">北京密云经济开发区三期A6-1-1地块M1一类工业用地国有建设用地使用权出让    </t>
  </si>
  <si>
    <t xml:space="preserve"> 京土整储挂(密)工业[2020]002号</t>
  </si>
  <si>
    <t xml:space="preserve"> ≥1.2,≤2</t>
  </si>
  <si>
    <t xml:space="preserve"> 友康厚德生物科技(北京)有限公司  </t>
  </si>
  <si>
    <t xml:space="preserve">北京密云经济开发区三期A7-1-2地块M1工业项目用地    </t>
  </si>
  <si>
    <t xml:space="preserve"> 京土整储挂(密)工业[2020]001号</t>
  </si>
  <si>
    <t xml:space="preserve"> 一类工业用地(M1)</t>
  </si>
  <si>
    <t xml:space="preserve"> 卡迪诺科技(北京)有限公司  </t>
  </si>
  <si>
    <t xml:space="preserve">北京市平谷新城北部产业用地F05-05地块M2工业用地   </t>
  </si>
  <si>
    <t xml:space="preserve"> 京土整储挂(平)工业【2020】001号</t>
  </si>
  <si>
    <t xml:space="preserve"> ≤1</t>
  </si>
  <si>
    <t xml:space="preserve"> M2工业用地</t>
  </si>
  <si>
    <t xml:space="preserve"> 北京市富乐科技开发有限公司  </t>
  </si>
  <si>
    <t xml:space="preserve">顺义区赵全营板桥SY04-0100-6006-2地块M4工业研发用地   </t>
  </si>
  <si>
    <t xml:space="preserve"> 京土整储挂(顺)研发【2019】004号</t>
  </si>
  <si>
    <t xml:space="preserve"> ≤1.8</t>
  </si>
  <si>
    <t xml:space="preserve"> 工业研发M4</t>
  </si>
  <si>
    <t xml:space="preserve"> 北京怡和中源科技有限公司  </t>
  </si>
  <si>
    <t xml:space="preserve">平谷区新城北部产业用地F05-04地块工业用地   </t>
  </si>
  <si>
    <t xml:space="preserve"> 京土整储挂(平)工业[2019]001号</t>
  </si>
  <si>
    <t xml:space="preserve"> 北京中安泰华科技有限公司  </t>
  </si>
  <si>
    <t xml:space="preserve">顺义区赵全营镇SY04-0100-6006-3地块M4工业研发项目   </t>
  </si>
  <si>
    <t xml:space="preserve"> 京土整储挂(顺)工业研发[2019]002号</t>
  </si>
  <si>
    <t xml:space="preserve"> M4工业研发</t>
  </si>
  <si>
    <t xml:space="preserve"> 北京吉源医药科技有限公司  </t>
  </si>
  <si>
    <t xml:space="preserve">顺义区SY02-0200-6001、6002地块M4工业研发项目   </t>
  </si>
  <si>
    <t xml:space="preserve"> 京土整储挂(顺)工业研发[2019]001号</t>
  </si>
  <si>
    <t xml:space="preserve"> 北京控制工程研究所  </t>
  </si>
  <si>
    <t xml:space="preserve">顺义区赵全营镇SY04-0100-6006-4地块M4工业研发项目   </t>
  </si>
  <si>
    <t xml:space="preserve"> 京土整储挂(顺)工业研发[2019]003号</t>
  </si>
  <si>
    <t xml:space="preserve"> 北京连山科技股份有限公司  </t>
  </si>
  <si>
    <t xml:space="preserve">平谷区新城北部产业用地F05-02地块工业用地  </t>
  </si>
  <si>
    <t xml:space="preserve"> 京土整储挂(平)工业【2018】001号</t>
  </si>
  <si>
    <t xml:space="preserve"> 工业</t>
  </si>
  <si>
    <t xml:space="preserve"> 北京联东金木投资有限公司  </t>
  </si>
  <si>
    <t xml:space="preserve">平谷区新城北部产业用地F05-03地块工业用地  </t>
  </si>
  <si>
    <t xml:space="preserve"> 京土整储挂(平)工业【2018】002号</t>
  </si>
  <si>
    <t xml:space="preserve"> 北京银都天盛科技有限公司  </t>
  </si>
  <si>
    <t xml:space="preserve">顺义新城第14街区SY00-0014-6001M1一类工业用地项目  </t>
  </si>
  <si>
    <t xml:space="preserve"> 京土整储挂(顺)工业[2017]004号</t>
  </si>
  <si>
    <t xml:space="preserve"> 北京星汉特种印刷有限公司  </t>
  </si>
  <si>
    <t xml:space="preserve"> 50年</t>
  </si>
  <si>
    <t xml:space="preserve">顺义区天竺综合保税区3-4(C12地块局部)地块  </t>
  </si>
  <si>
    <t xml:space="preserve"> 京土整储挂(顺)工业[2017]002</t>
  </si>
  <si>
    <t xml:space="preserve"> W2普通仓储用地</t>
  </si>
  <si>
    <t xml:space="preserve"> 经纬供应链管理(北京)有限公司  </t>
  </si>
  <si>
    <t xml:space="preserve">顺义区新城第26街区C-19(网内8号地)  </t>
  </si>
  <si>
    <t xml:space="preserve"> 京土整储挂(顺)工业[2017]003</t>
  </si>
  <si>
    <t xml:space="preserve"> 北京天保宏远物流发展有限公司  </t>
  </si>
  <si>
    <t xml:space="preserve">顺义区赵全营镇SY19-0107-0001至0003(即SY10-0107-6003)地块  </t>
  </si>
  <si>
    <t xml:space="preserve"> 京土整储挂(顺)工业[2017]001号</t>
  </si>
  <si>
    <t xml:space="preserve"> 北京汽车集团有限公司  </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</si>
  <si>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</si>
  <si>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</si>
  <si>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</si>
  <si>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</si>
  <si>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</si>
  <si>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</si>
  <si>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</si>
  <si>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</si>
  <si>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</si>
  <si>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</si>
  <si>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</si>
  <si>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</si>
  <si>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</si>
  <si>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</si>
  <si>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</si>
  <si>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</si>
  <si>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</si>
  <si>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</si>
  <si>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</si>
  <si>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</si>
  <si>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九级</t>
    <phoneticPr fontId="140" type="noConversion"/>
  </si>
  <si>
    <t>十级</t>
    <phoneticPr fontId="140" type="noConversion"/>
  </si>
  <si>
    <t>九级</t>
    <phoneticPr fontId="140" type="noConversion"/>
  </si>
  <si>
    <t>九级</t>
    <phoneticPr fontId="33" type="noConversion"/>
  </si>
  <si>
    <t>十级</t>
    <phoneticPr fontId="33" type="noConversion"/>
  </si>
  <si>
    <t>十级</t>
    <phoneticPr fontId="25" type="noConversion"/>
  </si>
  <si>
    <t>八级</t>
    <phoneticPr fontId="33" type="noConversion"/>
  </si>
  <si>
    <t>十级</t>
    <phoneticPr fontId="33" type="noConversion"/>
  </si>
  <si>
    <t>与级别开发程度一致</t>
  </si>
  <si>
    <t>一般</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</si>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</sst>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宋体"/>
      <family val="2"/>
      <scheme val="minor"/>
    </font>
    <font>
      <sz val="8"/>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55" fillId="0" borderId="0" xfId="17"/>
    <xf numFmtId="0" fontId="55" fillId="5" borderId="0" xfId="17" applyFill="1"/>
    <xf numFmtId="0" fontId="0" fillId="5" borderId="0" xfId="0" applyFill="1">
      <alignment vertical="center"/>
    </xf>
    <xf numFmtId="0" fontId="19" fillId="7" borderId="0" xfId="0" applyFont="1" applyFill="1" applyAlignment="1" applyProtection="1">
      <alignment vertical="center" wrapText="1"/>
      <protection locked="0"/>
    </xf>
    <xf numFmtId="10" fontId="19" fillId="7" borderId="0" xfId="0" applyNumberFormat="1" applyFont="1" applyFill="1" applyAlignment="1" applyProtection="1">
      <alignment horizontal="center" vertical="center" wrapText="1"/>
      <protection locked="0"/>
    </xf>
    <xf numFmtId="0" fontId="55" fillId="0" borderId="0" xfId="17" applyFont="1" applyFill="1"/>
    <xf numFmtId="0" fontId="111" fillId="0" borderId="0" xfId="0" applyFont="1">
      <alignment vertical="center"/>
    </xf>
    <xf numFmtId="0" fontId="111" fillId="5" borderId="0" xfId="0" applyFont="1" applyFill="1">
      <alignment vertical="center"/>
    </xf>
    <xf numFmtId="0" fontId="111" fillId="0" borderId="0" xfId="0" applyFont="1" applyFill="1">
      <alignment vertical="center"/>
    </xf>
    <xf numFmtId="0" fontId="55" fillId="16" borderId="0" xfId="17" applyFill="1"/>
    <xf numFmtId="0" fontId="0" fillId="16" borderId="0" xfId="0" applyFill="1">
      <alignment vertical="center"/>
    </xf>
    <xf numFmtId="0" fontId="111" fillId="16" borderId="0" xfId="0" applyFont="1" applyFill="1">
      <alignment vertical="center"/>
    </xf>
    <xf numFmtId="49" fontId="134" fillId="2" borderId="26" xfId="0" applyNumberFormat="1" applyFont="1" applyFill="1" applyBorder="1" applyAlignment="1" applyProtection="1">
      <alignment horizontal="center" vertical="center" wrapText="1"/>
      <protection locked="0"/>
    </xf>
    <xf numFmtId="0" fontId="0" fillId="0" borderId="0" xfId="0" applyFill="1">
      <alignment vertical="center"/>
    </xf>
    <xf numFmtId="0" fontId="52" fillId="20" borderId="40" xfId="0" applyFont="1" applyFill="1" applyBorder="1" applyAlignment="1" applyProtection="1">
      <alignment vertical="center" wrapText="1"/>
    </xf>
    <xf numFmtId="0" fontId="46" fillId="9" borderId="5" xfId="0" applyFont="1" applyFill="1" applyBorder="1" applyAlignment="1" applyProtection="1">
      <alignment horizontal="center" vertical="center" wrapText="1"/>
    </xf>
    <xf numFmtId="0" fontId="46" fillId="20" borderId="24" xfId="0" applyFont="1" applyFill="1" applyBorder="1" applyAlignment="1" applyProtection="1">
      <alignment horizontal="center" vertical="center" wrapText="1"/>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98" fillId="0" borderId="0" xfId="0" applyFont="1">
      <alignment vertical="center"/>
    </xf>
    <xf numFmtId="9" fontId="0" fillId="0" borderId="0" xfId="0" applyNumberFormat="1">
      <alignment vertical="center"/>
    </xf>
    <xf numFmtId="176" fontId="49" fillId="12" borderId="0" xfId="0" applyNumberFormat="1" applyFont="1" applyFill="1" applyAlignment="1" applyProtection="1">
      <alignment vertical="center"/>
      <protection locked="0"/>
    </xf>
    <xf numFmtId="9" fontId="49" fillId="18" borderId="5" xfId="0" applyNumberFormat="1" applyFont="1" applyFill="1" applyBorder="1" applyAlignment="1" applyProtection="1">
      <alignment horizontal="center" vertical="center"/>
      <protection locked="0"/>
    </xf>
    <xf numFmtId="0" fontId="255" fillId="0" borderId="0" xfId="0" applyNumberFormat="1" applyFont="1" applyAlignment="1">
      <alignment horizontal="left"/>
    </xf>
    <xf numFmtId="0" fontId="256" fillId="0" borderId="0" xfId="0" applyNumberFormat="1" applyFont="1" applyAlignment="1">
      <alignment horizontal="left"/>
    </xf>
    <xf numFmtId="14" fontId="256" fillId="0" borderId="0" xfId="0" applyNumberFormat="1" applyFont="1" applyAlignment="1">
      <alignment horizontal="left"/>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180" fontId="257" fillId="6" borderId="6" xfId="1" applyNumberFormat="1" applyFont="1" applyFill="1" applyBorder="1" applyAlignment="1" applyProtection="1">
      <alignment horizontal="center" vertical="center" wrapText="1"/>
    </xf>
    <xf numFmtId="0" fontId="258" fillId="6" borderId="9" xfId="2" applyFont="1" applyFill="1" applyBorder="1" applyAlignment="1" applyProtection="1">
      <alignment horizontal="center" vertical="center" wrapText="1"/>
    </xf>
    <xf numFmtId="179" fontId="258" fillId="6" borderId="9" xfId="2" applyNumberFormat="1" applyFont="1" applyFill="1" applyBorder="1" applyAlignment="1" applyProtection="1">
      <alignment horizontal="center" vertical="center" wrapText="1"/>
    </xf>
    <xf numFmtId="0" fontId="258"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7" fillId="6" borderId="64" xfId="2" applyFont="1" applyFill="1" applyBorder="1" applyAlignment="1">
      <alignment horizontal="right" vertical="center"/>
    </xf>
    <xf numFmtId="0" fontId="257"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10" fontId="102" fillId="0" borderId="9" xfId="2" applyNumberFormat="1" applyFont="1" applyBorder="1" applyAlignment="1" applyProtection="1">
      <alignment horizontal="center"/>
      <protection locked="0"/>
    </xf>
    <xf numFmtId="10" fontId="102" fillId="0" borderId="32" xfId="2" applyNumberFormat="1" applyFont="1" applyBorder="1" applyAlignment="1" applyProtection="1">
      <alignment horizontal="center"/>
      <protection locked="0"/>
    </xf>
    <xf numFmtId="0" fontId="55" fillId="0" borderId="0" xfId="17" applyFill="1"/>
    <xf numFmtId="0" fontId="98" fillId="16" borderId="0" xfId="0" applyFont="1" applyFill="1">
      <alignment vertical="center"/>
    </xf>
    <xf numFmtId="0" fontId="98" fillId="5" borderId="0" xfId="0" applyFont="1" applyFill="1">
      <alignment vertical="center"/>
    </xf>
    <xf numFmtId="0" fontId="97" fillId="2" borderId="54" xfId="0" applyNumberFormat="1" applyFont="1" applyFill="1" applyBorder="1" applyAlignment="1" applyProtection="1">
      <alignment horizontal="center" vertical="center" wrapText="1"/>
      <protection locked="0"/>
    </xf>
    <xf numFmtId="0" fontId="79" fillId="0" borderId="49" xfId="0" applyNumberFormat="1" applyFont="1" applyFill="1" applyBorder="1" applyAlignment="1" applyProtection="1">
      <alignment vertical="center" wrapText="1"/>
      <protection locked="0"/>
    </xf>
    <xf numFmtId="0" fontId="97" fillId="0" borderId="44" xfId="0" applyNumberFormat="1" applyFont="1" applyFill="1" applyBorder="1" applyAlignment="1" applyProtection="1">
      <alignment horizontal="center" vertical="center" wrapText="1"/>
      <protection locked="0"/>
    </xf>
    <xf numFmtId="0" fontId="119" fillId="18" borderId="1" xfId="3" applyNumberFormat="1" applyFont="1" applyFill="1" applyBorder="1" applyAlignment="1" applyProtection="1">
      <alignment horizontal="center" vertical="center"/>
    </xf>
    <xf numFmtId="0" fontId="255" fillId="18" borderId="0" xfId="0" applyNumberFormat="1" applyFont="1" applyFill="1" applyAlignment="1">
      <alignment horizontal="left"/>
    </xf>
    <xf numFmtId="14" fontId="256" fillId="18" borderId="0" xfId="0" applyNumberFormat="1" applyFont="1" applyFill="1" applyAlignment="1">
      <alignment horizontal="left"/>
    </xf>
    <xf numFmtId="0" fontId="256" fillId="18" borderId="0" xfId="0" applyNumberFormat="1" applyFont="1" applyFill="1" applyAlignment="1">
      <alignment horizontal="left"/>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7" fillId="6" borderId="63" xfId="2" applyFont="1" applyFill="1" applyBorder="1" applyAlignment="1">
      <alignment horizontal="center"/>
    </xf>
    <xf numFmtId="0" fontId="257" fillId="6" borderId="64" xfId="2" applyFont="1" applyFill="1" applyBorder="1" applyAlignment="1">
      <alignment horizont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134291</xdr:colOff>
      <xdr:row>28</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49491" cy="5151120"/>
        </a:xfrm>
        <a:prstGeom prst="rect">
          <a:avLst/>
        </a:prstGeom>
      </xdr:spPr>
    </xdr:pic>
    <xdr:clientData/>
  </xdr:twoCellAnchor>
  <xdr:twoCellAnchor editAs="oneCell">
    <xdr:from>
      <xdr:col>0</xdr:col>
      <xdr:colOff>0</xdr:colOff>
      <xdr:row>29</xdr:row>
      <xdr:rowOff>0</xdr:rowOff>
    </xdr:from>
    <xdr:to>
      <xdr:col>11</xdr:col>
      <xdr:colOff>601980</xdr:colOff>
      <xdr:row>52</xdr:row>
      <xdr:rowOff>163862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03520"/>
          <a:ext cx="7307580" cy="4370102"/>
        </a:xfrm>
        <a:prstGeom prst="rect">
          <a:avLst/>
        </a:prstGeom>
      </xdr:spPr>
    </xdr:pic>
    <xdr:clientData/>
  </xdr:twoCellAnchor>
  <xdr:twoCellAnchor editAs="oneCell">
    <xdr:from>
      <xdr:col>0</xdr:col>
      <xdr:colOff>0</xdr:colOff>
      <xdr:row>54</xdr:row>
      <xdr:rowOff>0</xdr:rowOff>
    </xdr:from>
    <xdr:to>
      <xdr:col>12</xdr:col>
      <xdr:colOff>144780</xdr:colOff>
      <xdr:row>79</xdr:row>
      <xdr:rowOff>182577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875520"/>
          <a:ext cx="7459980" cy="4754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 ca="1">'预评函-封皮'!B46</f>
        <v>吴薇（注册号：1419970001)、郑燚（注册号：1120070131)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估价对象为北京市房地产，为所有。根据《国有土地使用证》[]，估价对象（分摊）出让国有建设用地使用权面积为19466.48平方米，建筑面积为4052平方米。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估价对象为北京市房地产,属开发建设的，该项目尚在开发建设中。根据《国有土地使用证》[]，估价对象（分摊）出让国有建设用地使用权面积为19466.48平方米，规划建筑面积为4052平方米。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2022年2月15日</v>
      </c>
    </row>
    <row r="13" spans="1:2" s="1336" customFormat="1">
      <c r="A13" s="1334" t="s">
        <v>1135</v>
      </c>
      <c r="B13" s="1335" t="str">
        <f>'预评函-1'!A18</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4868</v>
      </c>
    </row>
    <row r="21" spans="1:2" s="1336" customFormat="1">
      <c r="A21" s="1334" t="s">
        <v>1143</v>
      </c>
      <c r="B21" s="1335">
        <f ca="1">'预评函-2'!D7</f>
        <v>12014</v>
      </c>
    </row>
    <row r="22" spans="1:2" s="1336" customFormat="1">
      <c r="A22" s="1334" t="s">
        <v>1144</v>
      </c>
      <c r="B22" s="1335" t="str">
        <f ca="1">'预评函-2'!D6</f>
        <v>肆仟捌佰陆拾捌万元整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4868</v>
      </c>
    </row>
    <row r="31" spans="1:2" s="1336" customFormat="1">
      <c r="A31" s="1334" t="s">
        <v>1182</v>
      </c>
      <c r="B31" s="1335">
        <f ca="1">'预评函-2'!D15</f>
        <v>12014</v>
      </c>
    </row>
    <row r="32" spans="1:2" s="1336" customFormat="1">
      <c r="A32" s="1334" t="s">
        <v>1149</v>
      </c>
      <c r="B32" s="1335" t="str">
        <f ca="1">'预评函-2'!D14</f>
        <v>肆仟捌佰陆拾捌万元整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4052</v>
      </c>
    </row>
    <row r="44" spans="1:2" s="1336" customFormat="1">
      <c r="A44" s="1334" t="s">
        <v>1181</v>
      </c>
      <c r="B44" s="1335" t="str">
        <f>'预评函-3'!C2</f>
        <v>(分摊)土地面积</v>
      </c>
    </row>
    <row r="45" spans="1:2" s="1336" customFormat="1">
      <c r="A45" s="1334" t="s">
        <v>1153</v>
      </c>
      <c r="B45" s="1335">
        <f>'预评函-3'!C4</f>
        <v>19466.48</v>
      </c>
    </row>
    <row r="46" spans="1:2" s="1336" customFormat="1">
      <c r="A46" s="1334" t="s">
        <v>1179</v>
      </c>
      <c r="B46" s="1335" t="str">
        <f>'预评函-3'!D2</f>
        <v>出让国有建设用地使用权价值</v>
      </c>
    </row>
    <row r="47" spans="1:2" s="1336" customFormat="1">
      <c r="A47" s="1334" t="s">
        <v>1154</v>
      </c>
      <c r="B47" s="1335">
        <f ca="1">'预评函-3'!D4</f>
        <v>4148</v>
      </c>
    </row>
    <row r="48" spans="1:2" s="1336" customFormat="1">
      <c r="A48" s="1334" t="s">
        <v>1155</v>
      </c>
      <c r="B48" s="1335">
        <f ca="1">'预评函-3'!E4</f>
        <v>10237</v>
      </c>
    </row>
    <row r="49" spans="1:2" s="1336" customFormat="1">
      <c r="A49" s="1334" t="s">
        <v>1156</v>
      </c>
      <c r="B49" s="1335" t="str">
        <f ca="1">'预评函-3'!D5</f>
        <v>肆仟壹佰肆拾捌万元整</v>
      </c>
    </row>
    <row r="50" spans="1:2" s="1336" customFormat="1">
      <c r="A50" s="1334" t="s">
        <v>1180</v>
      </c>
      <c r="B50" s="1335" t="str">
        <f>'预评函-3'!F2</f>
        <v>建筑物价值</v>
      </c>
    </row>
    <row r="51" spans="1:2" s="1336" customFormat="1">
      <c r="A51" s="1334" t="s">
        <v>1157</v>
      </c>
      <c r="B51" s="1335">
        <f ca="1">'预评函-3'!F4</f>
        <v>720</v>
      </c>
    </row>
    <row r="52" spans="1:2" s="1336" customFormat="1">
      <c r="A52" s="1334" t="s">
        <v>1158</v>
      </c>
      <c r="B52" s="1335">
        <f ca="1">'预评函-3'!G4</f>
        <v>1777</v>
      </c>
    </row>
    <row r="53" spans="1:2" s="1336" customFormat="1">
      <c r="A53" s="1334" t="s">
        <v>1186</v>
      </c>
      <c r="B53" s="1335" t="str">
        <f ca="1">'预评函-3'!F5</f>
        <v>柒佰贰拾万元整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吴薇</v>
      </c>
    </row>
    <row r="71" spans="1:2">
      <c r="A71" s="1334" t="s">
        <v>1169</v>
      </c>
      <c r="B71" s="1335">
        <f ca="1">'预评函-4'!B4</f>
        <v>1419970001</v>
      </c>
    </row>
    <row r="72" spans="1:2">
      <c r="A72" s="1334" t="s">
        <v>1170</v>
      </c>
      <c r="B72" s="1343" t="str">
        <f>'预评函-4'!A5</f>
        <v>郑燚</v>
      </c>
    </row>
    <row r="73" spans="1:2" s="1330" customFormat="1" ht="15" thickBot="1">
      <c r="A73" s="1337" t="s">
        <v>1171</v>
      </c>
      <c r="B73" s="1338">
        <f ca="1">'预评函-4'!B5</f>
        <v>1120070131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2976</v>
      </c>
      <c r="C17" s="1701"/>
    </row>
    <row r="18" spans="1:3">
      <c r="A18" s="1700" t="s">
        <v>1672</v>
      </c>
      <c r="B18" s="1700" t="s">
        <v>3120</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3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0"/>
      <c r="B54" s="1708" t="s">
        <v>832</v>
      </c>
      <c r="C54" s="1705" t="s">
        <v>1189</v>
      </c>
    </row>
    <row r="55" spans="1:4">
      <c r="A55" s="3330"/>
      <c r="B55" s="1708" t="s">
        <v>833</v>
      </c>
      <c r="C55" s="1705" t="s">
        <v>1190</v>
      </c>
    </row>
    <row r="56" spans="1:4">
      <c r="A56" s="3330"/>
      <c r="B56" s="1708" t="s">
        <v>834</v>
      </c>
      <c r="C56" s="1705" t="s">
        <v>1194</v>
      </c>
    </row>
    <row r="57" spans="1:4">
      <c r="A57" s="333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8" sqref="L1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3" customWidth="1"/>
    <col min="12" max="13" width="10" style="2824"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2851</v>
      </c>
      <c r="B1" s="3331" t="str">
        <f>IF(B10="北京市","北京市",C10)&amp;F10&amp;IF(结果表!G1="在建","出让国有建设用地使用权及在建建筑物",IF(结果表!G1="土地","出让国有建设用地使用权",))&amp;B9&amp;"预评估"</f>
        <v>北京市房地产抵押价值预评估</v>
      </c>
      <c r="C1" s="3332"/>
      <c r="D1" s="3332"/>
      <c r="E1" s="3332"/>
      <c r="F1" s="3332"/>
      <c r="G1" s="3332"/>
      <c r="H1" s="3332"/>
      <c r="I1" s="3333"/>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2852</v>
      </c>
      <c r="B2" s="2564"/>
      <c r="C2" s="2565"/>
      <c r="D2" s="2867"/>
      <c r="E2" s="2857"/>
      <c r="F2" s="2857"/>
      <c r="G2" s="2858"/>
      <c r="H2" s="2858"/>
      <c r="I2" s="2858"/>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2853</v>
      </c>
      <c r="B3" s="2566"/>
      <c r="C3" s="2567" t="s">
        <v>2854</v>
      </c>
      <c r="D3" s="2566">
        <v>44607</v>
      </c>
      <c r="E3" s="2858"/>
      <c r="F3" s="2858"/>
      <c r="G3" s="2858"/>
      <c r="H3" s="2858"/>
      <c r="I3" s="2858"/>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2855</v>
      </c>
      <c r="B4" s="2568" t="s">
        <v>3242</v>
      </c>
      <c r="C4" s="2569">
        <f ca="1">SUMIF(注册房地产估价师,B4,估价师及机构信息!B3:B24)</f>
        <v>1419970001</v>
      </c>
      <c r="D4" s="2568" t="s">
        <v>3243</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吴薇（注册号：1419970001)、郑燚（注册号：1120070131)</v>
      </c>
      <c r="L4" s="2562"/>
      <c r="M4" s="2562"/>
      <c r="N4" s="2563"/>
      <c r="O4" s="1730"/>
      <c r="P4" s="2563"/>
      <c r="Q4" s="2563"/>
      <c r="R4" s="2563"/>
      <c r="S4" s="1837"/>
      <c r="T4" s="1900"/>
      <c r="U4" s="1900"/>
      <c r="V4" s="1900"/>
      <c r="W4" s="1900"/>
      <c r="X4" s="1900"/>
      <c r="Y4" s="1900"/>
      <c r="Z4" s="1900"/>
      <c r="AA4" s="1900"/>
      <c r="AB4" s="1900"/>
    </row>
    <row r="5" spans="1:28" ht="13.5" thickTop="1">
      <c r="A5" s="2572" t="s">
        <v>2856</v>
      </c>
      <c r="B5" s="2573"/>
      <c r="C5" s="2574"/>
      <c r="D5" s="2575"/>
      <c r="E5" s="2859"/>
      <c r="F5" s="2859"/>
      <c r="G5" s="2859"/>
      <c r="H5" s="2859"/>
      <c r="I5" s="2859"/>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2857</v>
      </c>
      <c r="B6" s="2577"/>
      <c r="C6" s="2578"/>
      <c r="D6" s="2579"/>
      <c r="E6" s="2857"/>
      <c r="F6" s="2859"/>
      <c r="G6" s="2859"/>
      <c r="H6" s="2859"/>
      <c r="I6" s="2859"/>
      <c r="J6" s="2634"/>
      <c r="K6" s="2809" t="str">
        <f>IF(COUNTIF(B6,"*上海银行*"),"上海银行","")</f>
        <v/>
      </c>
      <c r="L6" s="2807"/>
      <c r="M6" s="2807"/>
      <c r="N6" s="2634"/>
      <c r="O6" s="2645"/>
      <c r="P6" s="2634"/>
      <c r="Q6" s="2634"/>
      <c r="R6" s="2634"/>
    </row>
    <row r="7" spans="1:28">
      <c r="A7" s="2576" t="s">
        <v>2858</v>
      </c>
      <c r="B7" s="2580"/>
      <c r="C7" s="2578"/>
      <c r="D7" s="2579"/>
      <c r="E7" s="2857"/>
      <c r="F7" s="2859"/>
      <c r="G7" s="2859"/>
      <c r="H7" s="2859"/>
      <c r="I7" s="2859"/>
      <c r="J7" s="2634"/>
      <c r="K7" s="2810"/>
      <c r="L7" s="2807"/>
      <c r="M7" s="2807"/>
      <c r="N7" s="2634"/>
      <c r="O7" s="2645"/>
      <c r="P7" s="2634"/>
      <c r="Q7" s="2634"/>
      <c r="R7" s="2634"/>
    </row>
    <row r="8" spans="1:28">
      <c r="A8" s="2581" t="s">
        <v>2859</v>
      </c>
      <c r="B8" s="2582" t="s">
        <v>3125</v>
      </c>
      <c r="C8" s="2583"/>
      <c r="D8" s="3334" t="s">
        <v>2860</v>
      </c>
      <c r="E8" s="2584" t="s">
        <v>3126</v>
      </c>
      <c r="F8" s="2585"/>
      <c r="G8" s="2858"/>
      <c r="H8" s="2858"/>
      <c r="I8" s="2858"/>
      <c r="J8" s="2634"/>
      <c r="K8" s="2808"/>
      <c r="L8" s="2807"/>
      <c r="M8" s="2807"/>
      <c r="N8" s="2634"/>
      <c r="O8" s="2645"/>
      <c r="P8" s="2634"/>
      <c r="Q8" s="2634"/>
      <c r="R8" s="2634"/>
    </row>
    <row r="9" spans="1:28" ht="13.5" thickBot="1">
      <c r="A9" s="2586" t="s">
        <v>2861</v>
      </c>
      <c r="B9" s="2587" t="s">
        <v>3126</v>
      </c>
      <c r="C9" s="2588"/>
      <c r="D9" s="3335"/>
      <c r="E9" s="2587"/>
      <c r="F9" s="2589"/>
      <c r="G9" s="2860"/>
      <c r="H9" s="2860"/>
      <c r="I9" s="2860"/>
      <c r="J9" s="2634"/>
      <c r="K9" s="2810"/>
      <c r="L9" s="2807"/>
      <c r="M9" s="2807"/>
      <c r="N9" s="2634"/>
      <c r="O9" s="2645"/>
      <c r="P9" s="2634"/>
      <c r="Q9" s="2634"/>
      <c r="R9" s="2634"/>
    </row>
    <row r="10" spans="1:28" ht="13.5" thickTop="1">
      <c r="A10" s="2590" t="s">
        <v>2862</v>
      </c>
      <c r="B10" s="2591" t="s">
        <v>3127</v>
      </c>
      <c r="C10" s="2592"/>
      <c r="D10" s="2575"/>
      <c r="E10" s="2593" t="s">
        <v>2863</v>
      </c>
      <c r="F10" s="2861"/>
      <c r="G10" s="2862"/>
      <c r="H10" s="2863"/>
      <c r="I10" s="2864"/>
      <c r="J10" s="2634"/>
      <c r="K10" s="2810"/>
      <c r="L10" s="2807"/>
      <c r="M10" s="2807"/>
      <c r="N10" s="2634"/>
      <c r="O10" s="2645"/>
      <c r="P10" s="2634"/>
      <c r="Q10" s="2634"/>
      <c r="R10" s="2634"/>
    </row>
    <row r="11" spans="1:28">
      <c r="A11" s="2594" t="s">
        <v>2864</v>
      </c>
      <c r="B11" s="2595" t="s">
        <v>3128</v>
      </c>
      <c r="C11" s="2596"/>
      <c r="D11" s="2597"/>
      <c r="E11" s="2563"/>
      <c r="F11" s="2563"/>
      <c r="G11" s="2563"/>
      <c r="H11" s="2563"/>
      <c r="I11" s="2563"/>
      <c r="J11" s="2634"/>
      <c r="K11" s="2810"/>
      <c r="L11" s="2807"/>
      <c r="M11" s="2807"/>
      <c r="N11" s="2634"/>
      <c r="O11" s="2645"/>
      <c r="P11" s="2634"/>
      <c r="Q11" s="2634"/>
      <c r="R11" s="2634"/>
    </row>
    <row r="12" spans="1:28">
      <c r="A12" s="2598" t="s">
        <v>2865</v>
      </c>
      <c r="B12" s="2595" t="s">
        <v>3129</v>
      </c>
      <c r="C12" s="329" t="s">
        <v>2866</v>
      </c>
      <c r="D12" s="2599" t="s">
        <v>2867</v>
      </c>
      <c r="E12" s="2599" t="s">
        <v>2868</v>
      </c>
      <c r="F12" s="2599" t="s">
        <v>2869</v>
      </c>
      <c r="G12" s="2599" t="s">
        <v>2870</v>
      </c>
      <c r="H12" s="2599" t="s">
        <v>2871</v>
      </c>
      <c r="I12" s="2599" t="s">
        <v>2872</v>
      </c>
      <c r="J12" s="2634"/>
      <c r="K12" s="2810"/>
      <c r="L12" s="2807"/>
      <c r="M12" s="2807"/>
      <c r="N12" s="2634"/>
      <c r="O12" s="2645"/>
      <c r="P12" s="2634"/>
      <c r="Q12" s="2634"/>
      <c r="R12" s="2634"/>
    </row>
    <row r="13" spans="1:28">
      <c r="A13" s="1213"/>
      <c r="B13" s="2600"/>
      <c r="C13" s="2601" t="s">
        <v>2873</v>
      </c>
      <c r="D13" s="965"/>
      <c r="E13" s="965"/>
      <c r="F13" s="965"/>
      <c r="G13" s="965"/>
      <c r="H13" s="965"/>
      <c r="I13" s="965">
        <v>55474</v>
      </c>
      <c r="J13" s="2634"/>
      <c r="K13" s="2810"/>
      <c r="L13" s="2807"/>
      <c r="M13" s="2807"/>
      <c r="N13" s="2634"/>
      <c r="O13" s="2645"/>
      <c r="P13" s="2634"/>
      <c r="Q13" s="2634"/>
      <c r="R13" s="2634"/>
    </row>
    <row r="14" spans="1:28">
      <c r="A14" s="1213"/>
      <c r="B14" s="2600"/>
      <c r="C14" s="2601" t="s">
        <v>2874</v>
      </c>
      <c r="D14" s="2602"/>
      <c r="E14" s="2602"/>
      <c r="F14" s="2602"/>
      <c r="G14" s="2602"/>
      <c r="H14" s="2602"/>
      <c r="I14" s="2602">
        <v>50</v>
      </c>
      <c r="J14" s="2634"/>
      <c r="K14" s="2811"/>
      <c r="L14" s="2807"/>
      <c r="M14" s="2807"/>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29.77</v>
      </c>
      <c r="J15" s="2634"/>
      <c r="K15" s="2812"/>
      <c r="L15" s="2646"/>
      <c r="M15" s="2646"/>
      <c r="N15" s="2703"/>
      <c r="O15" s="2646"/>
      <c r="P15" s="2703"/>
      <c r="Q15" s="2634"/>
      <c r="R15" s="2634"/>
    </row>
    <row r="16" spans="1:28">
      <c r="A16" s="2593" t="s">
        <v>2876</v>
      </c>
      <c r="B16" s="3341"/>
      <c r="C16" s="3342"/>
      <c r="D16" s="3343"/>
      <c r="E16" s="2608" t="s">
        <v>2877</v>
      </c>
      <c r="F16" s="3344"/>
      <c r="G16" s="3345"/>
      <c r="H16" s="3345"/>
      <c r="I16" s="3346"/>
      <c r="J16" s="2634"/>
      <c r="K16" s="2812"/>
      <c r="L16" s="2646"/>
      <c r="M16" s="2646"/>
      <c r="N16" s="2703"/>
      <c r="O16" s="2646"/>
      <c r="P16" s="2703"/>
      <c r="Q16" s="2634"/>
      <c r="R16" s="2634"/>
    </row>
    <row r="17" spans="1:28">
      <c r="A17" s="319" t="s">
        <v>2878</v>
      </c>
      <c r="B17" s="308" t="s">
        <v>2879</v>
      </c>
      <c r="C17" s="11">
        <f>'数据-汇总表'!E3</f>
        <v>4052</v>
      </c>
      <c r="D17" s="2514" t="s">
        <v>2880</v>
      </c>
      <c r="E17" s="3347" t="s">
        <v>2881</v>
      </c>
      <c r="F17" s="3348"/>
      <c r="G17" s="3348"/>
      <c r="H17" s="3348"/>
      <c r="I17" s="3349"/>
      <c r="J17" s="2634"/>
      <c r="K17" s="2813"/>
      <c r="L17" s="2646"/>
      <c r="M17" s="2646"/>
      <c r="N17" s="2703"/>
      <c r="O17" s="2646"/>
      <c r="P17" s="2703"/>
      <c r="Q17" s="2634"/>
      <c r="R17" s="2634"/>
      <c r="S17" s="2634"/>
      <c r="T17" s="2634"/>
      <c r="U17" s="2634"/>
      <c r="V17" s="2634"/>
    </row>
    <row r="18" spans="1:28" ht="24.75" thickBot="1">
      <c r="A18" s="2609" t="s">
        <v>2882</v>
      </c>
      <c r="B18" s="1222" t="s">
        <v>2883</v>
      </c>
      <c r="C18" s="2610">
        <f>'数据-汇总表'!D3</f>
        <v>19466.48</v>
      </c>
      <c r="D18" s="1224" t="s">
        <v>2884</v>
      </c>
      <c r="E18" s="3350" t="s">
        <v>2885</v>
      </c>
      <c r="F18" s="3351"/>
      <c r="G18" s="3351"/>
      <c r="H18" s="3351"/>
      <c r="I18" s="3352"/>
      <c r="J18" s="2634"/>
      <c r="K18" s="2813"/>
      <c r="L18" s="2646"/>
      <c r="M18" s="2646"/>
      <c r="N18" s="2703"/>
      <c r="O18" s="2646"/>
      <c r="P18" s="2703"/>
      <c r="Q18" s="2634"/>
      <c r="R18" s="2634"/>
      <c r="S18" s="2634"/>
      <c r="T18" s="2634"/>
      <c r="U18" s="2634"/>
      <c r="V18" s="2634"/>
    </row>
    <row r="19" spans="1:28" ht="37.5" thickTop="1" thickBot="1">
      <c r="A19" s="333" t="s">
        <v>1681</v>
      </c>
      <c r="B19" s="313" t="s">
        <v>2886</v>
      </c>
      <c r="C19" s="1717"/>
      <c r="D19" s="1718" t="s">
        <v>2887</v>
      </c>
      <c r="E19" s="1719"/>
      <c r="F19" s="1720" t="str">
        <f>IF(AND(C19="是",E19="否"),"是否提供他项权证或相关说明","")</f>
        <v/>
      </c>
      <c r="G19" s="1721"/>
      <c r="H19" s="2859"/>
      <c r="I19" s="2859"/>
      <c r="J19" s="2634"/>
      <c r="K19" s="2810"/>
      <c r="L19" s="2807"/>
      <c r="M19" s="2807"/>
      <c r="N19" s="2703"/>
      <c r="O19" s="2646"/>
      <c r="P19" s="2703"/>
      <c r="Q19" s="2634"/>
      <c r="R19" s="2634"/>
      <c r="S19" s="2634"/>
      <c r="T19" s="2634"/>
      <c r="U19" s="2634"/>
      <c r="V19" s="2634"/>
    </row>
    <row r="20" spans="1:28">
      <c r="A20" s="2827" t="s">
        <v>2888</v>
      </c>
      <c r="B20" s="3337" t="s">
        <v>2889</v>
      </c>
      <c r="C20" s="3338"/>
      <c r="D20" s="3339" t="s">
        <v>2890</v>
      </c>
      <c r="E20" s="3340"/>
      <c r="F20" s="2842" t="s">
        <v>1682</v>
      </c>
      <c r="G20" s="2859"/>
      <c r="H20" s="2859"/>
      <c r="I20" s="2859"/>
      <c r="J20" s="2634"/>
      <c r="K20" s="3336"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7"/>
      <c r="B21" s="2828" t="s">
        <v>2892</v>
      </c>
      <c r="C21" s="2829" t="s">
        <v>1683</v>
      </c>
      <c r="D21" s="1722" t="s">
        <v>2893</v>
      </c>
      <c r="E21" s="2830" t="s">
        <v>1683</v>
      </c>
      <c r="F21" s="2843"/>
      <c r="G21" s="2859"/>
      <c r="H21" s="2859"/>
      <c r="I21" s="2859"/>
      <c r="J21" s="2634"/>
      <c r="K21" s="33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7"/>
      <c r="B22" s="2831" t="s">
        <v>2894</v>
      </c>
      <c r="C22" s="2829" t="s">
        <v>1684</v>
      </c>
      <c r="D22" s="2858"/>
      <c r="E22" s="2858"/>
      <c r="F22" s="2858"/>
      <c r="G22" s="2859"/>
      <c r="H22" s="2859"/>
      <c r="I22" s="2859"/>
      <c r="J22" s="2634"/>
      <c r="K22" s="33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2" t="s">
        <v>2895</v>
      </c>
      <c r="B23" s="2697" t="s">
        <v>2896</v>
      </c>
      <c r="C23" s="2833"/>
      <c r="D23" s="2834" t="s">
        <v>2896</v>
      </c>
      <c r="E23" s="2835"/>
      <c r="F23" s="2858"/>
      <c r="G23" s="2859"/>
      <c r="H23" s="2859"/>
      <c r="I23" s="2859"/>
      <c r="J23" s="2634"/>
      <c r="K23" s="2814"/>
      <c r="L23" s="2670"/>
      <c r="M23" s="2807"/>
      <c r="N23" s="2703"/>
      <c r="O23" s="2646"/>
      <c r="P23" s="2703"/>
      <c r="Q23" s="2634"/>
      <c r="R23" s="2634"/>
      <c r="S23" s="2634"/>
      <c r="T23" s="2634"/>
      <c r="U23" s="2634"/>
      <c r="V23" s="2634"/>
    </row>
    <row r="24" spans="1:28">
      <c r="A24" s="2832"/>
      <c r="B24" s="2697" t="s">
        <v>1685</v>
      </c>
      <c r="C24" s="2836"/>
      <c r="D24" s="2832" t="s">
        <v>1685</v>
      </c>
      <c r="E24" s="2837"/>
      <c r="F24" s="2858"/>
      <c r="G24" s="2859"/>
      <c r="H24" s="2859"/>
      <c r="I24" s="2859"/>
      <c r="J24" s="2634"/>
      <c r="K24" s="2814"/>
      <c r="L24" s="2670"/>
      <c r="M24" s="2807"/>
      <c r="N24" s="2703"/>
      <c r="O24" s="2646"/>
      <c r="P24" s="2703"/>
      <c r="Q24" s="2634"/>
      <c r="R24" s="2634"/>
      <c r="S24" s="2634"/>
      <c r="T24" s="2634"/>
      <c r="U24" s="2634"/>
      <c r="V24" s="2634"/>
    </row>
    <row r="25" spans="1:28">
      <c r="A25" s="2832"/>
      <c r="B25" s="2697" t="s">
        <v>1686</v>
      </c>
      <c r="C25" s="2836"/>
      <c r="D25" s="2832" t="s">
        <v>1686</v>
      </c>
      <c r="E25" s="2837"/>
      <c r="F25" s="2858"/>
      <c r="G25" s="2859"/>
      <c r="H25" s="2859"/>
      <c r="I25" s="2859"/>
      <c r="J25" s="2634"/>
      <c r="K25" s="2810"/>
      <c r="L25" s="2807"/>
      <c r="M25" s="2807"/>
      <c r="N25" s="2703"/>
      <c r="O25" s="2646"/>
      <c r="P25" s="2703"/>
      <c r="Q25" s="2634"/>
      <c r="R25" s="2634"/>
      <c r="S25" s="2634"/>
      <c r="T25" s="2634"/>
      <c r="U25" s="2634"/>
      <c r="V25" s="2634"/>
    </row>
    <row r="26" spans="1:28" ht="13.5" thickBot="1">
      <c r="A26" s="2838"/>
      <c r="B26" s="2839" t="s">
        <v>1687</v>
      </c>
      <c r="C26" s="2840"/>
      <c r="D26" s="2838" t="s">
        <v>1687</v>
      </c>
      <c r="E26" s="2841"/>
      <c r="F26" s="2860"/>
      <c r="G26" s="2860"/>
      <c r="H26" s="2860"/>
      <c r="I26" s="2860"/>
      <c r="J26" s="2634"/>
      <c r="K26" s="2810"/>
      <c r="L26" s="2807"/>
      <c r="M26" s="2807"/>
      <c r="N26" s="2703"/>
      <c r="O26" s="2646"/>
      <c r="P26" s="2703"/>
      <c r="Q26" s="2634"/>
      <c r="R26" s="2634"/>
      <c r="S26" s="2634"/>
      <c r="T26" s="2634"/>
      <c r="U26" s="2634"/>
      <c r="V26" s="2634"/>
    </row>
    <row r="27" spans="1:28" ht="13.5" thickTop="1">
      <c r="A27" s="3354" t="s">
        <v>2897</v>
      </c>
      <c r="B27" s="326" t="s">
        <v>2898</v>
      </c>
      <c r="C27" s="2611"/>
      <c r="D27" s="2612"/>
      <c r="E27" s="2859"/>
      <c r="F27" s="2859"/>
      <c r="G27" s="2859"/>
      <c r="H27" s="2859"/>
      <c r="I27" s="2859"/>
      <c r="J27" s="2634"/>
      <c r="K27" s="2812"/>
      <c r="L27" s="2646"/>
      <c r="M27" s="2646"/>
      <c r="N27" s="2703"/>
      <c r="O27" s="2646"/>
      <c r="P27" s="2703"/>
      <c r="Q27" s="2634"/>
      <c r="R27" s="2634"/>
      <c r="S27" s="2634"/>
      <c r="T27" s="2634"/>
      <c r="U27" s="2634"/>
      <c r="V27" s="2634"/>
    </row>
    <row r="28" spans="1:28">
      <c r="A28" s="3354"/>
      <c r="B28" s="308" t="s">
        <v>2899</v>
      </c>
      <c r="C28" s="2613"/>
      <c r="D28" s="2614"/>
      <c r="E28" s="2859"/>
      <c r="F28" s="2859"/>
      <c r="G28" s="2859"/>
      <c r="H28" s="2859"/>
      <c r="I28" s="2859"/>
      <c r="J28" s="2634"/>
      <c r="K28" s="2810"/>
      <c r="L28" s="2807"/>
      <c r="M28" s="2807"/>
      <c r="N28" s="2634"/>
      <c r="O28" s="2645"/>
      <c r="P28" s="2634"/>
      <c r="Q28" s="2634"/>
      <c r="R28" s="2634"/>
      <c r="S28" s="2634"/>
      <c r="T28" s="2634"/>
      <c r="U28" s="2634"/>
      <c r="V28" s="2634"/>
    </row>
    <row r="29" spans="1:28">
      <c r="A29" s="3354"/>
      <c r="B29" s="308" t="s">
        <v>2900</v>
      </c>
      <c r="C29" s="2615"/>
      <c r="D29" s="2616"/>
      <c r="E29" s="2859"/>
      <c r="F29" s="2859"/>
      <c r="G29" s="2859"/>
      <c r="H29" s="2859"/>
      <c r="I29" s="2859"/>
      <c r="J29" s="2634"/>
      <c r="K29" s="2810"/>
      <c r="L29" s="2807"/>
      <c r="M29" s="2807"/>
      <c r="N29" s="2634"/>
      <c r="O29" s="2645"/>
      <c r="P29" s="2634"/>
      <c r="Q29" s="2634"/>
      <c r="R29" s="2634"/>
      <c r="S29" s="2634"/>
      <c r="T29" s="2634"/>
      <c r="U29" s="2634"/>
      <c r="V29" s="2634"/>
    </row>
    <row r="30" spans="1:28">
      <c r="A30" s="3355"/>
      <c r="B30" s="308" t="s">
        <v>2901</v>
      </c>
      <c r="C30" s="3356"/>
      <c r="D30" s="3357"/>
      <c r="E30" s="2859"/>
      <c r="F30" s="2859"/>
      <c r="G30" s="2859"/>
      <c r="H30" s="2859"/>
      <c r="I30" s="2859"/>
      <c r="J30" s="2634"/>
      <c r="K30" s="2810"/>
      <c r="L30" s="2807"/>
      <c r="M30" s="2807"/>
      <c r="N30" s="2634"/>
      <c r="O30" s="2645"/>
      <c r="P30" s="2634"/>
      <c r="Q30" s="2634"/>
      <c r="R30" s="2634"/>
      <c r="S30" s="2634"/>
      <c r="T30" s="2634"/>
      <c r="U30" s="2634"/>
      <c r="V30" s="2634"/>
    </row>
    <row r="31" spans="1:28">
      <c r="A31" s="3358" t="s">
        <v>2902</v>
      </c>
      <c r="B31" s="2617"/>
      <c r="C31" s="2515" t="str">
        <f>IF(B31="现房","成新及维护状况正常否",IF(B31="在建","工程状态是否正常",IF(B31="土地","是否闲置","-")))</f>
        <v>-</v>
      </c>
      <c r="D31" s="1526"/>
      <c r="E31" s="2618"/>
      <c r="F31" s="2859"/>
      <c r="G31" s="2859"/>
      <c r="H31" s="2859"/>
      <c r="I31" s="2859"/>
      <c r="J31" s="2634"/>
      <c r="K31" s="2809"/>
      <c r="L31" s="2807"/>
      <c r="M31" s="2807"/>
      <c r="N31" s="2634"/>
      <c r="O31" s="2645"/>
      <c r="P31" s="2634"/>
      <c r="Q31" s="2634"/>
      <c r="R31" s="2634"/>
      <c r="S31" s="2634"/>
      <c r="T31" s="2634"/>
      <c r="U31" s="2634"/>
      <c r="V31" s="2634"/>
    </row>
    <row r="32" spans="1:28">
      <c r="A32" s="3359"/>
      <c r="B32" s="2617"/>
      <c r="C32" s="2515" t="str">
        <f>IF(B32="现房","成新及维护状况是否正常",IF(B32="在建","工程状态是否正常",IF(B32="土地","是否闲置","-")))</f>
        <v>-</v>
      </c>
      <c r="D32" s="1526"/>
      <c r="E32" s="2618"/>
      <c r="F32" s="2859"/>
      <c r="G32" s="2859"/>
      <c r="H32" s="2859"/>
      <c r="I32" s="2859"/>
      <c r="J32" s="2634"/>
      <c r="K32" s="2810"/>
      <c r="L32" s="2807"/>
      <c r="M32" s="2807"/>
      <c r="N32" s="2634"/>
      <c r="O32" s="2645"/>
      <c r="P32" s="2634"/>
      <c r="Q32" s="2634"/>
      <c r="R32" s="2634"/>
      <c r="S32" s="2634"/>
      <c r="T32" s="2634"/>
      <c r="U32" s="2634"/>
      <c r="V32" s="2634"/>
    </row>
    <row r="33" spans="1:30">
      <c r="A33" s="3359"/>
      <c r="B33" s="2620"/>
      <c r="C33" s="1744" t="str">
        <f>IF(B33="现房","成新及维护状况是否正常",IF(B33="在建","工程状态是否正常",IF(B33="土地","是否闲置","-")))</f>
        <v>-</v>
      </c>
      <c r="D33" s="1518"/>
      <c r="E33" s="2621"/>
      <c r="F33" s="2859"/>
      <c r="G33" s="2859"/>
      <c r="H33" s="2859"/>
      <c r="I33" s="2859"/>
      <c r="J33" s="2634"/>
      <c r="K33" s="2810"/>
      <c r="L33" s="2807"/>
      <c r="M33" s="2807"/>
      <c r="N33" s="2634"/>
      <c r="O33" s="2645"/>
      <c r="P33" s="2634"/>
      <c r="Q33" s="2634"/>
      <c r="R33" s="2634"/>
      <c r="S33" s="2634"/>
      <c r="T33" s="2634"/>
      <c r="U33" s="2634"/>
      <c r="V33" s="2634"/>
    </row>
    <row r="34" spans="1:30">
      <c r="A34" s="308" t="s">
        <v>2903</v>
      </c>
      <c r="B34" s="2183"/>
      <c r="C34" s="2183"/>
      <c r="D34" s="2183"/>
      <c r="E34" s="2183"/>
      <c r="F34" s="2183"/>
      <c r="G34" s="2183"/>
      <c r="H34" s="2183"/>
      <c r="I34" s="2859"/>
      <c r="J34" s="2634"/>
      <c r="K34" s="2622">
        <f>COUNTIF(B34:H34,"——")</f>
        <v>0</v>
      </c>
      <c r="L34" s="329" t="s">
        <v>2904</v>
      </c>
      <c r="M34" s="329" t="s">
        <v>2905</v>
      </c>
      <c r="N34" s="329" t="s">
        <v>2906</v>
      </c>
      <c r="O34" s="329" t="s">
        <v>2907</v>
      </c>
      <c r="P34" s="329" t="s">
        <v>2908</v>
      </c>
      <c r="Q34" s="329" t="s">
        <v>2909</v>
      </c>
      <c r="R34" s="329" t="s">
        <v>2910</v>
      </c>
      <c r="S34" s="3353" t="s">
        <v>2911</v>
      </c>
      <c r="T34" s="2623" t="str">
        <f>NUMBERSTRING(7-K34,1)&amp;"通"</f>
        <v>七通</v>
      </c>
      <c r="U34" s="2634"/>
      <c r="V34" s="2634"/>
    </row>
    <row r="35" spans="1:30">
      <c r="A35" s="2624"/>
      <c r="B35" s="3360" t="s">
        <v>2912</v>
      </c>
      <c r="C35" s="3360"/>
      <c r="D35" s="3360"/>
      <c r="E35" s="3360"/>
      <c r="F35" s="673">
        <f>C10</f>
        <v>0</v>
      </c>
      <c r="G35" s="2859"/>
      <c r="H35" s="2859"/>
      <c r="I35" s="2859"/>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53"/>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5"/>
      <c r="G36" s="2859"/>
      <c r="H36" s="2859"/>
      <c r="I36" s="2859"/>
      <c r="J36" s="2634"/>
      <c r="K36" s="2810"/>
      <c r="L36" s="2807"/>
      <c r="M36" s="2807"/>
      <c r="N36" s="2634"/>
      <c r="O36" s="2645"/>
      <c r="P36" s="2634"/>
      <c r="Q36" s="2634"/>
      <c r="R36" s="2634"/>
      <c r="S36" s="2634"/>
      <c r="T36" s="2634"/>
      <c r="U36" s="2634"/>
      <c r="V36" s="2634"/>
    </row>
    <row r="37" spans="1:30">
      <c r="A37" s="2825" t="s">
        <v>2913</v>
      </c>
      <c r="B37" s="2626"/>
      <c r="C37" s="2626"/>
      <c r="D37" s="2626"/>
      <c r="E37" s="2626" t="s">
        <v>534</v>
      </c>
      <c r="F37" s="2865"/>
      <c r="G37" s="2859"/>
      <c r="H37" s="2859"/>
      <c r="I37" s="2859"/>
      <c r="J37" s="2634"/>
      <c r="K37" s="2810"/>
      <c r="L37" s="2807"/>
      <c r="M37" s="2807"/>
      <c r="N37" s="2634"/>
      <c r="O37" s="2645"/>
      <c r="P37" s="2634"/>
      <c r="Q37" s="2634"/>
      <c r="R37" s="2634"/>
      <c r="S37" s="2634"/>
      <c r="T37" s="2634"/>
      <c r="U37" s="2634"/>
      <c r="V37" s="2634"/>
    </row>
    <row r="38" spans="1:30" ht="13.5" thickBot="1">
      <c r="A38" s="2826" t="s">
        <v>2914</v>
      </c>
      <c r="B38" s="2627"/>
      <c r="C38" s="2627"/>
      <c r="D38" s="2627"/>
      <c r="E38" s="2627" t="s">
        <v>3130</v>
      </c>
      <c r="F38" s="2866"/>
      <c r="G38" s="2860"/>
      <c r="H38" s="2860"/>
      <c r="I38" s="2860"/>
      <c r="J38" s="2634"/>
      <c r="K38" s="2810"/>
      <c r="L38" s="2807"/>
      <c r="M38" s="2807"/>
      <c r="N38" s="2634"/>
      <c r="O38" s="2645"/>
      <c r="P38" s="2634"/>
      <c r="Q38" s="2634"/>
      <c r="R38" s="2634"/>
      <c r="S38" s="2634"/>
      <c r="T38" s="2634"/>
      <c r="U38" s="2634"/>
      <c r="V38" s="2634"/>
    </row>
    <row r="39" spans="1:30" s="2630" customFormat="1" ht="14.25" thickTop="1" thickBot="1">
      <c r="A39" s="2628" t="s">
        <v>2915</v>
      </c>
      <c r="B39" s="2629"/>
      <c r="C39" s="2629"/>
      <c r="D39" s="2629"/>
      <c r="E39" s="2629"/>
      <c r="F39" s="2629"/>
      <c r="G39" s="2629"/>
      <c r="H39" s="2629"/>
      <c r="I39" s="2629"/>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3"/>
      <c r="B40" s="2563"/>
      <c r="C40" s="2563"/>
      <c r="D40" s="2563"/>
      <c r="E40" s="2563"/>
      <c r="F40" s="2563"/>
      <c r="G40" s="2563"/>
      <c r="H40" s="2563"/>
      <c r="I40" s="1732"/>
      <c r="J40" s="2703"/>
      <c r="K40" s="2809"/>
      <c r="L40" s="2646"/>
      <c r="M40" s="2646"/>
      <c r="N40" s="2703"/>
      <c r="O40" s="2646"/>
      <c r="P40" s="2634"/>
      <c r="Q40" s="2634"/>
      <c r="R40" s="2634"/>
      <c r="S40" s="2634"/>
      <c r="T40" s="2634"/>
      <c r="U40" s="2634"/>
      <c r="V40" s="2634"/>
    </row>
    <row r="41" spans="1:30">
      <c r="A41" s="2631" t="s">
        <v>2916</v>
      </c>
      <c r="B41" s="1912"/>
      <c r="C41" s="1526"/>
      <c r="D41" s="2563"/>
      <c r="E41" s="2563"/>
      <c r="F41" s="2563"/>
      <c r="G41" s="2563"/>
      <c r="H41" s="2563"/>
      <c r="I41" s="1730"/>
      <c r="J41" s="2634"/>
      <c r="K41" s="2810"/>
      <c r="L41" s="2807"/>
      <c r="M41" s="2807"/>
      <c r="N41" s="2634"/>
      <c r="O41" s="2645"/>
      <c r="P41" s="2634"/>
      <c r="Q41" s="2634"/>
      <c r="R41" s="2634"/>
      <c r="S41" s="2634"/>
      <c r="T41" s="2634"/>
      <c r="U41" s="2634"/>
      <c r="V41" s="2634"/>
    </row>
    <row r="42" spans="1:30" ht="25.5">
      <c r="A42" s="329" t="s">
        <v>2917</v>
      </c>
      <c r="B42" s="11" t="s">
        <v>2918</v>
      </c>
      <c r="C42" s="11" t="s">
        <v>2919</v>
      </c>
      <c r="D42" s="11" t="s">
        <v>2920</v>
      </c>
      <c r="E42" s="11" t="s">
        <v>2921</v>
      </c>
      <c r="F42" s="11" t="s">
        <v>2922</v>
      </c>
      <c r="G42" s="11" t="s">
        <v>2923</v>
      </c>
      <c r="H42" s="11" t="s">
        <v>2924</v>
      </c>
      <c r="I42" s="11" t="s">
        <v>2925</v>
      </c>
      <c r="J42" s="2821" t="s">
        <v>2926</v>
      </c>
      <c r="K42" s="2822" t="s">
        <v>2927</v>
      </c>
      <c r="L42" s="2822" t="s">
        <v>2928</v>
      </c>
      <c r="M42" s="2822" t="s">
        <v>2929</v>
      </c>
      <c r="N42" s="2815" t="s">
        <v>2930</v>
      </c>
      <c r="O42" s="2815" t="s">
        <v>2931</v>
      </c>
      <c r="P42" s="2815" t="s">
        <v>2932</v>
      </c>
      <c r="Q42" s="2816" t="s">
        <v>2933</v>
      </c>
      <c r="R42" s="2816" t="s">
        <v>2934</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19466.48</v>
      </c>
      <c r="B3" s="14">
        <f>IF(C3="否",G5-AT5,G5)</f>
        <v>4052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4052</v>
      </c>
      <c r="H5" s="16">
        <f t="shared" ref="H5:AT5" si="0">SUM(H13:H656)</f>
        <v>4052</v>
      </c>
      <c r="I5" s="16">
        <f t="shared" si="0"/>
        <v>4052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4052</v>
      </c>
      <c r="BA5" s="18">
        <f t="shared" si="1"/>
        <v>4052</v>
      </c>
      <c r="BB5" s="18">
        <f t="shared" si="1"/>
        <v>4052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19466.48</v>
      </c>
      <c r="F6" s="16" t="s">
        <v>1</v>
      </c>
      <c r="G6" s="16" t="s">
        <v>2</v>
      </c>
      <c r="H6" s="20">
        <f>SUMIF(I$12:AB$12,"总值",I6:AB6)</f>
        <v>19466.48</v>
      </c>
      <c r="I6" s="16">
        <f t="shared" ref="I6:AB6" si="2">ROUND($A$3*I5/$B$3,2)</f>
        <v>19466.48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19466.48</v>
      </c>
      <c r="AZ6" s="16" t="s">
        <v>3</v>
      </c>
      <c r="BA6" s="16">
        <f>ROUND($AY$6*BA5/$AZ$5,2)</f>
        <v>19466.48</v>
      </c>
      <c r="BB6" s="16">
        <f>ROUND($AY$6*BB5/$AZ$5,2)</f>
        <v>19466.48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3131</v>
      </c>
      <c r="J9" s="918"/>
      <c r="K9" s="1757"/>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f>K9</f>
        <v>0</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f>K10</f>
        <v>0</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c r="D13" s="1779" t="s">
        <v>3132</v>
      </c>
      <c r="E13" s="16">
        <f>IF($C$3="是",ROUND($A$3*G13/$B$3,2),ROUND($A$3*(G13-AT13)/$B$3,2))</f>
        <v>19466.48</v>
      </c>
      <c r="F13" s="32"/>
      <c r="G13" s="33">
        <f>H13+AC13+AT13</f>
        <v>4052</v>
      </c>
      <c r="H13" s="20">
        <f>SUMIF(I$12:AB$12,"总值",I13:AB13)</f>
        <v>4052</v>
      </c>
      <c r="I13" s="1780">
        <v>4052</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19466.48</v>
      </c>
      <c r="AZ13" s="16">
        <f>BA13+BL13</f>
        <v>4052</v>
      </c>
      <c r="BA13" s="16">
        <f>SUM(BB13:BK13)</f>
        <v>4052</v>
      </c>
      <c r="BB13" s="16">
        <f>IF($D13="是",I13-J13,0)</f>
        <v>4052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1" t="s">
        <v>0</v>
      </c>
      <c r="B1" s="3361" t="s">
        <v>4</v>
      </c>
      <c r="C1" s="3361" t="s">
        <v>5</v>
      </c>
      <c r="D1" s="3362" t="s">
        <v>53</v>
      </c>
      <c r="E1" s="3362" t="s">
        <v>54</v>
      </c>
      <c r="F1" s="3362"/>
      <c r="G1" s="3362"/>
      <c r="H1" s="3362"/>
      <c r="I1" s="3362"/>
      <c r="J1" s="3362"/>
      <c r="K1" s="3362"/>
      <c r="L1" s="3362"/>
      <c r="M1" s="3362"/>
    </row>
    <row r="2" spans="1:13" ht="27" customHeight="1">
      <c r="A2" s="3361"/>
      <c r="B2" s="3361"/>
      <c r="C2" s="3361"/>
      <c r="D2" s="3362"/>
      <c r="E2" s="3362" t="s">
        <v>37</v>
      </c>
      <c r="F2" s="3362" t="s">
        <v>38</v>
      </c>
      <c r="G2" s="3362"/>
      <c r="H2" s="3362"/>
      <c r="I2" s="3362"/>
      <c r="J2" s="3362" t="s">
        <v>39</v>
      </c>
      <c r="K2" s="3362"/>
      <c r="L2" s="3362"/>
      <c r="M2" s="3362"/>
    </row>
    <row r="3" spans="1:13" ht="28.5">
      <c r="A3" s="3361"/>
      <c r="B3" s="3361"/>
      <c r="C3" s="3361"/>
      <c r="D3" s="3362"/>
      <c r="E3" s="33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2" t="s">
        <v>55</v>
      </c>
      <c r="B9" s="3362"/>
      <c r="C9" s="33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4"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72" t="s">
        <v>1757</v>
      </c>
      <c r="B2" s="3372"/>
      <c r="C2" s="3372"/>
      <c r="D2" s="904" t="s">
        <v>1733</v>
      </c>
      <c r="E2" s="1793" t="s">
        <v>1734</v>
      </c>
      <c r="F2" s="2854"/>
      <c r="G2" s="2845"/>
      <c r="H2" s="2846"/>
      <c r="I2" s="2517" t="s">
        <v>1758</v>
      </c>
      <c r="J2" s="2854"/>
      <c r="K2" s="2854"/>
      <c r="L2" s="2854"/>
      <c r="M2" s="2854"/>
      <c r="N2" s="2856"/>
      <c r="O2" s="2854"/>
      <c r="P2" s="2854"/>
    </row>
    <row r="3" spans="1:16" ht="15.75" thickBot="1">
      <c r="A3" s="3373" t="s">
        <v>1731</v>
      </c>
      <c r="B3" s="3373"/>
      <c r="C3" s="3373"/>
      <c r="D3" s="46">
        <f>'数据-基础表'!AY6</f>
        <v>19466.48</v>
      </c>
      <c r="E3" s="46">
        <f>'数据-基础表'!AZ5</f>
        <v>4052</v>
      </c>
      <c r="F3" s="2854"/>
      <c r="G3" s="1279"/>
      <c r="H3" s="1157" t="s">
        <v>1732</v>
      </c>
      <c r="I3" s="964">
        <f>ROUND('数据-基础表'!B3/'数据-基础表'!A3,2)</f>
        <v>0.21</v>
      </c>
      <c r="J3" s="2854"/>
      <c r="K3" s="2854"/>
      <c r="L3" s="2854"/>
      <c r="M3" s="2854"/>
      <c r="N3" s="2856"/>
      <c r="O3" s="2854"/>
      <c r="P3" s="2854"/>
    </row>
    <row r="4" spans="1:16" ht="15">
      <c r="A4" s="3374"/>
      <c r="B4" s="3375"/>
      <c r="C4" s="3376"/>
      <c r="D4" s="1795" t="s">
        <v>1733</v>
      </c>
      <c r="E4" s="1796" t="s">
        <v>1734</v>
      </c>
      <c r="F4" s="2854"/>
      <c r="G4" s="2847" t="s">
        <v>1759</v>
      </c>
      <c r="H4" s="1157" t="s">
        <v>1739</v>
      </c>
      <c r="I4" s="964">
        <f>ROUND(SUMIF('数据-基础表'!I9:AS9,"地上",'数据-基础表'!I5:AS5)/'数据-基础表'!A3,2)</f>
        <v>0.21</v>
      </c>
      <c r="J4" s="2854"/>
      <c r="K4" s="2854"/>
      <c r="L4" s="2854"/>
      <c r="M4" s="2854"/>
      <c r="N4" s="2856"/>
      <c r="O4" s="2854"/>
      <c r="P4" s="2854"/>
    </row>
    <row r="5" spans="1:16">
      <c r="A5" s="47" t="s">
        <v>1735</v>
      </c>
      <c r="B5" s="3377" t="s">
        <v>1736</v>
      </c>
      <c r="C5" s="3377"/>
      <c r="D5" s="48">
        <f>ROUND($D$3*E5/$E$3,2)</f>
        <v>0</v>
      </c>
      <c r="E5" s="49">
        <f>SUMIF('数据-基础表'!$11:$11,"住宅",'数据-基础表'!$5:$5)</f>
        <v>0</v>
      </c>
      <c r="F5" s="2854"/>
      <c r="G5" s="1279"/>
      <c r="H5" s="1157" t="s">
        <v>1732</v>
      </c>
      <c r="I5" s="964">
        <f>ROUND(E31/D31,2)</f>
        <v>0.21</v>
      </c>
      <c r="J5" s="2854"/>
      <c r="K5" s="2854"/>
      <c r="L5" s="2854"/>
      <c r="M5" s="2854"/>
      <c r="N5" s="2854"/>
      <c r="O5" s="2854"/>
      <c r="P5" s="2854"/>
    </row>
    <row r="6" spans="1:16" ht="15" thickBot="1">
      <c r="A6" s="1798"/>
      <c r="B6" s="3377" t="s">
        <v>1737</v>
      </c>
      <c r="C6" s="3377"/>
      <c r="D6" s="48">
        <f>ROUND($D$3*E6/$E$3,2)</f>
        <v>19466.48</v>
      </c>
      <c r="E6" s="49">
        <f>E3-E5</f>
        <v>4052</v>
      </c>
      <c r="F6" s="2854"/>
      <c r="G6" s="2848" t="s">
        <v>1738</v>
      </c>
      <c r="H6" s="1280" t="s">
        <v>1739</v>
      </c>
      <c r="I6" s="2849">
        <f>ROUND(F31/D31,2)</f>
        <v>0.21</v>
      </c>
      <c r="J6" s="2854"/>
      <c r="K6" s="2854"/>
      <c r="L6" s="2854"/>
      <c r="M6" s="2854"/>
      <c r="N6" s="2854"/>
      <c r="O6" s="2854"/>
      <c r="P6" s="2854"/>
    </row>
    <row r="7" spans="1:16" ht="15.75" thickBot="1">
      <c r="A7" s="3369"/>
      <c r="B7" s="3370"/>
      <c r="C7" s="3371"/>
      <c r="D7" s="1795" t="s">
        <v>1733</v>
      </c>
      <c r="E7" s="1799" t="s">
        <v>1740</v>
      </c>
      <c r="F7" s="2854"/>
      <c r="G7" s="2850" t="s">
        <v>1741</v>
      </c>
      <c r="H7" s="2851"/>
      <c r="I7" s="2852">
        <v>1.2</v>
      </c>
      <c r="J7" s="2854"/>
      <c r="K7" s="2854"/>
      <c r="L7" s="2854"/>
      <c r="M7" s="2854"/>
      <c r="N7" s="2854"/>
      <c r="O7" s="2854"/>
      <c r="P7" s="2854"/>
    </row>
    <row r="8" spans="1:16">
      <c r="A8" s="47" t="s">
        <v>1742</v>
      </c>
      <c r="B8" s="50" t="s">
        <v>1743</v>
      </c>
      <c r="C8" s="48" t="s">
        <v>1744</v>
      </c>
      <c r="D8" s="48">
        <f t="shared" ref="D8:D15" si="0">ROUND($D$3*E8/$E$3,2)</f>
        <v>19466.48</v>
      </c>
      <c r="E8" s="51">
        <f>SUMIF('数据-基础表'!BB10:BK10,"地上",'数据-基础表'!BB5:BK5)</f>
        <v>4052</v>
      </c>
      <c r="F8" s="2854"/>
      <c r="G8" s="2855"/>
      <c r="H8" s="2855"/>
      <c r="I8" s="2854"/>
      <c r="J8" s="2854"/>
      <c r="K8" s="2854"/>
      <c r="L8" s="2854"/>
      <c r="M8" s="2854"/>
      <c r="N8" s="2854"/>
      <c r="O8" s="2854"/>
      <c r="P8" s="2854"/>
    </row>
    <row r="9" spans="1:16">
      <c r="A9" s="1800"/>
      <c r="B9" s="1801"/>
      <c r="C9" s="48" t="s">
        <v>1745</v>
      </c>
      <c r="D9" s="48">
        <f t="shared" si="0"/>
        <v>0</v>
      </c>
      <c r="E9" s="52">
        <v>0</v>
      </c>
      <c r="F9" s="2854"/>
      <c r="G9" s="2855"/>
      <c r="H9" s="2855"/>
      <c r="I9" s="2854"/>
      <c r="J9" s="2854"/>
      <c r="K9" s="2854"/>
      <c r="L9" s="2854"/>
      <c r="M9" s="2854"/>
      <c r="N9" s="2854"/>
      <c r="O9" s="2854"/>
      <c r="P9" s="2854"/>
    </row>
    <row r="10" spans="1:16">
      <c r="A10" s="1800"/>
      <c r="B10" s="1801"/>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0"/>
      <c r="B11" s="1801"/>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0"/>
      <c r="B12" s="1801"/>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0"/>
      <c r="B13" s="1801"/>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0"/>
      <c r="B14" s="1801"/>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0"/>
      <c r="B15" s="1801"/>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8"/>
      <c r="B16" s="1801"/>
      <c r="C16" s="50" t="s">
        <v>1749</v>
      </c>
      <c r="D16" s="50">
        <f>SUM(D8:D15)</f>
        <v>19466.48</v>
      </c>
      <c r="E16" s="53">
        <f>SUM(E8:E15)</f>
        <v>4052</v>
      </c>
      <c r="F16" s="2854"/>
      <c r="G16" s="2855"/>
      <c r="H16" s="1802" t="s">
        <v>1761</v>
      </c>
      <c r="I16" s="1803"/>
      <c r="J16" s="1273"/>
      <c r="K16" s="3366" t="s">
        <v>1761</v>
      </c>
      <c r="L16" s="3367"/>
      <c r="M16" s="3367"/>
      <c r="N16" s="3367"/>
      <c r="O16" s="3367"/>
      <c r="P16" s="3368"/>
    </row>
    <row r="17" spans="1:19" ht="15">
      <c r="A17" s="1804" t="s">
        <v>1762</v>
      </c>
      <c r="B17" s="1805" t="s">
        <v>1763</v>
      </c>
      <c r="C17" s="1806" t="s">
        <v>1764</v>
      </c>
      <c r="D17" s="1807" t="s">
        <v>1752</v>
      </c>
      <c r="E17" s="1808" t="s">
        <v>1753</v>
      </c>
      <c r="F17" s="1809"/>
      <c r="G17" s="1810"/>
      <c r="H17" s="1811" t="s">
        <v>1765</v>
      </c>
      <c r="I17" s="1812" t="s">
        <v>1750</v>
      </c>
      <c r="J17" s="1273"/>
      <c r="K17" s="3363" t="s">
        <v>1766</v>
      </c>
      <c r="L17" s="3364"/>
      <c r="M17" s="3365"/>
      <c r="N17" s="3363" t="s">
        <v>1767</v>
      </c>
      <c r="O17" s="3364"/>
      <c r="P17" s="3365"/>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5" t="s">
        <v>3133</v>
      </c>
      <c r="D19" s="48">
        <f>ROUND($D$3*E19/$E$3,2)</f>
        <v>19466.48</v>
      </c>
      <c r="E19" s="56">
        <f t="shared" ref="E19:E26" si="1">SUM(F19:G19)</f>
        <v>4052</v>
      </c>
      <c r="F19" s="2994">
        <f>'数据-基础表'!I13</f>
        <v>4052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3"/>
      <c r="O19" s="1824"/>
      <c r="P19" s="1284">
        <f>N19+O19</f>
        <v>0</v>
      </c>
      <c r="R19" s="1157">
        <f t="shared" ref="R19:S26" si="5">D19+H19</f>
        <v>19466.48</v>
      </c>
      <c r="S19" s="1158">
        <f t="shared" si="5"/>
        <v>4052</v>
      </c>
    </row>
    <row r="20" spans="1:19">
      <c r="A20" s="1825"/>
      <c r="B20" s="50" t="s">
        <v>1779</v>
      </c>
      <c r="C20" s="1822"/>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4"/>
      <c r="G21" s="2995"/>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19466.48</v>
      </c>
      <c r="E27" s="1275">
        <f>IF(SUM(E19:E26)='数据-基础表'!BA5,SUM(E19:E26),IF(F27="地上面积有误","面积有误","地下面积有误"))</f>
        <v>4052</v>
      </c>
      <c r="F27" s="1274">
        <f>IF(SUM(F19:F26)=E8,SUM(F19:F26),"地上面积有误")</f>
        <v>4052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19466.48</v>
      </c>
      <c r="S27" s="1157">
        <f>IF(SUM(S19:S26)=$E$3,SUM(S19:S26),SUM(S19:S26)&amp;"误差"&amp;ROUND(SUM(S19:S26)-E3,2))</f>
        <v>4052</v>
      </c>
    </row>
    <row r="28" spans="1:19">
      <c r="A28" s="1825"/>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5"/>
      <c r="B29" s="50" t="s">
        <v>1781</v>
      </c>
      <c r="C29" s="1829"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5"/>
      <c r="B30" s="50"/>
      <c r="C30" s="1830"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1"/>
      <c r="B31" s="1832"/>
      <c r="C31" s="944" t="s">
        <v>1784</v>
      </c>
      <c r="D31" s="685">
        <f>D27+D30</f>
        <v>19466.48</v>
      </c>
      <c r="E31" s="685">
        <f>E27+E30</f>
        <v>4052</v>
      </c>
      <c r="F31" s="686">
        <f>F27+F30</f>
        <v>4052</v>
      </c>
      <c r="G31" s="687">
        <f>G27+G30</f>
        <v>0</v>
      </c>
      <c r="H31" s="2854"/>
      <c r="I31" s="2854"/>
      <c r="J31" s="2854"/>
      <c r="K31" s="2854"/>
      <c r="L31" s="2854"/>
      <c r="M31" s="2854"/>
      <c r="N31" s="2854"/>
      <c r="O31" s="2854"/>
      <c r="P31" s="2854"/>
    </row>
    <row r="32" spans="1:19">
      <c r="A32" s="1797"/>
      <c r="B32" s="1797" t="s">
        <v>1785</v>
      </c>
      <c r="C32" s="1797"/>
      <c r="D32" s="1797"/>
      <c r="E32" s="1184">
        <f>SUMIF(C19:C26,"*住宅*",E19:E26)</f>
        <v>0</v>
      </c>
      <c r="F32" s="1797"/>
      <c r="G32" s="1797"/>
      <c r="H32" s="2854"/>
      <c r="I32" s="2854"/>
      <c r="J32" s="2854"/>
      <c r="K32" s="2854"/>
      <c r="L32" s="2854"/>
      <c r="M32" s="2854"/>
      <c r="N32" s="2854"/>
      <c r="O32" s="2854"/>
      <c r="P32" s="2854"/>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8"/>
      <c r="AO1" s="2868"/>
      <c r="AP1" s="2868"/>
      <c r="AQ1" s="2868"/>
      <c r="AR1" s="2868"/>
    </row>
    <row r="2" spans="1:67" s="1713" customFormat="1" ht="15.75" thickBot="1">
      <c r="A2" s="1838" t="s">
        <v>1787</v>
      </c>
      <c r="B2" s="1176">
        <f>项目基本情况!D3</f>
        <v>44607</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0"/>
      <c r="AO2" s="2870"/>
      <c r="AP2" s="2870"/>
      <c r="AQ2" s="2870"/>
      <c r="AR2" s="2870"/>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0"/>
      <c r="AO3" s="2870"/>
      <c r="AP3" s="2870"/>
      <c r="AQ3" s="2870"/>
      <c r="AR3" s="2870"/>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3"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0"/>
      <c r="AO4" s="2870"/>
      <c r="AP4" s="2870"/>
      <c r="AQ4" s="2870"/>
      <c r="AR4" s="2870"/>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3134</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55474</v>
      </c>
      <c r="F6" s="68">
        <f>SUMIF(项目基本情况!D$12:I$12,C6,项目基本情况!D$15:I$15)</f>
        <v>29.77</v>
      </c>
      <c r="G6" s="69">
        <f>IF(ISERROR(ROUND(POWER(1+H6,D6-F6)*(POWER(1+H6,F6)-1)/(POWER(1+H6,D6)-1),3)),0,ROUND(POWER(1+H6,D6-F6)*(POWER(1+H6,F6)-1)/(POWER(1+H6,D6)-1),3))</f>
        <v>0.83899999999999997</v>
      </c>
      <c r="H6" s="741">
        <v>0.05</v>
      </c>
      <c r="I6" s="741">
        <v>5.5E-2</v>
      </c>
      <c r="J6" s="70">
        <v>7.0000000000000007E-2</v>
      </c>
      <c r="K6" s="1161">
        <f>SUMIF('数据-汇总表'!C$19:C$33,A6,'数据-汇总表'!E$19:E$33)</f>
        <v>4052</v>
      </c>
      <c r="L6" s="742">
        <v>2500</v>
      </c>
      <c r="M6" s="71">
        <f t="shared" ref="M6:M14" si="0">ROUND(K6*L6/10000,0)</f>
        <v>1013</v>
      </c>
      <c r="N6" s="740">
        <f>ROUND(1-(1-2%)*(2022-2005)/70,2)</f>
        <v>0.76</v>
      </c>
      <c r="O6" s="71" t="str">
        <f>IF($N$5="成新度","——",ROUND(M6*N6,0))</f>
        <v>——</v>
      </c>
      <c r="P6" s="72" t="str">
        <f>IF($N$5="成新度","——",M6-O6)</f>
        <v>——</v>
      </c>
      <c r="Q6" s="3234">
        <v>0.05</v>
      </c>
      <c r="R6" s="73">
        <f ca="1">SUMIF('数据-汇总表'!C$19:C$33,A6,'数据-汇总表'!R$19:R$27)</f>
        <v>19466.48</v>
      </c>
      <c r="S6" s="54">
        <f>IF('数据-汇总表'!$I$17="按面积比例",SUMIF('数据-汇总表'!C$19:C$33,A6,'数据-汇总表'!K$19:K$33),SUMIF('数据-汇总表'!C$19:C$33,A6,'数据-汇总表'!N$19:N$33))</f>
        <v>0</v>
      </c>
      <c r="T6" s="1306">
        <f>ROUND($L$14*S6/10000,0)</f>
        <v>0</v>
      </c>
      <c r="U6" s="74">
        <v>2.15</v>
      </c>
      <c r="V6" s="75">
        <v>1.4999999999999999E-2</v>
      </c>
      <c r="W6" s="75">
        <v>0.1</v>
      </c>
      <c r="X6" s="1171"/>
      <c r="Y6" s="76">
        <f>N6</f>
        <v>0.76</v>
      </c>
      <c r="Z6" s="77"/>
      <c r="AA6" s="70"/>
      <c r="AB6" s="70"/>
      <c r="AC6" s="1171"/>
      <c r="AD6" s="78"/>
      <c r="AE6" s="1172">
        <f ca="1">IF(AN6="",0,SUMIF(INDIRECT("'"&amp;AN6&amp;"'"&amp;"!E:E"),$AE$5,INDIRECT("'"&amp;AN6&amp;"'"&amp;"!F:F")))</f>
        <v>29.77</v>
      </c>
      <c r="AF6" s="1501"/>
      <c r="AG6" s="143">
        <f>IF(AF6="",0,AE6-AF6)</f>
        <v>0</v>
      </c>
      <c r="AH6" s="79"/>
      <c r="AI6" s="81">
        <v>365</v>
      </c>
      <c r="AJ6" s="82"/>
      <c r="AK6" s="83">
        <v>1.4999999999999999E-2</v>
      </c>
      <c r="AL6" s="84">
        <v>1.5E-3</v>
      </c>
      <c r="AM6" s="85">
        <v>0.01</v>
      </c>
      <c r="AN6" s="1870" t="s">
        <v>3135</v>
      </c>
      <c r="AO6" s="55">
        <f ca="1">SUMIF(INDIRECT("'"&amp;AN6&amp;"'"&amp;"!A:A"),"总价",INDIRECT("'"&amp;AN6&amp;"'"&amp;"!B:B"))</f>
        <v>3606</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8"/>
      <c r="AO14" s="2870"/>
      <c r="AP14" s="2870"/>
      <c r="AQ14" s="2870"/>
      <c r="AR14" s="2870"/>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8"/>
      <c r="AO15" s="2870"/>
      <c r="AP15" s="2870"/>
      <c r="AQ15" s="2870"/>
      <c r="AR15" s="2870"/>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0.83899999999999997</v>
      </c>
      <c r="H16" s="95">
        <f>ROUND(SUMPRODUCT(H6:H13,K6:K13)/SUMPRODUCT((H6:H13&gt;0)*(K6:K13)),3)</f>
        <v>0.05</v>
      </c>
      <c r="I16" s="96"/>
      <c r="J16" s="96"/>
      <c r="K16" s="97">
        <f>SUM(K6:K15)</f>
        <v>4052</v>
      </c>
      <c r="L16" s="98">
        <f>ROUND(M16*10000/SUM(K6:K14),0)</f>
        <v>2500</v>
      </c>
      <c r="M16" s="98">
        <f>SUM(M6:M14)</f>
        <v>1013</v>
      </c>
      <c r="N16" s="99">
        <f>ROUND(SUMPRODUCT(M6:M14,N6:N14)/M16,3)</f>
        <v>0.76</v>
      </c>
      <c r="O16" s="98">
        <f>SUM(O6:O14)</f>
        <v>0</v>
      </c>
      <c r="P16" s="98">
        <f>SUM(P6:P14)</f>
        <v>0</v>
      </c>
      <c r="Q16" s="100">
        <f>ROUND(SUMPRODUCT(Q6:Q13,K6:K13)/SUMPRODUCT((Q6:Q13&gt;0)*(K6:K13)),2)</f>
        <v>0.05</v>
      </c>
      <c r="R16" s="1165">
        <f ca="1">SUM(R6:R13)</f>
        <v>19466.48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3233">
        <f>K16</f>
        <v>4052</v>
      </c>
      <c r="U18" s="2868">
        <v>1</v>
      </c>
      <c r="V18" s="2868"/>
      <c r="W18" s="2868">
        <f>T18+U19*T19</f>
        <v>8660.4736000000012</v>
      </c>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7" t="s">
        <v>1837</v>
      </c>
      <c r="B19" s="108">
        <v>0</v>
      </c>
      <c r="C19" s="2998" t="s">
        <v>2988</v>
      </c>
      <c r="D19" s="2873"/>
      <c r="E19" s="2870"/>
      <c r="F19" s="2870"/>
      <c r="G19" s="2870"/>
      <c r="H19" s="2870"/>
      <c r="I19" s="2870"/>
      <c r="J19" s="2870"/>
      <c r="K19" s="2869"/>
      <c r="L19" s="2869"/>
      <c r="M19" s="2868"/>
      <c r="N19" s="2868">
        <v>2005</v>
      </c>
      <c r="O19" s="2868"/>
      <c r="P19" s="2868"/>
      <c r="Q19" s="2868"/>
      <c r="R19" s="2868">
        <v>0.8</v>
      </c>
      <c r="S19" s="2868">
        <f>'数据-汇总表'!D3*'数据-取费表'!R19</f>
        <v>15573.184000000001</v>
      </c>
      <c r="T19" s="3233">
        <f>S19-T18</f>
        <v>11521.184000000001</v>
      </c>
      <c r="U19" s="2868">
        <v>0.4</v>
      </c>
      <c r="V19" s="2868">
        <f>U19*T19*365/(T19/666.67)/12</f>
        <v>8111.1516666666657</v>
      </c>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8" t="s">
        <v>1838</v>
      </c>
      <c r="B20" s="109">
        <v>1</v>
      </c>
      <c r="C20" s="2999" t="s">
        <v>2986</v>
      </c>
      <c r="D20" s="2873"/>
      <c r="E20" s="2870"/>
      <c r="F20" s="2870"/>
      <c r="G20" s="2870"/>
      <c r="H20" s="2870"/>
      <c r="I20" s="2870"/>
      <c r="J20" s="2870"/>
      <c r="K20" s="2869"/>
      <c r="L20" s="2869"/>
      <c r="M20" s="2868"/>
      <c r="N20" s="2868"/>
      <c r="O20" s="2868"/>
      <c r="P20" s="2868"/>
      <c r="Q20" s="2868"/>
      <c r="R20" s="2868"/>
      <c r="S20" s="2868"/>
      <c r="T20" s="2868"/>
      <c r="U20" s="2868">
        <f>(U18*T18+U19*T19)/K16</f>
        <v>2.1373330700888453</v>
      </c>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9" t="s">
        <v>1839</v>
      </c>
      <c r="B21" s="109">
        <v>1</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8" t="s">
        <v>1840</v>
      </c>
      <c r="B22" s="110">
        <f>B19+B20</f>
        <v>1</v>
      </c>
      <c r="C22" s="2870"/>
      <c r="D22" s="2873"/>
      <c r="E22" s="2870"/>
      <c r="F22" s="2870"/>
      <c r="G22" s="2870"/>
      <c r="H22" s="2870"/>
      <c r="I22" s="2870"/>
      <c r="J22" s="2870"/>
      <c r="K22" s="2869"/>
      <c r="L22" s="2869"/>
      <c r="M22" s="2868"/>
      <c r="N22" s="2868"/>
      <c r="O22" s="2868"/>
      <c r="P22" s="2868"/>
      <c r="Q22" s="2868"/>
      <c r="R22" s="2868"/>
      <c r="S22" s="2868"/>
      <c r="T22" s="2868">
        <f>S19</f>
        <v>15573.184000000001</v>
      </c>
      <c r="U22" s="2868">
        <v>1</v>
      </c>
      <c r="V22" s="2868"/>
      <c r="W22" s="2868">
        <f>U22*T22</f>
        <v>15573.184000000001</v>
      </c>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9" t="s">
        <v>1841</v>
      </c>
      <c r="B23" s="110">
        <f>B19+B21</f>
        <v>1</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0"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1"/>
      <c r="B25" s="1842"/>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8" t="s">
        <v>1843</v>
      </c>
      <c r="B26" s="1881"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3" customFormat="1" ht="27.75">
      <c r="A27" s="1882" t="s">
        <v>1846</v>
      </c>
      <c r="B27" s="112"/>
      <c r="C27" s="3000" t="s">
        <v>2990</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81</v>
      </c>
      <c r="C29" s="3001" t="s">
        <v>2977</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2" t="s">
        <v>2978</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2" t="s">
        <v>2979</v>
      </c>
      <c r="D34" s="2881" t="s">
        <v>2987</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2" t="s">
        <v>2980</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2" t="s">
        <v>2981</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6" t="s">
        <v>1856</v>
      </c>
      <c r="B37" s="120">
        <v>0.01</v>
      </c>
      <c r="C37" s="3002" t="s">
        <v>2982</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4" t="s">
        <v>1857</v>
      </c>
      <c r="B38" s="118">
        <v>0.01</v>
      </c>
      <c r="C38" s="3002" t="s">
        <v>2982</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7"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3136</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2" t="s">
        <v>1859</v>
      </c>
      <c r="B41" s="121">
        <f>B42+B43</f>
        <v>5.6000000000000001E-2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8"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8" t="s">
        <v>1861</v>
      </c>
      <c r="B43" s="123">
        <f>B42*(B44+B45+B46)+B47</f>
        <v>6.000000000000001E-3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9" t="s">
        <v>1862</v>
      </c>
      <c r="B44" s="124">
        <v>7.0000000000000007E-2</v>
      </c>
      <c r="C44" s="3002" t="s">
        <v>2991</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9" t="s">
        <v>1863</v>
      </c>
      <c r="B45" s="122">
        <v>0.03</v>
      </c>
      <c r="C45" s="3001" t="s">
        <v>2983</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9" t="s">
        <v>1864</v>
      </c>
      <c r="B46" s="122">
        <v>0.02</v>
      </c>
      <c r="C46" s="3001" t="s">
        <v>2984</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0" t="s">
        <v>1865</v>
      </c>
      <c r="B47" s="125"/>
      <c r="C47" s="3004" t="s">
        <v>2992</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1" t="s">
        <v>1866</v>
      </c>
      <c r="B48" s="126">
        <v>0.03</v>
      </c>
      <c r="C48" s="3001" t="s">
        <v>2983</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7" t="s">
        <v>1867</v>
      </c>
      <c r="B49" s="122">
        <v>5.0000000000000001E-4</v>
      </c>
      <c r="C49" s="3001" t="s">
        <v>2985</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2"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5"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2"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4" t="s">
        <v>1871</v>
      </c>
      <c r="B53" s="1893" t="s">
        <v>56</v>
      </c>
      <c r="C53" s="2856" t="s">
        <v>1872</v>
      </c>
      <c r="D53" s="3003" t="s">
        <v>2989</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4"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4"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4"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4"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4"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4" t="s">
        <v>1878</v>
      </c>
      <c r="B59" s="80">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4"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4"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4"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5"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F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1841" customWidth="1"/>
    <col min="2" max="2" width="24.5" style="1726" customWidth="1"/>
    <col min="3" max="3" width="24.5" style="2704" customWidth="1"/>
    <col min="4" max="4" width="2.625" style="2704" customWidth="1"/>
    <col min="5" max="5" width="5.875" style="2704" customWidth="1"/>
    <col min="6" max="6" width="27" style="1726" customWidth="1"/>
    <col min="7" max="7" width="27" style="2705"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78" t="s">
        <v>2969</v>
      </c>
      <c r="B1" s="3379"/>
      <c r="C1" s="3379"/>
      <c r="D1" s="3379"/>
      <c r="E1" s="3379"/>
      <c r="F1" s="3379"/>
      <c r="G1" s="3379"/>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2964</v>
      </c>
      <c r="D2" s="2656"/>
      <c r="E2" s="2653"/>
      <c r="F2" s="2657"/>
      <c r="G2" s="2655" t="s">
        <v>2965</v>
      </c>
      <c r="H2" s="907"/>
      <c r="I2" s="907"/>
      <c r="J2" s="907"/>
      <c r="K2" s="907"/>
      <c r="L2" s="907"/>
      <c r="M2" s="907"/>
      <c r="N2" s="907"/>
      <c r="O2" s="907"/>
      <c r="P2" s="907"/>
      <c r="Q2" s="907"/>
      <c r="R2" s="907"/>
    </row>
    <row r="3" spans="1:29" ht="48">
      <c r="A3" s="2636" t="s">
        <v>2966</v>
      </c>
      <c r="B3" s="2658" t="s">
        <v>2935</v>
      </c>
      <c r="C3" s="2659" t="s">
        <v>2967</v>
      </c>
      <c r="D3" s="2660"/>
      <c r="E3" s="2637" t="s">
        <v>2966</v>
      </c>
      <c r="F3" s="2661" t="s">
        <v>2936</v>
      </c>
      <c r="G3" s="2662" t="s">
        <v>2968</v>
      </c>
      <c r="H3" s="907"/>
      <c r="I3" s="907"/>
      <c r="J3" s="907"/>
      <c r="K3" s="907"/>
      <c r="L3" s="907"/>
      <c r="M3" s="907"/>
      <c r="N3" s="907"/>
      <c r="O3" s="907"/>
      <c r="P3" s="907"/>
      <c r="Q3" s="907"/>
      <c r="R3" s="907"/>
    </row>
    <row r="4" spans="1:29" ht="36.75">
      <c r="A4" s="2637"/>
      <c r="B4" s="329" t="s">
        <v>2937</v>
      </c>
      <c r="C4" s="2663" t="s">
        <v>2938</v>
      </c>
      <c r="D4" s="2660"/>
      <c r="E4" s="2664"/>
      <c r="F4" s="1526" t="s">
        <v>2939</v>
      </c>
      <c r="G4" s="2665" t="s">
        <v>2940</v>
      </c>
      <c r="H4" s="907"/>
      <c r="I4" s="907"/>
      <c r="J4" s="907"/>
      <c r="K4" s="907"/>
      <c r="L4" s="907"/>
      <c r="M4" s="907"/>
      <c r="N4" s="907"/>
      <c r="O4" s="907"/>
      <c r="P4" s="907"/>
      <c r="Q4" s="907"/>
      <c r="R4" s="907"/>
    </row>
    <row r="5" spans="1:29" ht="36.75">
      <c r="A5" s="2637"/>
      <c r="B5" s="329" t="s">
        <v>2941</v>
      </c>
      <c r="C5" s="2663" t="s">
        <v>2942</v>
      </c>
      <c r="D5" s="2660"/>
      <c r="E5" s="2664"/>
      <c r="F5" s="329" t="s">
        <v>2943</v>
      </c>
      <c r="G5" s="2665" t="s">
        <v>2944</v>
      </c>
      <c r="H5" s="907"/>
      <c r="I5" s="907"/>
      <c r="J5" s="907"/>
      <c r="K5" s="907"/>
      <c r="L5" s="907"/>
      <c r="M5" s="907"/>
      <c r="N5" s="907"/>
      <c r="O5" s="907"/>
      <c r="P5" s="907"/>
      <c r="Q5" s="907"/>
      <c r="R5" s="907"/>
    </row>
    <row r="6" spans="1:29" ht="36">
      <c r="A6" s="2637"/>
      <c r="B6" s="329" t="s">
        <v>2945</v>
      </c>
      <c r="C6" s="2665" t="s">
        <v>2940</v>
      </c>
      <c r="D6" s="2660"/>
      <c r="E6" s="2664"/>
      <c r="F6" s="329" t="s">
        <v>2946</v>
      </c>
      <c r="G6" s="2665" t="s">
        <v>2947</v>
      </c>
      <c r="H6" s="907"/>
      <c r="I6" s="907"/>
      <c r="J6" s="907"/>
      <c r="K6" s="907"/>
      <c r="L6" s="907"/>
      <c r="M6" s="907"/>
      <c r="N6" s="907"/>
      <c r="O6" s="907"/>
      <c r="P6" s="907"/>
      <c r="Q6" s="907"/>
      <c r="R6" s="907"/>
    </row>
    <row r="7" spans="1:29" ht="24.75" thickBot="1">
      <c r="A7" s="2637"/>
      <c r="B7" s="329" t="s">
        <v>2943</v>
      </c>
      <c r="C7" s="2665" t="s">
        <v>2944</v>
      </c>
      <c r="D7" s="2666"/>
      <c r="E7" s="2667"/>
      <c r="F7" s="2668" t="s">
        <v>2948</v>
      </c>
      <c r="G7" s="2669" t="s">
        <v>2949</v>
      </c>
      <c r="H7" s="907"/>
      <c r="I7" s="907"/>
      <c r="J7" s="907"/>
      <c r="K7" s="907"/>
      <c r="L7" s="907"/>
      <c r="M7" s="907"/>
      <c r="N7" s="907"/>
      <c r="O7" s="907"/>
      <c r="P7" s="907"/>
      <c r="Q7" s="907"/>
      <c r="R7" s="907"/>
    </row>
    <row r="8" spans="1:29">
      <c r="A8" s="2637"/>
      <c r="B8" s="329" t="s">
        <v>2946</v>
      </c>
      <c r="C8" s="2665" t="s">
        <v>2947</v>
      </c>
      <c r="D8" s="2666"/>
      <c r="E8" s="2666"/>
      <c r="F8" s="2670"/>
      <c r="G8" s="2670"/>
      <c r="H8" s="907"/>
      <c r="I8" s="907"/>
      <c r="J8" s="907"/>
      <c r="K8" s="907"/>
      <c r="L8" s="907"/>
      <c r="M8" s="907"/>
      <c r="N8" s="907"/>
      <c r="O8" s="907"/>
      <c r="P8" s="907"/>
      <c r="Q8" s="907"/>
      <c r="R8" s="907"/>
    </row>
    <row r="9" spans="1:29" ht="24">
      <c r="A9" s="2637"/>
      <c r="B9" s="329" t="s">
        <v>2950</v>
      </c>
      <c r="C9" s="2663" t="s">
        <v>2951</v>
      </c>
      <c r="D9" s="2660"/>
      <c r="E9" s="2666"/>
      <c r="F9" s="2670"/>
      <c r="G9" s="2670"/>
      <c r="H9" s="907"/>
      <c r="I9" s="907"/>
      <c r="J9" s="907"/>
      <c r="K9" s="907"/>
      <c r="L9" s="907"/>
      <c r="M9" s="907"/>
      <c r="N9" s="907"/>
      <c r="O9" s="907"/>
      <c r="P9" s="907"/>
      <c r="Q9" s="907"/>
      <c r="R9" s="907"/>
    </row>
    <row r="10" spans="1:29" s="2676" customFormat="1" ht="15" thickBot="1">
      <c r="A10" s="2638"/>
      <c r="B10" s="2671" t="s">
        <v>2952</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2970</v>
      </c>
      <c r="B13" s="2679"/>
      <c r="C13" s="2679"/>
      <c r="D13" s="2677"/>
      <c r="E13" s="2679"/>
      <c r="F13" s="2679"/>
      <c r="G13" s="2679"/>
    </row>
    <row r="14" spans="1:29" ht="15" thickBot="1">
      <c r="A14" s="2689"/>
      <c r="B14" s="2689"/>
      <c r="C14" s="2690" t="s">
        <v>2953</v>
      </c>
      <c r="D14" s="2660"/>
      <c r="E14" s="2691"/>
      <c r="F14" s="2691"/>
      <c r="G14" s="2655" t="s">
        <v>2954</v>
      </c>
    </row>
    <row r="15" spans="1:29" ht="51">
      <c r="A15" s="2639" t="s">
        <v>2955</v>
      </c>
      <c r="B15" s="2692" t="s">
        <v>2935</v>
      </c>
      <c r="C15" s="2693" t="str">
        <f>C3</f>
        <v>估价对象周边居住用地比例、居住小区规模和社区发展完善程度，综合评价居住社区成熟度一般</v>
      </c>
      <c r="D15" s="2660"/>
      <c r="E15" s="2640" t="s">
        <v>2956</v>
      </c>
      <c r="F15" s="2692" t="s">
        <v>2957</v>
      </c>
      <c r="G15" s="2694" t="str">
        <f>G3</f>
        <v>估价对象位于XX开发区，园区建设成熟度XX，产业集聚程度XX</v>
      </c>
    </row>
    <row r="16" spans="1:29" ht="38.25">
      <c r="A16" s="2641"/>
      <c r="B16" s="2695" t="s">
        <v>2937</v>
      </c>
      <c r="C16" s="2696" t="str">
        <f>C4</f>
        <v>估价对象位于XX商圈，周边商业氛围成熟，人流量大，商业繁华度好</v>
      </c>
      <c r="D16" s="2660"/>
      <c r="E16" s="2642"/>
      <c r="F16" s="2697" t="s">
        <v>2939</v>
      </c>
      <c r="G16" s="2698" t="str">
        <f>G4</f>
        <v>估价对象周边道路状况、公共交通通达情况、停车便捷程度，综合评价交通便捷度较好</v>
      </c>
    </row>
    <row r="17" spans="1:18" ht="38.25">
      <c r="A17" s="2641"/>
      <c r="B17" s="2695" t="s">
        <v>2941</v>
      </c>
      <c r="C17" s="2696" t="str">
        <f>C5</f>
        <v>估价对象位于XX商圈，周边办公楼项目较多，入驻率高，办公集聚程度较好</v>
      </c>
      <c r="D17" s="2666"/>
      <c r="E17" s="2642"/>
      <c r="F17" s="2697" t="s">
        <v>2958</v>
      </c>
      <c r="G17" s="2699"/>
    </row>
    <row r="18" spans="1:18" ht="38.25">
      <c r="A18" s="2641"/>
      <c r="B18" s="2697" t="s">
        <v>2945</v>
      </c>
      <c r="C18" s="2698" t="str">
        <f>C6</f>
        <v>估价对象周边道路状况、公共交通通达情况、停车便捷程度，综合评价交通便捷度较好</v>
      </c>
      <c r="D18" s="2666"/>
      <c r="E18" s="2642"/>
      <c r="F18" s="2697" t="s">
        <v>2948</v>
      </c>
      <c r="G18" s="2698" t="str">
        <f>G7</f>
        <v>该园区内是否有污染型企业，绿化情况，卫生条件，整体环境状况判断</v>
      </c>
    </row>
    <row r="19" spans="1:18" ht="25.5">
      <c r="A19" s="2641"/>
      <c r="B19" s="2697" t="s">
        <v>2959</v>
      </c>
      <c r="C19" s="2699"/>
      <c r="D19" s="2660"/>
      <c r="E19" s="2642"/>
      <c r="F19" s="329" t="s">
        <v>2943</v>
      </c>
      <c r="G19" s="2698" t="str">
        <f>G5</f>
        <v>估价对象所在区域公共配套设施齐备情况</v>
      </c>
    </row>
    <row r="20" spans="1:18" ht="25.5">
      <c r="A20" s="2641"/>
      <c r="B20" s="2697" t="s">
        <v>2960</v>
      </c>
      <c r="C20" s="2696" t="str">
        <f>C9</f>
        <v>区域自然环境：；人文环境；综合评价环境状况一般</v>
      </c>
      <c r="D20" s="2666"/>
      <c r="E20" s="2642"/>
      <c r="F20" s="329" t="s">
        <v>2946</v>
      </c>
      <c r="G20" s="2698" t="str">
        <f>G6</f>
        <v>估价对象所在区域基础设施水平</v>
      </c>
    </row>
    <row r="21" spans="1:18" ht="25.5">
      <c r="A21" s="2641"/>
      <c r="B21" s="329" t="s">
        <v>2943</v>
      </c>
      <c r="C21" s="2698" t="str">
        <f>C7</f>
        <v>估价对象所在区域公共配套设施齐备情况</v>
      </c>
      <c r="D21" s="2660"/>
      <c r="E21" s="2642"/>
      <c r="F21" s="2697" t="s">
        <v>2961</v>
      </c>
      <c r="G21" s="2700"/>
    </row>
    <row r="22" spans="1:18" ht="13.5" customHeight="1">
      <c r="A22" s="2641"/>
      <c r="B22" s="329" t="s">
        <v>2946</v>
      </c>
      <c r="C22" s="2698" t="str">
        <f>C8</f>
        <v>估价对象所在区域基础设施水平</v>
      </c>
      <c r="D22" s="2660"/>
      <c r="E22" s="2642"/>
      <c r="F22" s="2697" t="s">
        <v>2952</v>
      </c>
      <c r="G22" s="2699"/>
    </row>
    <row r="23" spans="1:18" s="907" customFormat="1" ht="15" thickBot="1">
      <c r="A23" s="2641"/>
      <c r="B23" s="2697" t="s">
        <v>2961</v>
      </c>
      <c r="C23" s="2700"/>
      <c r="D23" s="1896"/>
      <c r="E23" s="2643"/>
      <c r="F23" s="2701" t="s">
        <v>2962</v>
      </c>
      <c r="G23" s="3282" t="s">
        <v>3398</v>
      </c>
      <c r="H23" s="2686"/>
      <c r="I23" s="2687"/>
      <c r="J23" s="2686"/>
      <c r="K23" s="2686"/>
      <c r="L23" s="2687"/>
      <c r="M23" s="2686"/>
      <c r="N23" s="2686"/>
      <c r="O23" s="2687"/>
      <c r="P23" s="2686"/>
      <c r="Q23" s="2686"/>
      <c r="R23" s="2688"/>
    </row>
    <row r="24" spans="1:18" s="907" customFormat="1" ht="15" thickBot="1">
      <c r="A24" s="2644"/>
      <c r="B24" s="2701" t="s">
        <v>2963</v>
      </c>
      <c r="C24" s="2702">
        <f>C10</f>
        <v>0</v>
      </c>
      <c r="D24" s="1896"/>
      <c r="E24" s="2634"/>
      <c r="F24" s="2634"/>
      <c r="G24" s="2703"/>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42" sqref="N42"/>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4052</v>
      </c>
      <c r="C1" s="2883"/>
      <c r="D1" s="2883"/>
      <c r="E1" s="2883"/>
      <c r="F1" s="2883"/>
      <c r="G1" s="2884"/>
      <c r="H1" s="2885"/>
      <c r="I1" s="2885"/>
      <c r="J1" s="2885"/>
      <c r="K1" s="2885"/>
    </row>
    <row r="2" spans="1:11" ht="16.5">
      <c r="A2" s="2706" t="s">
        <v>1259</v>
      </c>
      <c r="B2" s="2706">
        <f>SUM(C14:C23)</f>
        <v>19466.48</v>
      </c>
      <c r="C2" s="2883"/>
      <c r="D2" s="2883"/>
      <c r="E2" s="2883"/>
      <c r="F2" s="2883"/>
      <c r="G2" s="2884"/>
      <c r="H2" s="2885"/>
      <c r="I2" s="2885"/>
      <c r="J2" s="2885"/>
      <c r="K2" s="2885"/>
    </row>
    <row r="3" spans="1:11" ht="16.5">
      <c r="A3" s="2706" t="s">
        <v>1268</v>
      </c>
      <c r="B3" s="2708">
        <f>项目基本情况!D3</f>
        <v>44607</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4868</v>
      </c>
      <c r="C5" s="2706">
        <f ca="1">ROUND(B5*10000/$B$1,0)</f>
        <v>12014</v>
      </c>
      <c r="D5" s="2706">
        <f ca="1">ROUND(B5*10000/$B$2,0)</f>
        <v>2501</v>
      </c>
      <c r="E5" s="2883"/>
      <c r="F5" s="2884"/>
      <c r="G5" s="2884"/>
      <c r="H5" s="2885"/>
      <c r="I5" s="2885"/>
      <c r="J5" s="2885"/>
      <c r="K5" s="2885"/>
    </row>
    <row r="6" spans="1:11" ht="16.5">
      <c r="A6" s="2706" t="s">
        <v>1262</v>
      </c>
      <c r="B6" s="2706">
        <f ca="1">SUM(G14:G23)</f>
        <v>4868</v>
      </c>
      <c r="C6" s="2706">
        <f ca="1">ROUND(B6*10000/$B$1,0)</f>
        <v>12014</v>
      </c>
      <c r="D6" s="2706">
        <f ca="1">ROUND(B6*10000/$B$2,0)</f>
        <v>2501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SUM(I14:I23)</f>
        <v>0</v>
      </c>
      <c r="C8" s="2706">
        <f>ROUND(B8*10000/$B$1,0)</f>
        <v>0</v>
      </c>
      <c r="D8" s="2706">
        <f>ROUND(B8*10000/$B$2,0)</f>
        <v>0</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4052</v>
      </c>
      <c r="C14" s="2712">
        <f>结果表!C118</f>
        <v>19466.48</v>
      </c>
      <c r="D14" s="2712">
        <f ca="1">结果表!H118</f>
        <v>4868</v>
      </c>
      <c r="E14" s="2712">
        <f ca="1">ROUND(D14*10000/B14,0)</f>
        <v>12014</v>
      </c>
      <c r="F14" s="2712">
        <f ca="1">ROUND(D14*10000/C14,0)</f>
        <v>2501</v>
      </c>
      <c r="G14" s="2712">
        <f ca="1">结果表!D122</f>
        <v>4868</v>
      </c>
      <c r="H14" s="2712" t="str">
        <f>结果表!D124</f>
        <v>——</v>
      </c>
      <c r="I14" s="2712" t="str">
        <f>结果表!D126</f>
        <v>——</v>
      </c>
      <c r="J14" s="2884"/>
      <c r="K14" s="2885"/>
    </row>
    <row r="15" spans="1:11" ht="16.5">
      <c r="A15" s="2711" t="s">
        <v>1255</v>
      </c>
      <c r="B15" s="2713"/>
      <c r="C15" s="2713"/>
      <c r="D15" s="2713"/>
      <c r="E15" s="2712" t="e">
        <f t="shared" ref="E15:E23" si="0">ROUND(D15*10000/B15,0)</f>
        <v>#DIV/0!</v>
      </c>
      <c r="F15" s="2712" t="e">
        <f t="shared" ref="F15:F23" si="1">ROUND(D15*10000/C15,0)</f>
        <v>#DIV/0!</v>
      </c>
      <c r="G15" s="1470"/>
      <c r="H15" s="1470"/>
      <c r="I15" s="2713"/>
      <c r="J15" s="2884"/>
      <c r="K15" s="2885"/>
    </row>
    <row r="16" spans="1:11" ht="16.5">
      <c r="A16" s="2711" t="s">
        <v>1254</v>
      </c>
      <c r="B16" s="2713"/>
      <c r="C16" s="2713"/>
      <c r="D16" s="2713"/>
      <c r="E16" s="2712" t="e">
        <f t="shared" si="0"/>
        <v>#DIV/0!</v>
      </c>
      <c r="F16" s="2712" t="e">
        <f t="shared" si="1"/>
        <v>#DIV/0!</v>
      </c>
      <c r="G16" s="1470"/>
      <c r="H16" s="1470"/>
      <c r="I16" s="2713"/>
      <c r="J16" s="2885"/>
      <c r="K16" s="2885"/>
    </row>
    <row r="17" spans="1:11" ht="16.5">
      <c r="A17" s="2711" t="s">
        <v>1253</v>
      </c>
      <c r="B17" s="2713"/>
      <c r="C17" s="2713"/>
      <c r="D17" s="2713"/>
      <c r="E17" s="2712" t="e">
        <f t="shared" si="0"/>
        <v>#DIV/0!</v>
      </c>
      <c r="F17" s="2712" t="e">
        <f t="shared" si="1"/>
        <v>#DIV/0!</v>
      </c>
      <c r="G17" s="1470"/>
      <c r="H17" s="1470"/>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50" t="str">
        <f>项目基本情况!S2</f>
        <v>北京市房地产</v>
      </c>
      <c r="B2" s="3451"/>
      <c r="C2" s="3451"/>
      <c r="D2" s="3451"/>
      <c r="E2" s="3451"/>
      <c r="F2" s="3451"/>
      <c r="G2" s="3451"/>
      <c r="H2" s="3451"/>
      <c r="I2" s="3452"/>
    </row>
    <row r="3" spans="1:12" ht="12.75">
      <c r="A3" s="3454" t="s">
        <v>1890</v>
      </c>
      <c r="B3" s="3455"/>
      <c r="C3" s="3455"/>
      <c r="D3" s="3455"/>
      <c r="E3" s="3455"/>
      <c r="F3" s="3455"/>
      <c r="G3" s="3455"/>
      <c r="H3" s="3455"/>
      <c r="I3" s="3455"/>
    </row>
    <row r="4" spans="1:12" ht="14.25">
      <c r="A4" s="1909" t="s">
        <v>1891</v>
      </c>
      <c r="B4" s="1910" t="s">
        <v>1892</v>
      </c>
      <c r="C4" s="1911" t="s">
        <v>3241</v>
      </c>
      <c r="D4" s="1911" t="s">
        <v>3135</v>
      </c>
      <c r="E4" s="3459" t="s">
        <v>1893</v>
      </c>
      <c r="F4" s="3460"/>
      <c r="G4" s="3460"/>
      <c r="H4" s="3460"/>
      <c r="I4" s="34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95" t="s">
        <v>1894</v>
      </c>
      <c r="B5" s="3453">
        <v>25</v>
      </c>
      <c r="C5" s="3456"/>
      <c r="D5" s="3444"/>
      <c r="E5" s="136" t="s">
        <v>1895</v>
      </c>
      <c r="F5" s="1912"/>
      <c r="G5" s="1912"/>
      <c r="H5" s="1912"/>
      <c r="I5" s="1526"/>
    </row>
    <row r="6" spans="1:12" ht="12.75">
      <c r="A6" s="3395"/>
      <c r="B6" s="3453"/>
      <c r="C6" s="3458"/>
      <c r="D6" s="3444"/>
      <c r="E6" s="136" t="s">
        <v>1896</v>
      </c>
      <c r="F6" s="1912"/>
      <c r="G6" s="1912"/>
      <c r="H6" s="1912"/>
      <c r="I6" s="1526"/>
    </row>
    <row r="7" spans="1:12" ht="12.75">
      <c r="A7" s="3395"/>
      <c r="B7" s="3453"/>
      <c r="C7" s="3457"/>
      <c r="D7" s="3444"/>
      <c r="E7" s="136" t="s">
        <v>1897</v>
      </c>
      <c r="F7" s="1912"/>
      <c r="G7" s="1912"/>
      <c r="H7" s="1912"/>
      <c r="I7" s="1526"/>
    </row>
    <row r="8" spans="1:12" ht="12.75">
      <c r="A8" s="3395" t="s">
        <v>1898</v>
      </c>
      <c r="B8" s="3453">
        <v>15</v>
      </c>
      <c r="C8" s="3456"/>
      <c r="D8" s="3444"/>
      <c r="E8" s="136" t="s">
        <v>1899</v>
      </c>
      <c r="F8" s="1912"/>
      <c r="G8" s="1912"/>
      <c r="H8" s="1912"/>
      <c r="I8" s="1526"/>
    </row>
    <row r="9" spans="1:12" ht="12.75">
      <c r="A9" s="3395"/>
      <c r="B9" s="3453"/>
      <c r="C9" s="3457"/>
      <c r="D9" s="3444"/>
      <c r="E9" s="136" t="s">
        <v>1900</v>
      </c>
      <c r="F9" s="1912"/>
      <c r="G9" s="1912"/>
      <c r="H9" s="1912"/>
      <c r="I9" s="1526"/>
    </row>
    <row r="10" spans="1:12" ht="12.75">
      <c r="A10" s="3395" t="s">
        <v>1901</v>
      </c>
      <c r="B10" s="3453">
        <v>15</v>
      </c>
      <c r="C10" s="3456"/>
      <c r="D10" s="3444"/>
      <c r="E10" s="136" t="s">
        <v>1902</v>
      </c>
      <c r="F10" s="1912"/>
      <c r="G10" s="1912"/>
      <c r="H10" s="1912"/>
      <c r="I10" s="1526"/>
    </row>
    <row r="11" spans="1:12" ht="12.75">
      <c r="A11" s="3395"/>
      <c r="B11" s="3453"/>
      <c r="C11" s="3457"/>
      <c r="D11" s="3444"/>
      <c r="E11" s="136" t="s">
        <v>1903</v>
      </c>
      <c r="F11" s="1912"/>
      <c r="G11" s="1912"/>
      <c r="H11" s="1912"/>
      <c r="I11" s="1526"/>
    </row>
    <row r="12" spans="1:12" ht="12.75">
      <c r="A12" s="3395" t="s">
        <v>1904</v>
      </c>
      <c r="B12" s="3453">
        <v>15</v>
      </c>
      <c r="C12" s="3456"/>
      <c r="D12" s="3444"/>
      <c r="E12" s="136" t="s">
        <v>1905</v>
      </c>
      <c r="F12" s="1912"/>
      <c r="G12" s="1912"/>
      <c r="H12" s="1912"/>
      <c r="I12" s="1526"/>
    </row>
    <row r="13" spans="1:12" ht="12.75">
      <c r="A13" s="3395"/>
      <c r="B13" s="3453"/>
      <c r="C13" s="3457"/>
      <c r="D13" s="3444"/>
      <c r="E13" s="136" t="s">
        <v>1906</v>
      </c>
      <c r="F13" s="1912"/>
      <c r="G13" s="1912"/>
      <c r="H13" s="1912"/>
      <c r="I13" s="1526"/>
    </row>
    <row r="14" spans="1:12" ht="12.75">
      <c r="A14" s="3395" t="s">
        <v>1907</v>
      </c>
      <c r="B14" s="3453">
        <v>30</v>
      </c>
      <c r="C14" s="3456">
        <v>4</v>
      </c>
      <c r="D14" s="3444">
        <v>6</v>
      </c>
      <c r="E14" s="136" t="s">
        <v>1908</v>
      </c>
      <c r="F14" s="1912"/>
      <c r="G14" s="1912"/>
      <c r="H14" s="1912"/>
      <c r="I14" s="1526"/>
    </row>
    <row r="15" spans="1:12" ht="12.75">
      <c r="A15" s="3395"/>
      <c r="B15" s="3453"/>
      <c r="C15" s="3458"/>
      <c r="D15" s="3444"/>
      <c r="E15" s="136" t="s">
        <v>1909</v>
      </c>
      <c r="F15" s="1912"/>
      <c r="G15" s="1912"/>
      <c r="H15" s="1912"/>
      <c r="I15" s="1526"/>
    </row>
    <row r="16" spans="1:12" ht="12.75">
      <c r="A16" s="3395"/>
      <c r="B16" s="3453"/>
      <c r="C16" s="3457"/>
      <c r="D16" s="3444"/>
      <c r="E16" s="136" t="s">
        <v>1910</v>
      </c>
      <c r="F16" s="1912"/>
      <c r="G16" s="1912"/>
      <c r="H16" s="1912"/>
      <c r="I16" s="1526"/>
    </row>
    <row r="17" spans="1:36" ht="15">
      <c r="A17" s="1913" t="s">
        <v>1911</v>
      </c>
      <c r="B17" s="60"/>
      <c r="C17" s="137">
        <f>SUM(C5:C16)</f>
        <v>4</v>
      </c>
      <c r="D17" s="137">
        <f>SUM(D5:D16)</f>
        <v>6</v>
      </c>
      <c r="E17" s="134"/>
      <c r="F17" s="134"/>
      <c r="G17" s="134"/>
      <c r="H17" s="134"/>
      <c r="I17" s="134"/>
      <c r="K17" s="308"/>
      <c r="L17" s="308" t="s">
        <v>1912</v>
      </c>
      <c r="M17" s="308" t="s">
        <v>1913</v>
      </c>
    </row>
    <row r="18" spans="1:36" ht="31.9" customHeight="1" thickBot="1">
      <c r="A18" s="1914" t="s">
        <v>1914</v>
      </c>
      <c r="B18" s="1915"/>
      <c r="C18" s="138">
        <f>ROUND(C17/SUM(C17:D17),2)</f>
        <v>0.4</v>
      </c>
      <c r="D18" s="138">
        <f>1-C18</f>
        <v>0.6</v>
      </c>
      <c r="E18" s="3475" t="s">
        <v>2810</v>
      </c>
      <c r="F18" s="3476"/>
      <c r="G18" s="3476"/>
      <c r="H18" s="3476"/>
      <c r="I18" s="3476"/>
      <c r="K18" s="308" t="s">
        <v>1915</v>
      </c>
      <c r="L18" s="308">
        <f>IF(C1="",'数据-汇总表'!E3,SUMIF(项目类型,C1,'数据-汇总表'!E17:E26)+SUMIF(项目类型,C1,'数据-汇总表'!I17:I26))</f>
        <v>4052</v>
      </c>
      <c r="M18" s="308">
        <f>IF(C1="",'数据-汇总表'!E3,SUMIF(项目类型,C1,'数据-汇总表'!E17:E26))</f>
        <v>4052</v>
      </c>
    </row>
    <row r="19" spans="1:36" ht="15">
      <c r="A19" s="1916" t="s">
        <v>1916</v>
      </c>
      <c r="B19" s="1917" t="s">
        <v>1917</v>
      </c>
      <c r="C19" s="139">
        <f ca="1">SUMIF(INDIRECT("'"&amp;C4&amp;"'"&amp;"!A:A"),结果表!B19,INDIRECT("'"&amp;C4&amp;"'"&amp;"!B:B"))</f>
        <v>6762</v>
      </c>
      <c r="D19" s="140">
        <f ca="1">SUMIF(INDIRECT("'"&amp;D4&amp;"'"&amp;"!A:A"),结果表!B19,INDIRECT("'"&amp;D4&amp;"'"&amp;"!B:B"))</f>
        <v>3606</v>
      </c>
      <c r="E19" s="1916" t="s">
        <v>1918</v>
      </c>
      <c r="F19" s="1917" t="s">
        <v>1917</v>
      </c>
      <c r="G19" s="141">
        <f ca="1">ROUND(C19*$C$18+D19*$D$18,0)</f>
        <v>4868</v>
      </c>
      <c r="H19" s="1918" t="s">
        <v>1919</v>
      </c>
      <c r="I19" s="134"/>
      <c r="K19" s="308" t="s">
        <v>1920</v>
      </c>
      <c r="L19" s="308">
        <f>IF(C1="",'数据-汇总表'!D3,SUMIF(项目类型,C1,'数据-汇总表'!D17:D26)+SUMIF(项目类型,C1,'数据-汇总表'!H17:H27))</f>
        <v>19466.48</v>
      </c>
      <c r="M19" s="308">
        <f>IF(C1="",'数据-汇总表'!D3,SUMIF(项目类型,C1,'数据-汇总表'!D17:D26))</f>
        <v>19466.48</v>
      </c>
    </row>
    <row r="20" spans="1:36" ht="15">
      <c r="A20" s="1919"/>
      <c r="B20" s="1157" t="s">
        <v>1921</v>
      </c>
      <c r="C20" s="142">
        <f ca="1">SUMIF(INDIRECT("'"&amp;C4&amp;"'"&amp;"!A:A"),结果表!B20,INDIRECT("'"&amp;C4&amp;"'"&amp;"!B:B"))</f>
        <v>16688</v>
      </c>
      <c r="D20" s="143">
        <f ca="1">SUMIF(INDIRECT("'"&amp;D4&amp;"'"&amp;"!A:A"),结果表!B20,INDIRECT("'"&amp;D4&amp;"'"&amp;"!B:B"))</f>
        <v>8899</v>
      </c>
      <c r="E20" s="1919"/>
      <c r="F20" s="1157" t="s">
        <v>1921</v>
      </c>
      <c r="G20" s="144">
        <f ca="1">ROUND(C20*$C$18+D20*$D$18,0)</f>
        <v>12015</v>
      </c>
      <c r="H20" s="917" t="s">
        <v>1922</v>
      </c>
      <c r="I20" s="134"/>
    </row>
    <row r="21" spans="1:36" ht="15" customHeight="1" thickBot="1">
      <c r="A21" s="937"/>
      <c r="B21" s="1920" t="s">
        <v>1923</v>
      </c>
      <c r="C21" s="728">
        <f ca="1">ROUND(C19*10000/L19,0)</f>
        <v>3474</v>
      </c>
      <c r="D21" s="729">
        <f ca="1">ROUND(D19*10000/L19,0)</f>
        <v>1852</v>
      </c>
      <c r="E21" s="937"/>
      <c r="F21" s="1920" t="s">
        <v>1923</v>
      </c>
      <c r="G21" s="145">
        <f ca="1">ROUND(G19*10000/L19,0)</f>
        <v>2501</v>
      </c>
      <c r="H21" s="1921" t="s">
        <v>1922</v>
      </c>
      <c r="I21" s="134"/>
    </row>
    <row r="22" spans="1:36" ht="15" thickBot="1">
      <c r="A22" s="1843" t="s">
        <v>1924</v>
      </c>
      <c r="B22" s="1922"/>
      <c r="C22" s="1923"/>
      <c r="D22" s="730">
        <f ca="1">IF(C19&lt;D19,D19/C19-1,C19/D19-1)</f>
        <v>0.87520798668885202</v>
      </c>
      <c r="E22" s="134"/>
      <c r="F22" s="134"/>
      <c r="G22" s="134"/>
      <c r="H22" s="134"/>
      <c r="I22" s="134"/>
    </row>
    <row r="23" spans="1:36" ht="13.5" thickBot="1">
      <c r="A23" s="1902"/>
      <c r="B23" s="1902"/>
      <c r="C23" s="1902"/>
      <c r="D23" s="1902"/>
      <c r="E23" s="134"/>
      <c r="F23" s="134"/>
      <c r="G23" s="134"/>
      <c r="H23" s="134"/>
      <c r="I23" s="134"/>
    </row>
    <row r="24" spans="1:36" ht="14.25">
      <c r="A24" s="3468" t="s">
        <v>1925</v>
      </c>
      <c r="B24" s="1917" t="s">
        <v>1917</v>
      </c>
      <c r="C24" s="141">
        <f>IF(B30=0,0,D30)</f>
        <v>0</v>
      </c>
      <c r="D24" s="1924"/>
      <c r="E24" s="134"/>
      <c r="F24" s="134"/>
      <c r="G24" s="134"/>
      <c r="H24" s="134"/>
      <c r="I24" s="134"/>
    </row>
    <row r="25" spans="1:36" ht="14.25">
      <c r="A25" s="3469"/>
      <c r="B25" s="1157" t="s">
        <v>1921</v>
      </c>
      <c r="C25" s="146">
        <f>IF(B30=0,0,C30)</f>
        <v>0</v>
      </c>
      <c r="D25" s="1925"/>
      <c r="E25" s="134"/>
      <c r="F25" s="134"/>
      <c r="G25" s="134"/>
      <c r="H25" s="134"/>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2811</v>
      </c>
      <c r="F30" s="134"/>
      <c r="G30" s="134"/>
      <c r="H30" s="134"/>
      <c r="I30" s="134"/>
    </row>
    <row r="31" spans="1:36" s="2496" customFormat="1" ht="26.45" customHeight="1" thickTop="1" thickBot="1">
      <c r="A31" s="2491"/>
      <c r="B31" s="2492"/>
      <c r="C31" s="2492"/>
      <c r="D31" s="2492"/>
      <c r="E31" s="2492"/>
      <c r="F31" s="2492"/>
      <c r="G31" s="2492"/>
      <c r="H31" s="2492"/>
      <c r="I31" s="2493" t="s">
        <v>2812</v>
      </c>
      <c r="J31" s="2886"/>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4868</v>
      </c>
      <c r="D32" s="1930" t="s">
        <v>3244</v>
      </c>
      <c r="E32" s="134"/>
      <c r="F32" s="134"/>
      <c r="G32" s="134"/>
      <c r="H32" s="134"/>
      <c r="I32" s="134"/>
    </row>
    <row r="33" spans="1:15" ht="15">
      <c r="A33" s="894" t="s">
        <v>1932</v>
      </c>
      <c r="B33" s="1931"/>
      <c r="C33" s="1932" t="s">
        <v>3245</v>
      </c>
      <c r="D33" s="1933" t="s">
        <v>3241</v>
      </c>
      <c r="E33" s="1934" t="s">
        <v>1933</v>
      </c>
      <c r="F33" s="1935" t="str">
        <f>IF(D32="楼面单价","取值（单价）","取值（总价）")</f>
        <v>取值（总价）</v>
      </c>
      <c r="G33" s="134"/>
      <c r="H33" s="134"/>
      <c r="I33" s="134"/>
    </row>
    <row r="34" spans="1:15" ht="15">
      <c r="A34" s="1936"/>
      <c r="B34" s="1937" t="s">
        <v>1934</v>
      </c>
      <c r="C34" s="153">
        <f ca="1">IF(C33="自定义",F34,C32-C35)</f>
        <v>4148</v>
      </c>
      <c r="D34" s="970">
        <f ca="1">IF(C33="自定义",ROUND(C34/C32,3),IF(C33="收益比率",SUMIF(INDIRECT("'"&amp;D33&amp;"'"&amp;"!b:b"),"土地收益比率",INDIRECT("'"&amp;D33&amp;"'"&amp;"!c:c")),SUMIF(INDIRECT("'"&amp;D33&amp;"'"&amp;"!b:b"),"土地成本比率",INDIRECT("'"&amp;D33&amp;"'"&amp;"!c:c"))))</f>
        <v>0.85199999999999998</v>
      </c>
      <c r="E34" s="1938" t="s">
        <v>1935</v>
      </c>
      <c r="F34" s="1469"/>
      <c r="G34" s="134"/>
      <c r="H34" s="134"/>
      <c r="I34" s="134"/>
    </row>
    <row r="35" spans="1:15" ht="15.75" thickBot="1">
      <c r="A35" s="1939"/>
      <c r="B35" s="1940" t="s">
        <v>1936</v>
      </c>
      <c r="C35" s="1304">
        <f ca="1">IF(C33="自定义",F35,ROUND(C32*D35,0))</f>
        <v>720</v>
      </c>
      <c r="D35" s="1305">
        <f ca="1">IF(C33="自定义",ROUND(C35/C32,3),IF(C33="收益比率",SUMIF(INDIRECT("'"&amp;D33&amp;"'"&amp;"!b:b"),"建筑物收益比率",INDIRECT("'"&amp;D33&amp;"'"&amp;"!c:c")),SUMIF(INDIRECT("'"&amp;D33&amp;"'"&amp;"!b:b"),"建筑物成本比率",INDIRECT("'"&amp;D33&amp;"'"&amp;"!c:c"))))</f>
        <v>0.14799999999999999</v>
      </c>
      <c r="E35" s="1941" t="s">
        <v>1937</v>
      </c>
      <c r="F35" s="159"/>
      <c r="G35" s="134"/>
      <c r="H35" s="134"/>
      <c r="I35" s="134"/>
    </row>
    <row r="36" spans="1:15" ht="15.75" thickBot="1">
      <c r="A36" s="3445" t="s">
        <v>1938</v>
      </c>
      <c r="B36" s="1942" t="s">
        <v>1939</v>
      </c>
      <c r="C36" s="150"/>
      <c r="D36" s="1943"/>
      <c r="E36" s="1944"/>
      <c r="F36" s="1945"/>
      <c r="G36" s="134"/>
      <c r="H36" s="134"/>
      <c r="I36" s="134"/>
    </row>
    <row r="37" spans="1:15" ht="15.75" thickBot="1">
      <c r="A37" s="3446"/>
      <c r="B37" s="1829" t="s">
        <v>1940</v>
      </c>
      <c r="C37" s="152"/>
      <c r="D37" s="1273"/>
      <c r="E37" s="1273"/>
      <c r="F37" s="1945"/>
      <c r="G37" s="134"/>
      <c r="H37" s="134"/>
      <c r="I37" s="134"/>
    </row>
    <row r="38" spans="1:15" ht="15.75" thickBot="1">
      <c r="A38" s="3447"/>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65" t="s">
        <v>1952</v>
      </c>
      <c r="B45" s="3466"/>
      <c r="C45" s="3467"/>
      <c r="D45" s="160">
        <f ca="1">ROUND(H101*F45,0)</f>
        <v>4868</v>
      </c>
      <c r="E45" s="161" t="s">
        <v>1953</v>
      </c>
      <c r="F45" s="162">
        <v>1</v>
      </c>
      <c r="G45" s="163" t="s">
        <v>1954</v>
      </c>
      <c r="H45" s="134"/>
      <c r="I45" s="134"/>
      <c r="J45" s="3382" t="s">
        <v>1955</v>
      </c>
      <c r="K45" s="3382"/>
      <c r="L45" s="3382"/>
      <c r="M45" s="3382"/>
      <c r="N45" s="3382"/>
      <c r="O45" s="3382"/>
    </row>
    <row r="46" spans="1:15" ht="14.25" customHeight="1">
      <c r="A46" s="3462" t="s">
        <v>1956</v>
      </c>
      <c r="B46" s="3463"/>
      <c r="C46" s="3463"/>
      <c r="D46" s="3463"/>
      <c r="E46" s="3463"/>
      <c r="F46" s="3463"/>
      <c r="G46" s="3464"/>
      <c r="H46" s="1961"/>
      <c r="I46" s="164"/>
      <c r="J46" s="2717">
        <v>1</v>
      </c>
      <c r="K46" s="3383" t="s">
        <v>1957</v>
      </c>
      <c r="L46" s="3383"/>
      <c r="M46" s="3384"/>
      <c r="N46" s="3384"/>
      <c r="O46" s="3384"/>
    </row>
    <row r="47" spans="1:15" ht="12" customHeight="1">
      <c r="A47" s="165" t="s">
        <v>1958</v>
      </c>
      <c r="B47" s="166"/>
      <c r="C47" s="167"/>
      <c r="D47" s="1219" t="s">
        <v>1959</v>
      </c>
      <c r="E47" s="308" t="s">
        <v>1960</v>
      </c>
      <c r="F47" s="168" t="s">
        <v>1961</v>
      </c>
      <c r="G47" s="2740" t="s">
        <v>1962</v>
      </c>
      <c r="H47" s="2741"/>
      <c r="I47" s="164"/>
      <c r="J47" s="2717">
        <v>2</v>
      </c>
      <c r="K47" s="3383" t="s">
        <v>1963</v>
      </c>
      <c r="L47" s="3383"/>
      <c r="M47" s="3385">
        <f>'数据-取费表'!B2</f>
        <v>44607</v>
      </c>
      <c r="N47" s="3385"/>
      <c r="O47" s="3385"/>
    </row>
    <row r="48" spans="1:15" ht="25.5">
      <c r="A48" s="3448" t="s">
        <v>1964</v>
      </c>
      <c r="B48" s="3449"/>
      <c r="C48" s="3449"/>
      <c r="D48" s="2516" t="b">
        <f>IF(H48="情况1",0,IF(H48="情况2",D52,IF(H48="情况3",D53,IF(H48="情况4",D54))))</f>
        <v>0</v>
      </c>
      <c r="E48" s="2526" t="str">
        <f>IF(H48="情况4","(销售额-原购置价)×税（费）率","销售额×税（费）率")</f>
        <v>销售额×税（费）率</v>
      </c>
      <c r="F48" s="2742">
        <f>IF(H48="情况1","免征",'数据-取费表'!B41)</f>
        <v>5.6000000000000001E-2</v>
      </c>
      <c r="G48" s="2743" t="s">
        <v>1965</v>
      </c>
      <c r="H48" s="2744"/>
      <c r="I48" s="1961"/>
      <c r="J48" s="2717">
        <v>3</v>
      </c>
      <c r="K48" s="3383" t="s">
        <v>1966</v>
      </c>
      <c r="L48" s="3383"/>
      <c r="M48" s="3386">
        <f ca="1">H101</f>
        <v>4868</v>
      </c>
      <c r="N48" s="3386"/>
      <c r="O48" s="3386"/>
    </row>
    <row r="49" spans="1:35" ht="25.5" customHeight="1">
      <c r="A49" s="2525" t="s">
        <v>1967</v>
      </c>
      <c r="B49" s="3431" t="s">
        <v>1968</v>
      </c>
      <c r="C49" s="3431"/>
      <c r="D49" s="1744">
        <v>0</v>
      </c>
      <c r="E49" s="330" t="s">
        <v>1969</v>
      </c>
      <c r="F49" s="2619" t="s">
        <v>34</v>
      </c>
      <c r="G49" s="3414"/>
      <c r="H49" s="2497" t="s">
        <v>2813</v>
      </c>
      <c r="I49" s="2498"/>
      <c r="J49" s="2717">
        <v>4</v>
      </c>
      <c r="K49" s="3383" t="str">
        <f>IF(项目基本情况!E8="房地产抵押价值","房地产抵押价值","抵押担保权已注销时的房地产抵押价值")</f>
        <v>房地产抵押价值</v>
      </c>
      <c r="L49" s="3383"/>
      <c r="M49" s="3386">
        <f ca="1">IF(项目基本情况!E8="房地产抵押价值",H107,H109)</f>
        <v>4868</v>
      </c>
      <c r="N49" s="3386"/>
      <c r="O49" s="3386"/>
    </row>
    <row r="50" spans="1:35" ht="25.5" customHeight="1">
      <c r="A50" s="2745"/>
      <c r="B50" s="3431" t="s">
        <v>1970</v>
      </c>
      <c r="C50" s="3431"/>
      <c r="D50" s="2746"/>
      <c r="E50" s="338"/>
      <c r="F50" s="2619"/>
      <c r="G50" s="3415"/>
      <c r="H50" s="2499" t="s">
        <v>2814</v>
      </c>
      <c r="I50" s="2498"/>
      <c r="J50" s="3382" t="s">
        <v>1971</v>
      </c>
      <c r="K50" s="3382"/>
      <c r="L50" s="3382"/>
      <c r="M50" s="3382"/>
      <c r="N50" s="3382"/>
      <c r="O50" s="3382"/>
    </row>
    <row r="51" spans="1:35" ht="20.45" customHeight="1">
      <c r="A51" s="2747"/>
      <c r="B51" s="3431" t="s">
        <v>1972</v>
      </c>
      <c r="C51" s="3431"/>
      <c r="D51" s="1219"/>
      <c r="E51" s="333"/>
      <c r="F51" s="2619"/>
      <c r="G51" s="3416"/>
      <c r="H51" s="2499" t="s">
        <v>2815</v>
      </c>
      <c r="I51" s="2498"/>
      <c r="J51" s="2718" t="s">
        <v>1973</v>
      </c>
      <c r="K51" s="3383" t="s">
        <v>1974</v>
      </c>
      <c r="L51" s="3383"/>
      <c r="M51" s="2718" t="s">
        <v>1975</v>
      </c>
      <c r="N51" s="2718" t="s">
        <v>1976</v>
      </c>
      <c r="O51" s="2718" t="s">
        <v>1977</v>
      </c>
    </row>
    <row r="52" spans="1:35" ht="24" customHeight="1">
      <c r="A52" s="2527" t="s">
        <v>1978</v>
      </c>
      <c r="B52" s="3431" t="s">
        <v>1979</v>
      </c>
      <c r="C52" s="3431"/>
      <c r="D52" s="1219">
        <f ca="1">ROUND(D45*'数据-取费表'!B41/(1+'数据-取费表'!C42),0)</f>
        <v>260</v>
      </c>
      <c r="E52" s="2526" t="s">
        <v>1980</v>
      </c>
      <c r="F52" s="2748">
        <f>'数据-取费表'!B41</f>
        <v>5.6000000000000001E-2</v>
      </c>
      <c r="G52" s="2749"/>
      <c r="H52" s="2738"/>
      <c r="I52" s="1962"/>
      <c r="J52" s="2717">
        <v>1</v>
      </c>
      <c r="K52" s="3408" t="s">
        <v>1981</v>
      </c>
      <c r="L52" s="3408"/>
      <c r="M52" s="2719" t="b">
        <f>D48</f>
        <v>0</v>
      </c>
      <c r="N52" s="2717" t="str">
        <f>E48</f>
        <v>销售额×税（费）率</v>
      </c>
      <c r="O52" s="2720">
        <f>F48</f>
        <v>5.6000000000000001E-2</v>
      </c>
    </row>
    <row r="53" spans="1:35" ht="12" customHeight="1">
      <c r="A53" s="2527" t="s">
        <v>1982</v>
      </c>
      <c r="B53" s="3432" t="s">
        <v>2974</v>
      </c>
      <c r="C53" s="3433"/>
      <c r="D53" s="1219">
        <f ca="1">ROUND(D45*'数据-取费表'!B41/(1+'数据-取费表'!C42),0)</f>
        <v>260</v>
      </c>
      <c r="E53" s="2526" t="s">
        <v>1980</v>
      </c>
      <c r="F53" s="2748">
        <f>'数据-取费表'!B41</f>
        <v>5.6000000000000001E-2</v>
      </c>
      <c r="G53" s="2749"/>
      <c r="H53" s="2738"/>
      <c r="I53" s="1962"/>
      <c r="J53" s="2717">
        <v>2</v>
      </c>
      <c r="K53" s="3408" t="s">
        <v>1983</v>
      </c>
      <c r="L53" s="3408"/>
      <c r="M53" s="2719">
        <f t="shared" ref="M53:O54" ca="1" si="0">D55</f>
        <v>2</v>
      </c>
      <c r="N53" s="2717" t="str">
        <f t="shared" si="0"/>
        <v>销售额×税（费）率</v>
      </c>
      <c r="O53" s="2720" t="str">
        <f t="shared" si="0"/>
        <v>免征</v>
      </c>
    </row>
    <row r="54" spans="1:35" ht="12" customHeight="1">
      <c r="A54" s="2527" t="s">
        <v>1984</v>
      </c>
      <c r="B54" s="3432" t="s">
        <v>2975</v>
      </c>
      <c r="C54" s="3433"/>
      <c r="D54" s="1219">
        <f ca="1">C68</f>
        <v>260</v>
      </c>
      <c r="E54" s="333" t="s">
        <v>1985</v>
      </c>
      <c r="F54" s="2748">
        <f>'数据-取费表'!B41</f>
        <v>5.6000000000000001E-2</v>
      </c>
      <c r="G54" s="2749"/>
      <c r="H54" s="2750"/>
      <c r="I54" s="1962"/>
      <c r="J54" s="2717">
        <v>3</v>
      </c>
      <c r="K54" s="3408" t="s">
        <v>1986</v>
      </c>
      <c r="L54" s="3408"/>
      <c r="M54" s="2719">
        <f t="shared" ca="1" si="0"/>
        <v>2755</v>
      </c>
      <c r="N54" s="2717" t="str">
        <f t="shared" si="0"/>
        <v>增值额×税（费）率</v>
      </c>
      <c r="O54" s="2721" t="str">
        <f t="shared" si="0"/>
        <v>免征</v>
      </c>
    </row>
    <row r="55" spans="1:35" ht="24" customHeight="1">
      <c r="A55" s="3471" t="s">
        <v>1987</v>
      </c>
      <c r="B55" s="3449"/>
      <c r="C55" s="3449"/>
      <c r="D55" s="2516">
        <f ca="1">IF(H55="个人住宅",0,ROUND(D45*I55,0))</f>
        <v>2</v>
      </c>
      <c r="E55" s="2526" t="s">
        <v>1988</v>
      </c>
      <c r="F55" s="2748" t="str">
        <f>IF(H55="正常",I55,"免征")</f>
        <v>免征</v>
      </c>
      <c r="G55" s="2749"/>
      <c r="H55" s="2744"/>
      <c r="I55" s="170">
        <f>'数据-取费表'!B49</f>
        <v>5.0000000000000001E-4</v>
      </c>
      <c r="J55" s="2717">
        <f>IF(H59="非个人房产","",4)</f>
        <v>4</v>
      </c>
      <c r="K55" s="3408" t="str">
        <f>IF(H59="非个人房产","——","个人所得税")</f>
        <v>个人所得税</v>
      </c>
      <c r="L55" s="3408"/>
      <c r="M55" s="2722">
        <f ca="1">D59</f>
        <v>46</v>
      </c>
      <c r="N55" s="2197" t="str">
        <f>E59</f>
        <v>差额计税</v>
      </c>
      <c r="O55" s="2723">
        <f>F59</f>
        <v>0.01</v>
      </c>
    </row>
    <row r="56" spans="1:35" ht="24.75">
      <c r="A56" s="3471" t="s">
        <v>1989</v>
      </c>
      <c r="B56" s="3449"/>
      <c r="C56" s="3449"/>
      <c r="D56" s="2516">
        <f ca="1">IF(H56="个人住宅",D57,D58)</f>
        <v>2755</v>
      </c>
      <c r="E56" s="2526" t="s">
        <v>1990</v>
      </c>
      <c r="F56" s="2748" t="str">
        <f>IF(H56="正常",F58,"免征")</f>
        <v>免征</v>
      </c>
      <c r="G56" s="2751" t="s">
        <v>1991</v>
      </c>
      <c r="H56" s="2752"/>
      <c r="I56" s="1963"/>
      <c r="J56" s="2717" t="str">
        <f>IF(项目基本情况!K6="上海银行",IF(J55="",4,J55+1),"")</f>
        <v/>
      </c>
      <c r="K56" s="3389" t="str">
        <f>IF(项目基本情况!K6="上海银行","其他处置费用","")</f>
        <v/>
      </c>
      <c r="L56" s="3390"/>
      <c r="M56" s="2719" t="str">
        <f>IF(项目基本情况!K6="上海银行",M69,"")</f>
        <v/>
      </c>
      <c r="N56" s="3389" t="str">
        <f>IF(项目基本情况!K6="上海银行","包含处置中涉及的律师、诉讼、拍卖、评估等费用","")</f>
        <v/>
      </c>
      <c r="O56" s="3392"/>
    </row>
    <row r="57" spans="1:35" ht="12.75">
      <c r="A57" s="2527" t="s">
        <v>1967</v>
      </c>
      <c r="B57" s="3432" t="s">
        <v>1992</v>
      </c>
      <c r="C57" s="3433"/>
      <c r="D57" s="1744">
        <v>0</v>
      </c>
      <c r="E57" s="330" t="s">
        <v>1969</v>
      </c>
      <c r="F57" s="308"/>
      <c r="G57" s="2749"/>
      <c r="H57" s="2753"/>
      <c r="I57" s="1963"/>
      <c r="J57" s="3408">
        <f>IF(AND(J55="",J56=""),4,IF(项目基本情况!K6="上海银行",结果表!J56+1,结果表!J55+1))</f>
        <v>5</v>
      </c>
      <c r="K57" s="3408" t="s">
        <v>1993</v>
      </c>
      <c r="L57" s="2724" t="s">
        <v>1994</v>
      </c>
      <c r="M57" s="2725"/>
      <c r="N57" s="2726">
        <f ca="1">SUMIF(M52:M56,"&lt;9e307")</f>
        <v>2803</v>
      </c>
      <c r="O57" s="2727"/>
      <c r="P57" s="2887">
        <f ca="1">N57/M49</f>
        <v>0.57580115036976176</v>
      </c>
    </row>
    <row r="58" spans="1:35" ht="24.75">
      <c r="A58" s="2527" t="s">
        <v>1978</v>
      </c>
      <c r="B58" s="3432" t="s">
        <v>1995</v>
      </c>
      <c r="C58" s="3431"/>
      <c r="D58" s="2516">
        <f ca="1">IF(H58="转让取得",C81,C97)</f>
        <v>2755</v>
      </c>
      <c r="E58" s="2526" t="s">
        <v>1990</v>
      </c>
      <c r="F58" s="308" t="s">
        <v>34</v>
      </c>
      <c r="G58" s="2749"/>
      <c r="H58" s="2752"/>
      <c r="I58" s="1963"/>
      <c r="J58" s="3408"/>
      <c r="K58" s="3408"/>
      <c r="L58" s="2724" t="s">
        <v>1996</v>
      </c>
      <c r="M58" s="2728"/>
      <c r="N58" s="2729" t="str">
        <f ca="1">NUMBERSTRING(INT(N57*10000),2)&amp;"元整"</f>
        <v>贰仟捌佰零叁万元整</v>
      </c>
      <c r="O58" s="2730"/>
    </row>
    <row r="59" spans="1:35" ht="24.75" thickBot="1">
      <c r="A59" s="3412" t="s">
        <v>1997</v>
      </c>
      <c r="B59" s="3413"/>
      <c r="C59" s="3413"/>
      <c r="D59" s="2754">
        <f ca="1">IF(H59="非个人房产","——",IF(H59="个人住宅（满五唯一有凭证）",0,IF(H59="个人其他（无凭证）",ROUND(D45*F59,0),ROUND(C67*F59,0))))</f>
        <v>46</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1"/>
      <c r="I59" s="2500" t="s">
        <v>2816</v>
      </c>
      <c r="J59" s="3410">
        <f>J57+1</f>
        <v>6</v>
      </c>
      <c r="K59" s="3408" t="s">
        <v>1998</v>
      </c>
      <c r="L59" s="2717" t="s">
        <v>1994</v>
      </c>
      <c r="M59" s="2731"/>
      <c r="N59" s="2732">
        <f ca="1">M49-N57</f>
        <v>2065</v>
      </c>
      <c r="O59" s="2733"/>
    </row>
    <row r="60" spans="1:35" ht="12" customHeight="1">
      <c r="A60" s="1964"/>
      <c r="B60" s="1902"/>
      <c r="C60" s="1902"/>
      <c r="D60" s="1902"/>
      <c r="E60" s="1732"/>
      <c r="F60" s="1963"/>
      <c r="G60" s="1963"/>
      <c r="H60" s="1965"/>
      <c r="I60" s="134"/>
      <c r="J60" s="3411"/>
      <c r="K60" s="3408"/>
      <c r="L60" s="2724" t="s">
        <v>1996</v>
      </c>
      <c r="M60" s="2728"/>
      <c r="N60" s="2729" t="str">
        <f ca="1">NUMBERSTRING(INT(N59*10000),2)&amp;"元整"</f>
        <v>贰仟零陆拾伍万元整</v>
      </c>
      <c r="O60" s="2730"/>
    </row>
    <row r="61" spans="1:35" ht="13.5" thickBot="1">
      <c r="A61" s="3470" t="s">
        <v>1999</v>
      </c>
      <c r="B61" s="3470"/>
      <c r="C61" s="3470"/>
      <c r="D61" s="3470"/>
      <c r="E61" s="3470"/>
      <c r="F61" s="1963"/>
      <c r="G61" s="1963"/>
      <c r="H61" s="1965"/>
      <c r="I61" s="134"/>
      <c r="J61" s="2717">
        <f>J59+1</f>
        <v>7</v>
      </c>
      <c r="K61" s="3408" t="s">
        <v>2000</v>
      </c>
      <c r="L61" s="3408"/>
      <c r="M61" s="2734"/>
      <c r="N61" s="2735">
        <f ca="1">ROUND(N59*10000/'数据-汇总表'!E3,0)</f>
        <v>5096</v>
      </c>
      <c r="O61" s="2736"/>
    </row>
    <row r="62" spans="1:35" ht="12.75">
      <c r="A62" s="3427" t="s">
        <v>2001</v>
      </c>
      <c r="B62" s="3428"/>
      <c r="C62" s="2178"/>
      <c r="D62" s="2178" t="s">
        <v>2002</v>
      </c>
      <c r="E62" s="171" t="s">
        <v>2003</v>
      </c>
      <c r="F62" s="1963"/>
      <c r="G62" s="1963"/>
      <c r="H62" s="1965"/>
      <c r="I62" s="134"/>
    </row>
    <row r="63" spans="1:35" ht="12.75">
      <c r="A63" s="178" t="s">
        <v>775</v>
      </c>
      <c r="B63" s="172" t="s">
        <v>2004</v>
      </c>
      <c r="C63" s="2758">
        <f ca="1">ROUND((C64+C65)/(1+'数据-取费表'!C42),0)</f>
        <v>4636</v>
      </c>
      <c r="D63" s="172"/>
      <c r="E63" s="173"/>
      <c r="F63" s="1963"/>
      <c r="G63" s="1963"/>
      <c r="H63" s="1965"/>
      <c r="I63" s="134"/>
      <c r="J63" s="3391" t="s">
        <v>2005</v>
      </c>
      <c r="K63" s="1471" t="s">
        <v>2006</v>
      </c>
      <c r="L63" s="1471">
        <f ca="1">IF(M49&gt;10000,M49*0.5%,IF(AND(M49&gt;1000,M49&lt;=10000),M49*1%,IF(AND(M49&gt;100,M49&lt;=1000),M49*3%,IF(AND(M49&gt;10,M49&lt;=100),M49*5%,M49*8%))))</f>
        <v>48.68</v>
      </c>
      <c r="M63" s="308">
        <f ca="1">ROUND(L63,1)</f>
        <v>48.7</v>
      </c>
      <c r="N63" s="2737"/>
      <c r="Z63" s="1907"/>
      <c r="AI63" s="1908"/>
    </row>
    <row r="64" spans="1:35" ht="14.25" customHeight="1">
      <c r="A64" s="174" t="s">
        <v>770</v>
      </c>
      <c r="B64" s="175" t="s">
        <v>2007</v>
      </c>
      <c r="C64" s="2759">
        <f ca="1">D45</f>
        <v>4868</v>
      </c>
      <c r="D64" s="175" t="s">
        <v>32</v>
      </c>
      <c r="E64" s="177"/>
      <c r="F64" s="1963"/>
      <c r="G64" s="1963"/>
      <c r="H64" s="1965"/>
      <c r="I64" s="134"/>
      <c r="J64" s="3391"/>
      <c r="K64" s="1471" t="s">
        <v>2008</v>
      </c>
      <c r="L64" s="1471">
        <f ca="1">IF(M49&gt;2000,M49*0.5%,IF(AND(M49&gt;1000,M49&lt;=2000),M49*0.6%,IF(AND(M49&gt;500,M49&lt;=1000),M49*0.7%,IF(AND(M49&gt;200,M49&lt;=500),M49*0.8%,IF(AND(M49&gt;100,M49&lt;=200),M49*0.9%,IF(AND(M49&gt;50,M49&lt;=100),M49*1%,IF(AND(M49&gt;20,M49&lt;=50),M49*1.5%,IF(AND(M49&gt;10,M49&lt;=20),M49*2%,IF(AND(M49&gt;1,M49&lt;=10),M49*2.5%)))))))))</f>
        <v>24.34</v>
      </c>
      <c r="M64" s="308">
        <f t="shared" ref="M64:M65" ca="1" si="1">ROUND(L64,1)</f>
        <v>24.3</v>
      </c>
      <c r="N64" s="2738" t="s">
        <v>2009</v>
      </c>
      <c r="Z64" s="1907"/>
      <c r="AI64" s="1908"/>
    </row>
    <row r="65" spans="1:35" ht="14.25" customHeight="1">
      <c r="A65" s="174" t="s">
        <v>771</v>
      </c>
      <c r="B65" s="175" t="s">
        <v>2010</v>
      </c>
      <c r="C65" s="2760"/>
      <c r="D65" s="175"/>
      <c r="E65" s="177"/>
      <c r="F65" s="1963"/>
      <c r="G65" s="1963"/>
      <c r="H65" s="1965"/>
      <c r="I65" s="134"/>
      <c r="J65" s="3391"/>
      <c r="K65" s="1471" t="s">
        <v>2011</v>
      </c>
      <c r="L65" s="1471">
        <f ca="1">IF(M49&gt;1000,M49*0.1%,IF(AND(M49&gt;500,M49&lt;=1000),M49*0.5%,IF(AND(M49&gt;50,M49&lt;=500),M49*1%,IF(AND(M49&gt;1,M49&lt;=50),M49*1.5%))))</f>
        <v>4.8680000000000003</v>
      </c>
      <c r="M65" s="308">
        <f t="shared" ca="1" si="1"/>
        <v>4.9000000000000004</v>
      </c>
      <c r="N65" s="2738" t="s">
        <v>2009</v>
      </c>
      <c r="Z65" s="1907"/>
      <c r="AI65" s="1908"/>
    </row>
    <row r="66" spans="1:35" ht="14.25" customHeight="1">
      <c r="A66" s="178" t="s">
        <v>772</v>
      </c>
      <c r="B66" s="179" t="s">
        <v>2012</v>
      </c>
      <c r="C66" s="2761"/>
      <c r="D66" s="179" t="s">
        <v>32</v>
      </c>
      <c r="E66" s="1478" t="s">
        <v>1277</v>
      </c>
      <c r="F66" s="1963"/>
      <c r="G66" s="1963"/>
      <c r="H66" s="1965"/>
      <c r="I66" s="134"/>
      <c r="J66" s="3391"/>
      <c r="K66" s="1471" t="s">
        <v>2013</v>
      </c>
      <c r="L66" s="1471">
        <f ca="1">M49*0.5%</f>
        <v>24.34</v>
      </c>
      <c r="M66" s="308">
        <f ca="1">IF(L66&gt;0.5,0.5,ROUND(L66,0))</f>
        <v>0.5</v>
      </c>
      <c r="N66" s="2738" t="s">
        <v>2014</v>
      </c>
      <c r="Z66" s="1907"/>
      <c r="AI66" s="1908"/>
    </row>
    <row r="67" spans="1:35" ht="14.25" customHeight="1">
      <c r="A67" s="178" t="s">
        <v>773</v>
      </c>
      <c r="B67" s="179" t="s">
        <v>2015</v>
      </c>
      <c r="C67" s="2762">
        <f ca="1">C63-C66</f>
        <v>4636</v>
      </c>
      <c r="D67" s="175" t="s">
        <v>32</v>
      </c>
      <c r="E67" s="177"/>
      <c r="F67" s="1963"/>
      <c r="G67" s="1963"/>
      <c r="H67" s="1965"/>
      <c r="I67" s="134"/>
      <c r="J67" s="3391"/>
      <c r="K67" s="1471" t="s">
        <v>2016</v>
      </c>
      <c r="L67" s="1471">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7"/>
      <c r="AI67" s="1908"/>
    </row>
    <row r="68" spans="1:35" ht="14.25" customHeight="1" thickBot="1">
      <c r="A68" s="181" t="s">
        <v>774</v>
      </c>
      <c r="B68" s="182" t="s">
        <v>2017</v>
      </c>
      <c r="C68" s="2763">
        <f ca="1">IF(C67&lt;=0,0,ROUND(C67*D68,0))</f>
        <v>260</v>
      </c>
      <c r="D68" s="2764">
        <f>'数据-取费表'!B41</f>
        <v>5.6000000000000001E-2</v>
      </c>
      <c r="E68" s="184"/>
      <c r="F68" s="1963"/>
      <c r="G68" s="1963"/>
      <c r="H68" s="1965"/>
      <c r="I68" s="134"/>
      <c r="J68" s="3391"/>
      <c r="K68" s="1471" t="s">
        <v>2018</v>
      </c>
      <c r="L68" s="1471">
        <f ca="1">IF(M49&gt;10000,M49*0.5%,IF(AND(M49&gt;5000,M49&lt;=10000),M49*1%,IF(AND(M49&gt;1000,M49&lt;=5000),M49*2%,IF(AND(M49&gt;200,M49&lt;=1000),M49*3%,M49*5%))))</f>
        <v>97.36</v>
      </c>
      <c r="M68" s="308">
        <f ca="1">ROUND(L68,1)</f>
        <v>97.4</v>
      </c>
      <c r="N68" s="2737"/>
      <c r="Z68" s="1907"/>
      <c r="AI68" s="1908"/>
    </row>
    <row r="69" spans="1:35" s="1927" customFormat="1" ht="16.5" customHeight="1">
      <c r="A69" s="1966"/>
      <c r="B69" s="1967"/>
      <c r="C69" s="1968"/>
      <c r="D69" s="1969"/>
      <c r="E69" s="1970"/>
      <c r="F69" s="1732"/>
      <c r="G69" s="1732"/>
      <c r="H69" s="1731"/>
      <c r="I69" s="1902"/>
      <c r="J69" s="3391"/>
      <c r="K69" s="1471" t="s">
        <v>2019</v>
      </c>
      <c r="L69" s="1471"/>
      <c r="M69" s="308">
        <f ca="1">ROUND(SUM(M63:M68),0)</f>
        <v>178</v>
      </c>
      <c r="N69" s="2739">
        <f ca="1">M69/M49</f>
        <v>3.6565324568611342E-2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35" t="s">
        <v>2020</v>
      </c>
      <c r="B70" s="3436"/>
      <c r="C70" s="3436"/>
      <c r="D70" s="3436"/>
      <c r="E70" s="3436"/>
      <c r="F70" s="3436"/>
      <c r="G70" s="3436"/>
      <c r="H70" s="3436"/>
      <c r="I70" s="1971"/>
      <c r="J70" s="2888"/>
      <c r="K70" s="2888"/>
      <c r="L70" s="2888"/>
      <c r="M70" s="2888"/>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2178"/>
      <c r="D71" s="2178" t="s">
        <v>2002</v>
      </c>
      <c r="E71" s="185" t="s">
        <v>2003</v>
      </c>
      <c r="F71" s="186"/>
      <c r="G71" s="186"/>
      <c r="H71" s="187"/>
      <c r="I71" s="1975"/>
      <c r="J71" s="2888"/>
      <c r="K71" s="2888"/>
      <c r="L71" s="2888"/>
      <c r="M71" s="2888"/>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2">
        <f ca="1">ROUND(D45/(1+'数据-取费表'!C42),0)</f>
        <v>4636</v>
      </c>
      <c r="D72" s="175" t="s">
        <v>32</v>
      </c>
      <c r="E72" s="2523"/>
      <c r="F72" s="2522"/>
      <c r="G72" s="2522"/>
      <c r="H72" s="188"/>
      <c r="I72" s="1975"/>
      <c r="J72" s="2888"/>
      <c r="K72" s="2888"/>
      <c r="L72" s="2888"/>
      <c r="M72" s="2888"/>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2">
        <f ca="1">C74+C78</f>
        <v>28</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5"/>
      <c r="D75" s="175" t="s">
        <v>32</v>
      </c>
      <c r="E75" s="190" t="s">
        <v>2025</v>
      </c>
      <c r="F75" s="2766"/>
      <c r="G75" s="190" t="s">
        <v>2026</v>
      </c>
      <c r="H75" s="2767"/>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8">
        <v>0.05</v>
      </c>
      <c r="E76" s="3432" t="s">
        <v>2028</v>
      </c>
      <c r="F76" s="3431"/>
      <c r="G76" s="3431"/>
      <c r="H76" s="343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69">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0">
        <f ca="1">ROUND(D45*D78/(1+'数据-取费表'!C42),0)</f>
        <v>28</v>
      </c>
      <c r="D78" s="2771">
        <f>'数据-取费表'!B43</f>
        <v>6.000000000000001E-3</v>
      </c>
      <c r="E78" s="3424" t="s">
        <v>2032</v>
      </c>
      <c r="F78" s="3425"/>
      <c r="G78" s="3425"/>
      <c r="H78" s="342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2">
        <f ca="1">C72-C73</f>
        <v>4608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2">
        <f ca="1">IF(C79&lt;=0,0,C79/C73)</f>
        <v>164.57142857142858</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3">
        <f ca="1">ROUND(IF(C79&lt;=0,0,IF(C80&gt;=200%,C79*60%-C73*35%,IF(C80&gt;=100%,C79*50%-C73*15%,IF(C80&gt;=50%,C79*40%-C73*5%,IF(C80&lt;50%,C79*30%,0))))),0)</f>
        <v>2755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35" t="s">
        <v>2036</v>
      </c>
      <c r="B83" s="3436"/>
      <c r="C83" s="3436"/>
      <c r="D83" s="3436"/>
      <c r="E83" s="3436"/>
      <c r="F83" s="3436"/>
      <c r="G83" s="3436"/>
      <c r="H83" s="343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2">
        <f ca="1">ROUND(D45/(1+'数据-取费表'!C42),0)</f>
        <v>4636</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2">
        <f ca="1">IF(H88="仅含出让金",C87+C90+C91+C92+C93+C94,C87+C91+C92+C93+C94)</f>
        <v>28</v>
      </c>
      <c r="D86" s="2775"/>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0">
        <f>C88+C89</f>
        <v>0</v>
      </c>
      <c r="D87" s="2771"/>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6"/>
      <c r="D88" s="2771"/>
      <c r="E88" s="199" t="s">
        <v>2039</v>
      </c>
      <c r="F88" s="2519"/>
      <c r="G88" s="200" t="s">
        <v>2040</v>
      </c>
      <c r="H88" s="1979"/>
      <c r="I88" s="1976"/>
      <c r="J88" s="2715" t="s">
        <v>2971</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0">
        <f>ROUND(C88*D89,0)</f>
        <v>0</v>
      </c>
      <c r="D89" s="2771">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6"/>
      <c r="D90" s="2771"/>
      <c r="E90" s="199" t="str">
        <f>IF(H88="-","土地取得成本中已包含该笔费用"," ")</f>
        <v xml:space="preserve"> </v>
      </c>
      <c r="F90" s="2519"/>
      <c r="G90" s="3393" t="s">
        <v>2808</v>
      </c>
      <c r="H90" s="3394"/>
      <c r="I90" s="1976"/>
      <c r="J90" s="2715" t="s">
        <v>2972</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0">
        <f>IF(H91="——",成本法!C33,I91)</f>
        <v>0</v>
      </c>
      <c r="D91" s="2771"/>
      <c r="E91" s="3424" t="s">
        <v>2045</v>
      </c>
      <c r="F91" s="3425"/>
      <c r="G91" s="342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0">
        <f>ROUND((C87+C90+C91)*D92,0)</f>
        <v>0</v>
      </c>
      <c r="D92" s="2777"/>
      <c r="E92" s="3424" t="s">
        <v>2048</v>
      </c>
      <c r="F92" s="3425"/>
      <c r="G92" s="3425"/>
      <c r="H92" s="3426"/>
      <c r="I92" s="1976"/>
      <c r="J92" s="2716" t="s">
        <v>2973</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0">
        <f ca="1">ROUND(D45*D93/(1+'数据-取费表'!C42),0)</f>
        <v>28</v>
      </c>
      <c r="D93" s="2771">
        <f>'数据-取费表'!B43</f>
        <v>6.000000000000001E-3</v>
      </c>
      <c r="E93" s="3424" t="s">
        <v>2032</v>
      </c>
      <c r="F93" s="3425"/>
      <c r="G93" s="3425"/>
      <c r="H93" s="342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6">
        <f>ROUND((C87+C90+C91)*D94,0)</f>
        <v>0</v>
      </c>
      <c r="D94" s="2771">
        <v>0.2</v>
      </c>
      <c r="E94" s="3472" t="s">
        <v>2052</v>
      </c>
      <c r="F94" s="3473"/>
      <c r="G94" s="3473"/>
      <c r="H94" s="347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2">
        <f ca="1">ROUND(C85-C86,0)</f>
        <v>4608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2">
        <f ca="1">IF(C95&lt;=0,0,C95/C86)</f>
        <v>164.57142857142858</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3">
        <f ca="1">ROUND(IF(C95&lt;=0,0,IF(C96&gt;=200%,C95*60%-C86*35%,IF(C96&gt;=100%,C95*50%-C86*15%,IF(C96&gt;=50%,C95*40%-C86*5%,IF(C96&lt;50%,C95*30%,0))))),0)</f>
        <v>2755</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74" t="s">
        <v>2054</v>
      </c>
      <c r="B100" s="3375"/>
      <c r="C100" s="3375"/>
      <c r="D100" s="3409"/>
      <c r="E100" s="3375" t="s">
        <v>2055</v>
      </c>
      <c r="F100" s="3375"/>
      <c r="G100" s="3375"/>
      <c r="H100" s="3409"/>
      <c r="I100" s="134"/>
    </row>
    <row r="101" spans="1:35" ht="18.75" customHeight="1">
      <c r="A101" s="3417" t="s">
        <v>2056</v>
      </c>
      <c r="B101" s="3418"/>
      <c r="C101" s="2779" t="str">
        <f>C4</f>
        <v>成本法</v>
      </c>
      <c r="D101" s="2780" t="str">
        <f>D4</f>
        <v>收益法</v>
      </c>
      <c r="E101" s="3387" t="s">
        <v>2057</v>
      </c>
      <c r="F101" s="3388"/>
      <c r="G101" s="1982" t="s">
        <v>2058</v>
      </c>
      <c r="H101" s="2789">
        <f ca="1">H118</f>
        <v>4868</v>
      </c>
      <c r="I101" s="134"/>
    </row>
    <row r="102" spans="1:35" ht="18.75" customHeight="1">
      <c r="A102" s="3419" t="s">
        <v>2059</v>
      </c>
      <c r="B102" s="2778" t="s">
        <v>2058</v>
      </c>
      <c r="C102" s="2779">
        <f ca="1">C19</f>
        <v>6762</v>
      </c>
      <c r="D102" s="2780">
        <f ca="1">D19</f>
        <v>3606</v>
      </c>
      <c r="E102" s="3387"/>
      <c r="F102" s="3388"/>
      <c r="G102" s="1982" t="s">
        <v>2060</v>
      </c>
      <c r="H102" s="2749">
        <f ca="1">I118</f>
        <v>12014</v>
      </c>
      <c r="I102" s="134"/>
    </row>
    <row r="103" spans="1:35" ht="42.75" customHeight="1">
      <c r="A103" s="3419"/>
      <c r="B103" s="2778" t="s">
        <v>2060</v>
      </c>
      <c r="C103" s="2781">
        <f ca="1">C20</f>
        <v>16688</v>
      </c>
      <c r="D103" s="2782">
        <f ca="1">D20</f>
        <v>8899</v>
      </c>
      <c r="E103" s="3380" t="s">
        <v>2061</v>
      </c>
      <c r="F103" s="3381"/>
      <c r="G103" s="1983" t="s">
        <v>2062</v>
      </c>
      <c r="H103" s="2789">
        <f>IF(D36="正常操作",H104+H105+H106,H105+H106)</f>
        <v>0</v>
      </c>
      <c r="I103" s="134"/>
    </row>
    <row r="104" spans="1:35" ht="18.75" customHeight="1">
      <c r="A104" s="3419" t="s">
        <v>2063</v>
      </c>
      <c r="B104" s="2783" t="s">
        <v>2058</v>
      </c>
      <c r="C104" s="2784">
        <f ca="1">H118</f>
        <v>4868</v>
      </c>
      <c r="D104" s="2785"/>
      <c r="E104" s="1829" t="s">
        <v>2064</v>
      </c>
      <c r="F104" s="1820"/>
      <c r="G104" s="1983" t="s">
        <v>2062</v>
      </c>
      <c r="H104" s="2790">
        <f>IF(D36="同一抵押权人同一抵押物续贷",C36&amp;"（续贷，未扣减，详见特别提示）",C36)</f>
        <v>0</v>
      </c>
      <c r="I104" s="134"/>
    </row>
    <row r="105" spans="1:35" ht="18.75" customHeight="1" thickBot="1">
      <c r="A105" s="3429"/>
      <c r="B105" s="2786" t="s">
        <v>2060</v>
      </c>
      <c r="C105" s="2787">
        <f ca="1">I118</f>
        <v>12014</v>
      </c>
      <c r="D105" s="2788"/>
      <c r="E105" s="1829" t="s">
        <v>2065</v>
      </c>
      <c r="F105" s="1820"/>
      <c r="G105" s="1983" t="s">
        <v>2062</v>
      </c>
      <c r="H105" s="2791">
        <f>C37</f>
        <v>0</v>
      </c>
      <c r="I105" s="134"/>
    </row>
    <row r="106" spans="1:35" ht="18.75" customHeight="1">
      <c r="A106" s="1902" t="s">
        <v>2066</v>
      </c>
      <c r="B106" s="1902"/>
      <c r="C106" s="1902"/>
      <c r="D106" s="1902"/>
      <c r="E106" s="1984" t="s">
        <v>2067</v>
      </c>
      <c r="F106" s="1820"/>
      <c r="G106" s="1983" t="s">
        <v>2062</v>
      </c>
      <c r="H106" s="2791">
        <f>C38</f>
        <v>0</v>
      </c>
      <c r="I106" s="134"/>
    </row>
    <row r="107" spans="1:35" ht="18.75" customHeight="1">
      <c r="A107" s="134"/>
      <c r="B107" s="134"/>
      <c r="C107" s="134"/>
      <c r="D107" s="134"/>
      <c r="E107" s="3420" t="str">
        <f>IF(项目基本情况!E8="已注销","——","3.房地产抵押价值")</f>
        <v>3.房地产抵押价值</v>
      </c>
      <c r="F107" s="3388"/>
      <c r="G107" s="1982" t="s">
        <v>2058</v>
      </c>
      <c r="H107" s="2789">
        <f ca="1">IF(E107="——","——",H101-H103)</f>
        <v>4868</v>
      </c>
      <c r="I107" s="134"/>
    </row>
    <row r="108" spans="1:35" ht="18.75" customHeight="1">
      <c r="A108" s="134"/>
      <c r="B108" s="134"/>
      <c r="C108" s="134"/>
      <c r="D108" s="134"/>
      <c r="E108" s="3420"/>
      <c r="F108" s="3388"/>
      <c r="G108" s="1982" t="s">
        <v>2060</v>
      </c>
      <c r="H108" s="2749">
        <f ca="1">ROUND(H107*10000/'数据-汇总表'!E3,0)</f>
        <v>12014</v>
      </c>
      <c r="I108" s="134"/>
    </row>
    <row r="109" spans="1:35" ht="18.75" customHeight="1">
      <c r="A109" s="134"/>
      <c r="B109" s="134"/>
      <c r="C109" s="134"/>
      <c r="D109" s="134"/>
      <c r="E109" s="3420" t="str">
        <f>IF(项目基本情况!E8="已注销及未注销","4.抵押担保权已注销时的房地产抵押价值",IF(项目基本情况!E8="已注销","3.抵押担保权已注销时的房地产抵押价值","——"))</f>
        <v>——</v>
      </c>
      <c r="F109" s="3388"/>
      <c r="G109" s="1982" t="s">
        <v>2058</v>
      </c>
      <c r="H109" s="2792" t="str">
        <f>IF(E109="——","——",H101-H105-H106)</f>
        <v>——</v>
      </c>
      <c r="I109" s="134"/>
    </row>
    <row r="110" spans="1:35" ht="18.75" customHeight="1">
      <c r="A110" s="134"/>
      <c r="B110" s="134"/>
      <c r="C110" s="134"/>
      <c r="D110" s="134"/>
      <c r="E110" s="3420"/>
      <c r="F110" s="3388"/>
      <c r="G110" s="1982" t="s">
        <v>2060</v>
      </c>
      <c r="H110" s="2749" t="str">
        <f>IF(H109="——","——",ROUND(H109*10000/'数据-汇总表'!E3,0))</f>
        <v>——</v>
      </c>
      <c r="I110" s="134"/>
    </row>
    <row r="111" spans="1:35" ht="18.75" customHeight="1">
      <c r="A111" s="134"/>
      <c r="B111" s="134"/>
      <c r="C111" s="134"/>
      <c r="D111" s="134"/>
      <c r="E111" s="3421" t="str">
        <f>IF(项目基本情况!E9="抵押净值",IF(OR(项目基本情况!E8="已注销",项目基本情况!E8="房地产抵押价值"),"4.抵押净值","5.抵押净值"),"——")</f>
        <v>——</v>
      </c>
      <c r="F111" s="3407"/>
      <c r="G111" s="1982" t="s">
        <v>2058</v>
      </c>
      <c r="H111" s="2789" t="str">
        <f>IF(E111="——","——",N59)</f>
        <v>——</v>
      </c>
      <c r="I111" s="134"/>
    </row>
    <row r="112" spans="1:35" ht="18.75" customHeight="1" thickBot="1">
      <c r="A112" s="134"/>
      <c r="B112" s="134"/>
      <c r="C112" s="134"/>
      <c r="D112" s="134"/>
      <c r="E112" s="3422"/>
      <c r="F112" s="3423"/>
      <c r="G112" s="1985" t="s">
        <v>2060</v>
      </c>
      <c r="H112" s="2793" t="str">
        <f>IF(E111="——","——",N61)</f>
        <v>——</v>
      </c>
      <c r="I112" s="134"/>
    </row>
    <row r="113" spans="1:27" ht="18.75" customHeight="1">
      <c r="A113" s="134"/>
      <c r="B113" s="134"/>
      <c r="C113" s="134"/>
      <c r="D113" s="134"/>
      <c r="E113" s="3430" t="s">
        <v>2066</v>
      </c>
      <c r="F113" s="3430"/>
      <c r="G113" s="3430"/>
      <c r="H113" s="3430"/>
      <c r="I113" s="134"/>
    </row>
    <row r="114" spans="1:27" ht="3.75" customHeight="1">
      <c r="A114" s="1902"/>
      <c r="B114" s="1902"/>
      <c r="C114" s="1902"/>
      <c r="D114" s="1902"/>
      <c r="E114" s="1964"/>
      <c r="F114" s="1964"/>
      <c r="G114" s="1964"/>
      <c r="H114" s="1964"/>
      <c r="I114" s="1902"/>
    </row>
    <row r="115" spans="1:27" ht="18.75" customHeight="1">
      <c r="A115" s="3441" t="s">
        <v>2068</v>
      </c>
      <c r="B115" s="3442"/>
      <c r="C115" s="3442"/>
      <c r="D115" s="3442"/>
      <c r="E115" s="3442"/>
      <c r="F115" s="3442"/>
      <c r="G115" s="3442"/>
      <c r="H115" s="3442"/>
      <c r="I115" s="3443"/>
    </row>
    <row r="116" spans="1:27" ht="27" customHeight="1">
      <c r="A116" s="3395" t="s">
        <v>2069</v>
      </c>
      <c r="B116" s="3399" t="s">
        <v>2070</v>
      </c>
      <c r="C116" s="3399" t="s">
        <v>2071</v>
      </c>
      <c r="D116" s="3405" t="s">
        <v>2072</v>
      </c>
      <c r="E116" s="3406"/>
      <c r="F116" s="3437" t="s">
        <v>3266</v>
      </c>
      <c r="G116" s="3437"/>
      <c r="H116" s="3395" t="s">
        <v>2073</v>
      </c>
      <c r="I116" s="3395"/>
    </row>
    <row r="117" spans="1:27" ht="18.75" customHeight="1">
      <c r="A117" s="3395"/>
      <c r="B117" s="3400"/>
      <c r="C117" s="3400"/>
      <c r="D117" s="2521" t="s">
        <v>2074</v>
      </c>
      <c r="E117" s="2521" t="s">
        <v>2075</v>
      </c>
      <c r="F117" s="2521" t="s">
        <v>2074</v>
      </c>
      <c r="G117" s="2521" t="s">
        <v>2076</v>
      </c>
      <c r="H117" s="2521" t="s">
        <v>2074</v>
      </c>
      <c r="I117" s="2521" t="s">
        <v>2076</v>
      </c>
    </row>
    <row r="118" spans="1:27" ht="24.75" customHeight="1">
      <c r="A118" s="2794" t="str">
        <f>项目基本情况!S2</f>
        <v>北京市房地产</v>
      </c>
      <c r="B118" s="2521">
        <f>M18</f>
        <v>4052</v>
      </c>
      <c r="C118" s="2521">
        <f>M19</f>
        <v>19466.48</v>
      </c>
      <c r="D118" s="2521">
        <f ca="1">ROUND(IF(D32="总价",C34,E118*B118/10000),0)</f>
        <v>4148</v>
      </c>
      <c r="E118" s="2521">
        <f ca="1">ROUND(IF(C33="自定义",IF(D32="楼面单价",C34,D118*10000/B118),I118-G118),0)</f>
        <v>10237</v>
      </c>
      <c r="F118" s="2521">
        <f ca="1">ROUND(IF(D32="总价",C35,G118*B118/10000),0)</f>
        <v>720</v>
      </c>
      <c r="G118" s="2521">
        <f ca="1">ROUND(IF(D32="楼面单价",C35,F118*10000/B118),0)</f>
        <v>1777</v>
      </c>
      <c r="H118" s="2521">
        <f ca="1">ROUND(IF(D32="总价",C32,I118*B118/10000),0)</f>
        <v>4868</v>
      </c>
      <c r="I118" s="2521">
        <f ca="1">ROUND(IF(D32="楼面单价",C32,H118*10000/B118),0)</f>
        <v>12014</v>
      </c>
      <c r="J118" s="734">
        <f ca="1">D118/'数据-汇总表'!D3*666.67</f>
        <v>142.05686698365599</v>
      </c>
    </row>
    <row r="119" spans="1:27" ht="18.75" customHeight="1">
      <c r="A119" s="3395" t="s">
        <v>2077</v>
      </c>
      <c r="B119" s="3395"/>
      <c r="C119" s="3395"/>
      <c r="D119" s="3401" t="str">
        <f ca="1">NUMBERSTRING(INT(D118*10000),2)&amp;"元整"</f>
        <v>肆仟壹佰肆拾捌万元整</v>
      </c>
      <c r="E119" s="3402"/>
      <c r="F119" s="3401" t="str">
        <f ca="1">NUMBERSTRING(INT(F118*10000),2)&amp;"元整"</f>
        <v>柒佰贰拾万元整</v>
      </c>
      <c r="G119" s="3402"/>
      <c r="H119" s="3401" t="str">
        <f ca="1">NUMBERSTRING(INT(H118*10000),2)&amp;"元整"</f>
        <v>肆仟捌佰陆拾捌万元整</v>
      </c>
      <c r="I119" s="3402"/>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38" t="s">
        <v>2077</v>
      </c>
      <c r="B121" s="3439"/>
      <c r="C121" s="3440"/>
      <c r="D121" s="3401" t="str">
        <f>IF(D120=0,"零元整",NUMBERSTRING(INT(D120*10000),2)&amp;"元整")</f>
        <v>零元整</v>
      </c>
      <c r="E121" s="3403"/>
      <c r="F121" s="3403"/>
      <c r="G121" s="3403"/>
      <c r="H121" s="3403"/>
      <c r="I121" s="3402"/>
      <c r="AA121" s="734"/>
    </row>
    <row r="122" spans="1:27" ht="18.75" customHeight="1">
      <c r="A122" s="3407" t="str">
        <f>IF(项目基本情况!B9="房地产市场价值","",MID(E107,3,LEN(E107)-2))</f>
        <v>房地产抵押价值</v>
      </c>
      <c r="B122" s="3407"/>
      <c r="C122" s="3407"/>
      <c r="D122" s="3396">
        <f ca="1">H107</f>
        <v>4868</v>
      </c>
      <c r="E122" s="3397"/>
      <c r="F122" s="3397"/>
      <c r="G122" s="3397"/>
      <c r="H122" s="3397"/>
      <c r="I122" s="3398"/>
      <c r="AA122" s="734"/>
    </row>
    <row r="123" spans="1:27" ht="18.75" customHeight="1">
      <c r="A123" s="3395" t="s">
        <v>2077</v>
      </c>
      <c r="B123" s="3395"/>
      <c r="C123" s="3395"/>
      <c r="D123" s="3401" t="str">
        <f ca="1">NUMBERSTRING(INT(D122*10000),2)&amp;"元整"</f>
        <v>肆仟捌佰陆拾捌万元整</v>
      </c>
      <c r="E123" s="3403"/>
      <c r="F123" s="3403"/>
      <c r="G123" s="3403"/>
      <c r="H123" s="3403"/>
      <c r="I123" s="3402"/>
      <c r="AA123" s="734"/>
    </row>
    <row r="124" spans="1:27" ht="18.75" customHeight="1">
      <c r="A124" s="3407" t="str">
        <f>IF(项目基本情况!B9="房地产市场价值","",MID(E109,3,LEN(E109)-2))</f>
        <v/>
      </c>
      <c r="B124" s="3407"/>
      <c r="C124" s="3407"/>
      <c r="D124" s="3396" t="str">
        <f>H109</f>
        <v>——</v>
      </c>
      <c r="E124" s="3397"/>
      <c r="F124" s="3397"/>
      <c r="G124" s="3397"/>
      <c r="H124" s="3397"/>
      <c r="I124" s="3398"/>
      <c r="AA124" s="734"/>
    </row>
    <row r="125" spans="1:27" ht="18.75" customHeight="1">
      <c r="A125" s="3395" t="s">
        <v>2077</v>
      </c>
      <c r="B125" s="3395"/>
      <c r="C125" s="3395"/>
      <c r="D125" s="3401" t="e">
        <f>NUMBERSTRING(INT(D124*10000),2)&amp;"元整"</f>
        <v>#VALUE!</v>
      </c>
      <c r="E125" s="3403"/>
      <c r="F125" s="3403"/>
      <c r="G125" s="3403"/>
      <c r="H125" s="3403"/>
      <c r="I125" s="3402"/>
      <c r="AA125" s="734"/>
    </row>
    <row r="126" spans="1:27" ht="18.75" customHeight="1">
      <c r="A126" s="3407" t="str">
        <f>IF(项目基本情况!B9="房地产市场价值","",MID(E111,3,LEN(E111)-2))</f>
        <v/>
      </c>
      <c r="B126" s="3407"/>
      <c r="C126" s="3407"/>
      <c r="D126" s="3396" t="str">
        <f>H111</f>
        <v>——</v>
      </c>
      <c r="E126" s="3397"/>
      <c r="F126" s="3397"/>
      <c r="G126" s="3397"/>
      <c r="H126" s="3397"/>
      <c r="I126" s="3398"/>
      <c r="AA126" s="734"/>
    </row>
    <row r="127" spans="1:27" ht="18.75" customHeight="1">
      <c r="A127" s="3395" t="s">
        <v>2077</v>
      </c>
      <c r="B127" s="3395"/>
      <c r="C127" s="3395"/>
      <c r="D127" s="3401" t="e">
        <f>NUMBERSTRING(INT(D126*10000),2)&amp;"元整"</f>
        <v>#VALUE!</v>
      </c>
      <c r="E127" s="3403"/>
      <c r="F127" s="3403"/>
      <c r="G127" s="3403"/>
      <c r="H127" s="3403"/>
      <c r="I127" s="3402"/>
      <c r="AA127" s="734"/>
    </row>
    <row r="128" spans="1:27" ht="21.75" customHeight="1">
      <c r="A128" s="3404" t="s">
        <v>2078</v>
      </c>
      <c r="B128" s="3404"/>
      <c r="C128" s="3404"/>
      <c r="D128" s="3404"/>
      <c r="E128" s="3404"/>
      <c r="F128" s="3404"/>
      <c r="G128" s="3404"/>
      <c r="H128" s="3404"/>
      <c r="I128" s="3404"/>
      <c r="AA128" s="734"/>
    </row>
    <row r="129" spans="1:35" ht="21.75" customHeight="1">
      <c r="A129" s="1986" t="s">
        <v>2079</v>
      </c>
      <c r="B129" s="1987"/>
      <c r="C129" s="1988" t="s">
        <v>2080</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2081</v>
      </c>
      <c r="G135" s="2003"/>
      <c r="H135" s="2003"/>
      <c r="I135" s="2004" t="s">
        <v>2082</v>
      </c>
    </row>
    <row r="136" spans="1:35" ht="21.75" customHeight="1">
      <c r="A136" s="734"/>
      <c r="B136" s="2005"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2084</v>
      </c>
    </row>
    <row r="139" spans="1:35" ht="21.75" customHeight="1">
      <c r="A139" s="734"/>
      <c r="B139" s="2005" t="s">
        <v>2085</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2084</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zoomScaleSheetLayoutView="8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3"/>
      <c r="C1" s="204"/>
      <c r="D1" s="204"/>
      <c r="E1" s="204"/>
      <c r="F1" s="204"/>
      <c r="G1" s="1260">
        <f>MATCH(B1,'数据-取费表'!A6:A16,0)+5</f>
        <v>7</v>
      </c>
    </row>
    <row r="2" spans="1:9" s="206" customFormat="1" ht="18" customHeight="1">
      <c r="A2" s="207" t="s">
        <v>2087</v>
      </c>
      <c r="B2" s="208">
        <f ca="1">IF(D2="——",C52,C52-E2)</f>
        <v>6762</v>
      </c>
      <c r="C2" s="205" t="s">
        <v>2088</v>
      </c>
      <c r="D2" s="2008" t="s">
        <v>70</v>
      </c>
      <c r="E2" s="1303" t="e">
        <f ca="1">SUMIF(INDIRECT("'"&amp;G2&amp;"'"&amp;"!A:A"),"承租人权益价值",INDIRECT("'"&amp;G2&amp;"'"&amp;"!c:c"))</f>
        <v>#REF!</v>
      </c>
      <c r="F2" s="2009" t="s">
        <v>2088</v>
      </c>
      <c r="G2" s="2010"/>
    </row>
    <row r="3" spans="1:9" s="206" customFormat="1" ht="18" customHeight="1" thickBot="1">
      <c r="A3" s="209" t="s">
        <v>2089</v>
      </c>
      <c r="B3" s="210">
        <f ca="1">ROUND(B2*10000/(IF(B1="",'数据-汇总表'!E3,INDIRECT("'数据-取费表'!k"&amp;$G$1))),0)</f>
        <v>16688</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4891</v>
      </c>
      <c r="D5" s="217" t="s">
        <v>2094</v>
      </c>
      <c r="E5" s="218" t="s">
        <v>2095</v>
      </c>
      <c r="F5" s="218" t="s">
        <v>2096</v>
      </c>
      <c r="G5" s="219"/>
    </row>
    <row r="6" spans="1:9" s="220" customFormat="1" ht="13.5" customHeight="1">
      <c r="A6" s="886" t="s">
        <v>2097</v>
      </c>
      <c r="B6" s="221" t="s">
        <v>2098</v>
      </c>
      <c r="C6" s="222">
        <f>'土地比较法-工业'!B2</f>
        <v>4668</v>
      </c>
      <c r="D6" s="223"/>
      <c r="E6" s="224"/>
      <c r="F6" s="224"/>
      <c r="G6" s="225"/>
    </row>
    <row r="7" spans="1:9" s="220" customFormat="1" ht="13.5" customHeight="1">
      <c r="A7" s="886" t="s">
        <v>2099</v>
      </c>
      <c r="B7" s="221" t="s">
        <v>2100</v>
      </c>
      <c r="C7" s="226">
        <f>ROUND(C6*F7,0)</f>
        <v>142</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81</v>
      </c>
      <c r="D8" s="228"/>
      <c r="E8" s="226"/>
      <c r="F8" s="227"/>
      <c r="G8" s="2011" t="s">
        <v>3150</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2" t="s">
        <v>3151</v>
      </c>
      <c r="H9" s="1271"/>
      <c r="I9" s="2013" t="s">
        <v>2104</v>
      </c>
    </row>
    <row r="10" spans="1:9" s="220" customFormat="1" ht="13.5" customHeight="1">
      <c r="A10" s="887" t="s">
        <v>801</v>
      </c>
      <c r="B10" s="230" t="s">
        <v>2105</v>
      </c>
      <c r="C10" s="231">
        <f ca="1">ROUND(D10*E10/10000,0)</f>
        <v>81</v>
      </c>
      <c r="D10" s="954">
        <f ca="1">IF(B1="",'数据-汇总表'!E6,IF(INDIRECT("'数据-取费表'!c"&amp;$G$1)="住宅",INDIRECT("'数据-取费表'!s"&amp;$G$1),INDIRECT("'数据-取费表'!k"&amp;$G$1)+INDIRECT("'数据-取费表'!s"&amp;$G$1)))</f>
        <v>4052</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4052</v>
      </c>
      <c r="E19" s="217">
        <f>'数据-取费表'!B31</f>
        <v>200</v>
      </c>
      <c r="F19" s="237"/>
      <c r="G19" s="2011" t="s">
        <v>3152</v>
      </c>
    </row>
    <row r="20" spans="1:7" s="220" customFormat="1" ht="13.5" customHeight="1">
      <c r="A20" s="261" t="s">
        <v>2118</v>
      </c>
      <c r="B20" s="216" t="s">
        <v>2119</v>
      </c>
      <c r="C20" s="238">
        <f ca="1">ROUND((C5+C19)*F20,0)</f>
        <v>49</v>
      </c>
      <c r="D20" s="238"/>
      <c r="E20" s="238"/>
      <c r="F20" s="239">
        <f>'数据-取费表'!B37</f>
        <v>0.01</v>
      </c>
      <c r="G20" s="240" t="s">
        <v>2120</v>
      </c>
    </row>
    <row r="21" spans="1:7" s="220" customFormat="1" ht="13.5" customHeight="1">
      <c r="A21" s="261" t="s">
        <v>2121</v>
      </c>
      <c r="B21" s="216" t="s">
        <v>2122</v>
      </c>
      <c r="C21" s="241">
        <f>F21</f>
        <v>0.01</v>
      </c>
      <c r="D21" s="242" t="s">
        <v>2123</v>
      </c>
      <c r="E21" s="238"/>
      <c r="F21" s="239">
        <f>'数据-取费表'!B38</f>
        <v>0.01</v>
      </c>
      <c r="G21" s="240" t="s">
        <v>2124</v>
      </c>
    </row>
    <row r="22" spans="1:7" s="220" customFormat="1" ht="13.5" customHeight="1">
      <c r="A22" s="261" t="s">
        <v>2125</v>
      </c>
      <c r="B22" s="216" t="s">
        <v>2126</v>
      </c>
      <c r="C22" s="1236">
        <f ca="1">ROUND(SUM(C23:C25),0)</f>
        <v>206</v>
      </c>
      <c r="D22" s="241">
        <f ca="1">C26</f>
        <v>2.0000000000000001E-4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205</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2.0000000000000001E-4</v>
      </c>
      <c r="D26" s="244"/>
      <c r="E26" s="247"/>
      <c r="F26" s="245"/>
      <c r="G26" s="249"/>
    </row>
    <row r="27" spans="1:7" s="220" customFormat="1" ht="24.75">
      <c r="A27" s="261" t="s">
        <v>2137</v>
      </c>
      <c r="B27" s="250" t="s">
        <v>2138</v>
      </c>
      <c r="C27" s="251">
        <f ca="1">C28</f>
        <v>247</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247</v>
      </c>
      <c r="D28" s="241"/>
      <c r="E28" s="242"/>
      <c r="F28" s="252"/>
      <c r="G28" s="253"/>
    </row>
    <row r="29" spans="1:7" s="220" customFormat="1" ht="13.5" customHeight="1">
      <c r="A29" s="888" t="s">
        <v>792</v>
      </c>
      <c r="B29" s="254" t="s">
        <v>2142</v>
      </c>
      <c r="C29" s="244">
        <f ca="1">ROUND(C21*F27*'数据-取费表'!B21/'数据-取费表'!B20,4)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5762</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1139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1013</v>
      </c>
      <c r="D34" s="223"/>
      <c r="E34" s="226"/>
      <c r="F34" s="263">
        <f ca="1">IF('数据-取费表'!B24=0,1,IF(B1="",'数据-取费表'!N16,INDIRECT("'数据-取费表'!n"&amp;$G$1)))</f>
        <v>1</v>
      </c>
      <c r="G34" s="225" t="s">
        <v>2151</v>
      </c>
    </row>
    <row r="35" spans="1:7" ht="13.5" customHeight="1">
      <c r="A35" s="888" t="s">
        <v>796</v>
      </c>
      <c r="B35" s="221" t="s">
        <v>2152</v>
      </c>
      <c r="C35" s="226">
        <f ca="1">ROUND(C34*F35,0)</f>
        <v>30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81</v>
      </c>
      <c r="D37" s="223">
        <f ca="1">D19</f>
        <v>4052</v>
      </c>
      <c r="E37" s="255">
        <f>'数据-取费表'!B35</f>
        <v>200</v>
      </c>
      <c r="F37" s="265"/>
      <c r="G37" s="267" t="s">
        <v>2157</v>
      </c>
    </row>
    <row r="38" spans="1:7" ht="13.5" customHeight="1">
      <c r="A38" s="888" t="s">
        <v>799</v>
      </c>
      <c r="B38" s="221" t="s">
        <v>2158</v>
      </c>
      <c r="C38" s="226">
        <f ca="1">ROUND(C34*F38,0)</f>
        <v>15</v>
      </c>
      <c r="D38" s="226"/>
      <c r="E38" s="226"/>
      <c r="F38" s="265">
        <f>'数据-取费表'!B36</f>
        <v>1.4999999999999999E-2</v>
      </c>
      <c r="G38" s="225" t="s">
        <v>2153</v>
      </c>
    </row>
    <row r="39" spans="1:7" s="220" customFormat="1" ht="13.5" customHeight="1">
      <c r="A39" s="261" t="s">
        <v>2159</v>
      </c>
      <c r="B39" s="216" t="s">
        <v>2160</v>
      </c>
      <c r="C39" s="238">
        <f ca="1">ROUND(C33*F20,0)</f>
        <v>11</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24</v>
      </c>
      <c r="D42" s="244"/>
      <c r="E42" s="244"/>
      <c r="F42" s="245"/>
      <c r="G42" s="3477" t="s">
        <v>2169</v>
      </c>
    </row>
    <row r="43" spans="1:7" ht="13.5" customHeight="1">
      <c r="A43" s="888" t="s">
        <v>792</v>
      </c>
      <c r="B43" s="221" t="s">
        <v>2170</v>
      </c>
      <c r="C43" s="244">
        <f ca="1">ROUND(IF('数据-取费表'!B22&lt;=1,C39*F22*'数据-取费表'!B21/2,C39*(POWER((1+F22),'数据-取费表'!B21/2)-1)),0)</f>
        <v>0</v>
      </c>
      <c r="D43" s="244"/>
      <c r="E43" s="244"/>
      <c r="F43" s="245"/>
      <c r="G43" s="3478"/>
    </row>
    <row r="44" spans="1:7" ht="13.5" customHeight="1">
      <c r="A44" s="888" t="s">
        <v>793</v>
      </c>
      <c r="B44" s="221" t="s">
        <v>2171</v>
      </c>
      <c r="C44" s="244">
        <f ca="1">ROUND(IF('数据-取费表'!B22&lt;=1,C40*F22*'数据-取费表'!B21/2,C40*(POWER((1+F22),'数据-取费表'!B21/2)-1)),4)</f>
        <v>2.0000000000000001E-4</v>
      </c>
      <c r="D44" s="244"/>
      <c r="E44" s="244"/>
      <c r="F44" s="245"/>
      <c r="G44" s="3479"/>
    </row>
    <row r="45" spans="1:7" s="220" customFormat="1" ht="13.5" customHeight="1">
      <c r="A45" s="261" t="s">
        <v>2172</v>
      </c>
      <c r="B45" s="250" t="s">
        <v>2138</v>
      </c>
      <c r="C45" s="251">
        <f ca="1">C46</f>
        <v>58</v>
      </c>
      <c r="D45" s="241">
        <f ca="1">C47</f>
        <v>5.0000000000000001E-4</v>
      </c>
      <c r="E45" s="242" t="s">
        <v>2164</v>
      </c>
      <c r="F45" s="2506">
        <f ca="1">F27</f>
        <v>0.05</v>
      </c>
      <c r="G45" s="253" t="s">
        <v>2173</v>
      </c>
    </row>
    <row r="46" spans="1:7" s="220" customFormat="1" ht="13.5" customHeight="1">
      <c r="A46" s="888" t="s">
        <v>791</v>
      </c>
      <c r="B46" s="254" t="s">
        <v>2174</v>
      </c>
      <c r="C46" s="255">
        <f ca="1">ROUND((C33+C39)*F27,0)</f>
        <v>58</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1466">
        <f>ROUND(F30/(1+'数据-取费表'!C42),4)</f>
        <v>5.33E-2</v>
      </c>
      <c r="D48" s="242" t="s">
        <v>2164</v>
      </c>
      <c r="E48" s="238"/>
      <c r="F48" s="2505">
        <f>F30</f>
        <v>5.6000000000000001E-2</v>
      </c>
      <c r="G48" s="240" t="s">
        <v>2177</v>
      </c>
    </row>
    <row r="49" spans="1:7" ht="16.5" customHeight="1">
      <c r="A49" s="261" t="s">
        <v>2143</v>
      </c>
      <c r="B49" s="216" t="s">
        <v>2178</v>
      </c>
      <c r="C49" s="238">
        <f ca="1">ROUND((C33+C39+C41+C45)/(1-C40-D41-D45-C48),0)</f>
        <v>1316</v>
      </c>
      <c r="D49" s="238"/>
      <c r="E49" s="238"/>
      <c r="F49" s="270"/>
      <c r="G49" s="240" t="s">
        <v>2179</v>
      </c>
    </row>
    <row r="50" spans="1:7" s="264" customFormat="1" ht="24">
      <c r="A50" s="261" t="s">
        <v>2180</v>
      </c>
      <c r="B50" s="216" t="s">
        <v>2181</v>
      </c>
      <c r="C50" s="238"/>
      <c r="D50" s="238"/>
      <c r="E50" s="238"/>
      <c r="F50" s="270">
        <f>IF('数据-取费表'!B24=0,'数据-取费表'!N16,1)</f>
        <v>0.76</v>
      </c>
      <c r="G50" s="253" t="s">
        <v>2182</v>
      </c>
    </row>
    <row r="51" spans="1:7" ht="16.5" customHeight="1">
      <c r="A51" s="261" t="s">
        <v>2183</v>
      </c>
      <c r="B51" s="216" t="s">
        <v>2184</v>
      </c>
      <c r="C51" s="238">
        <f ca="1">ROUND(C49*F50,0)</f>
        <v>1000</v>
      </c>
      <c r="D51" s="238"/>
      <c r="E51" s="238"/>
      <c r="F51" s="270"/>
      <c r="G51" s="240" t="s">
        <v>2185</v>
      </c>
    </row>
    <row r="52" spans="1:7" s="214" customFormat="1" ht="16.5" thickBot="1">
      <c r="A52" s="271" t="s">
        <v>2186</v>
      </c>
      <c r="B52" s="272"/>
      <c r="C52" s="273">
        <f ca="1">C31+C51</f>
        <v>6762</v>
      </c>
      <c r="D52" s="272"/>
      <c r="E52" s="272"/>
      <c r="F52" s="272"/>
      <c r="G52" s="274"/>
    </row>
    <row r="55" spans="1:7" ht="15">
      <c r="B55" s="276" t="s">
        <v>2187</v>
      </c>
      <c r="C55" s="277"/>
    </row>
    <row r="56" spans="1:7">
      <c r="B56" s="279" t="s">
        <v>1418</v>
      </c>
      <c r="C56" s="281">
        <f ca="1">1-C57</f>
        <v>0.85199999999999998</v>
      </c>
    </row>
    <row r="57" spans="1:7">
      <c r="B57" s="279" t="s">
        <v>1419</v>
      </c>
      <c r="C57" s="280">
        <f ca="1">ROUND(C51/C52,3)</f>
        <v>0.14799999999999999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88" t="str">
        <f>项目基本情况!B1</f>
        <v>北京市房地产抵押价值预评估</v>
      </c>
      <c r="C37" s="3288"/>
      <c r="D37" s="3288"/>
      <c r="E37" s="3288"/>
      <c r="F37" s="3288"/>
      <c r="G37" s="3288"/>
      <c r="H37" s="3288"/>
      <c r="I37" s="3288"/>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3"/>
      <c r="C1" s="2014"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1192</v>
      </c>
      <c r="C2" s="205" t="s">
        <v>2088</v>
      </c>
      <c r="D2" s="2008" t="s">
        <v>70</v>
      </c>
      <c r="E2" s="1303" t="e">
        <f ca="1">SUMIF(INDIRECT("'"&amp;G2&amp;"'"&amp;"!A:A"),"承租人权益价值",INDIRECT("'"&amp;G2&amp;"'"&amp;"!c:c"))</f>
        <v>#REF!</v>
      </c>
      <c r="F2" s="2009" t="s">
        <v>2088</v>
      </c>
      <c r="G2" s="2010"/>
    </row>
    <row r="3" spans="1:8" s="206" customFormat="1" ht="18" customHeight="1" thickBot="1">
      <c r="A3" s="209" t="s">
        <v>2089</v>
      </c>
      <c r="B3" s="210">
        <f ca="1">ROUND(B2*10000/(IF(B1="",'数据-汇总表'!E3,INDIRECT("'数据-取费表'!k"&amp;$G$1))),0)</f>
        <v>2942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810400</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810400</v>
      </c>
      <c r="D8" s="228"/>
      <c r="E8" s="226"/>
      <c r="F8" s="227"/>
      <c r="G8" s="2011"/>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810400</v>
      </c>
      <c r="D10" s="954">
        <f ca="1">IF(B1="",'数据-汇总表'!E6,IF(INDIRECT("'数据-取费表'!c"&amp;$G$1)="住宅",INDIRECT("'数据-取费表'!s"&amp;$G$1),INDIRECT("'数据-取费表'!k"&amp;$G$1)+INDIRECT("'数据-取费表'!s"&amp;$G$1)))</f>
        <v>4052</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810400</v>
      </c>
      <c r="D19" s="958">
        <f ca="1">D9+D10</f>
        <v>4052</v>
      </c>
      <c r="E19" s="217">
        <f>'数据-取费表'!B31</f>
        <v>200</v>
      </c>
      <c r="F19" s="237"/>
      <c r="G19" s="2011"/>
    </row>
    <row r="20" spans="1:7" s="220" customFormat="1" ht="13.5" customHeight="1">
      <c r="A20" s="261" t="s">
        <v>2199</v>
      </c>
      <c r="B20" s="216" t="s">
        <v>2200</v>
      </c>
      <c r="C20" s="238">
        <f ca="1">ROUND((C5+C19)*F20,0)</f>
        <v>16208</v>
      </c>
      <c r="D20" s="238"/>
      <c r="E20" s="238"/>
      <c r="F20" s="239">
        <f>'数据-取费表'!B37</f>
        <v>0.01</v>
      </c>
      <c r="G20" s="240" t="s">
        <v>2201</v>
      </c>
    </row>
    <row r="21" spans="1:7" s="220" customFormat="1" ht="13.5" customHeight="1">
      <c r="A21" s="261" t="s">
        <v>2202</v>
      </c>
      <c r="B21" s="216" t="s">
        <v>2203</v>
      </c>
      <c r="C21" s="241">
        <f>F21</f>
        <v>0.01</v>
      </c>
      <c r="D21" s="242" t="s">
        <v>2204</v>
      </c>
      <c r="E21" s="238"/>
      <c r="F21" s="239">
        <f>'数据-取费表'!B38</f>
        <v>0.01</v>
      </c>
      <c r="G21" s="240" t="s">
        <v>2205</v>
      </c>
    </row>
    <row r="22" spans="1:7" s="220" customFormat="1" ht="13.5" customHeight="1">
      <c r="A22" s="261" t="s">
        <v>2206</v>
      </c>
      <c r="B22" s="216" t="s">
        <v>2207</v>
      </c>
      <c r="C22" s="1261">
        <f ca="1">ROUND(SUM(C23:C25),0)</f>
        <v>68414</v>
      </c>
      <c r="D22" s="241">
        <f ca="1">C26</f>
        <v>2.0000000000000001E-4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34037</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34037</v>
      </c>
      <c r="D24" s="244"/>
      <c r="E24" s="244"/>
      <c r="F24" s="245"/>
      <c r="G24" s="246" t="s">
        <v>2211</v>
      </c>
    </row>
    <row r="25" spans="1:7" s="220" customFormat="1" ht="24">
      <c r="A25" s="888" t="s">
        <v>2101</v>
      </c>
      <c r="B25" s="221" t="s">
        <v>2212</v>
      </c>
      <c r="C25" s="1262">
        <f ca="1">ROUND(IF('数据-取费表'!B22&lt;=1,C20*F22*'数据-取费表'!B22/2,C20*(POWER((1+F22),'数据-取费表'!B22/2)-1)),0)</f>
        <v>340</v>
      </c>
      <c r="D25" s="244"/>
      <c r="E25" s="247"/>
      <c r="F25" s="245"/>
      <c r="G25" s="248" t="s">
        <v>2213</v>
      </c>
    </row>
    <row r="26" spans="1:7" s="220" customFormat="1">
      <c r="A26" s="888" t="s">
        <v>795</v>
      </c>
      <c r="B26" s="221" t="s">
        <v>2136</v>
      </c>
      <c r="C26" s="244">
        <f ca="1">ROUND(IF('数据-取费表'!B22&lt;=1,F21*F22*'数据-取费表'!B22/2,F21*(POWER((1+F22),'数据-取费表'!B22/2)-1)),4)</f>
        <v>2.0000000000000001E-4</v>
      </c>
      <c r="D26" s="244"/>
      <c r="E26" s="247"/>
      <c r="F26" s="245"/>
      <c r="G26" s="249"/>
    </row>
    <row r="27" spans="1:7" s="220" customFormat="1" ht="24.75">
      <c r="A27" s="261" t="s">
        <v>2137</v>
      </c>
      <c r="B27" s="250" t="s">
        <v>2138</v>
      </c>
      <c r="C27" s="251">
        <f ca="1">C28</f>
        <v>81850</v>
      </c>
      <c r="D27" s="241">
        <f ca="1">C29</f>
        <v>5.0000000000000001E-4</v>
      </c>
      <c r="E27" s="242" t="s">
        <v>2139</v>
      </c>
      <c r="F27" s="252">
        <f ca="1">IF(B1="",'数据-取费表'!Q16,INDIRECT("'数据-取费表'!q"&amp;$G$1))</f>
        <v>0.05</v>
      </c>
      <c r="G27" s="253" t="s">
        <v>2140</v>
      </c>
    </row>
    <row r="28" spans="1:7" s="220" customFormat="1" ht="13.5" customHeight="1">
      <c r="A28" s="888" t="s">
        <v>791</v>
      </c>
      <c r="B28" s="254" t="s">
        <v>2141</v>
      </c>
      <c r="C28" s="255">
        <f ca="1">ROUND((C5+C19+C20)*F27,0)</f>
        <v>81850</v>
      </c>
      <c r="D28" s="241"/>
      <c r="E28" s="242"/>
      <c r="F28" s="252"/>
      <c r="G28" s="253"/>
    </row>
    <row r="29" spans="1:7" s="220" customFormat="1" ht="13.5" customHeight="1">
      <c r="A29" s="888" t="s">
        <v>792</v>
      </c>
      <c r="B29" s="254" t="s">
        <v>2142</v>
      </c>
      <c r="C29" s="244">
        <f ca="1">ROUND(C21*F27,4)</f>
        <v>5.0000000000000001E-4</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1909479</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11396250</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10130000</v>
      </c>
      <c r="D34" s="223"/>
      <c r="E34" s="226"/>
      <c r="F34" s="263"/>
      <c r="G34" s="225"/>
    </row>
    <row r="35" spans="1:7" ht="13.5" customHeight="1">
      <c r="A35" s="888" t="s">
        <v>796</v>
      </c>
      <c r="B35" s="221" t="s">
        <v>2152</v>
      </c>
      <c r="C35" s="226">
        <f ca="1">ROUND(C34*F35,0)</f>
        <v>303900</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810400</v>
      </c>
      <c r="D37" s="223">
        <f ca="1">D19</f>
        <v>4052</v>
      </c>
      <c r="E37" s="255">
        <f>'数据-取费表'!B35</f>
        <v>200</v>
      </c>
      <c r="F37" s="265"/>
      <c r="G37" s="267"/>
    </row>
    <row r="38" spans="1:7" ht="13.5" customHeight="1">
      <c r="A38" s="888" t="s">
        <v>799</v>
      </c>
      <c r="B38" s="221" t="s">
        <v>2158</v>
      </c>
      <c r="C38" s="226">
        <f ca="1">ROUND(C34*F38,0)</f>
        <v>151950</v>
      </c>
      <c r="D38" s="226"/>
      <c r="E38" s="226"/>
      <c r="F38" s="265">
        <f>'数据-取费表'!B36</f>
        <v>1.4999999999999999E-2</v>
      </c>
      <c r="G38" s="225" t="s">
        <v>2153</v>
      </c>
    </row>
    <row r="39" spans="1:7" s="220" customFormat="1" ht="13.5" customHeight="1">
      <c r="A39" s="261" t="s">
        <v>2159</v>
      </c>
      <c r="B39" s="216" t="s">
        <v>2160</v>
      </c>
      <c r="C39" s="238">
        <f ca="1">ROUND(C33*F20,0)</f>
        <v>113963</v>
      </c>
      <c r="D39" s="238"/>
      <c r="E39" s="238"/>
      <c r="F39" s="2504">
        <f>F20</f>
        <v>0.01</v>
      </c>
      <c r="G39" s="240" t="s">
        <v>2161</v>
      </c>
    </row>
    <row r="40" spans="1:7" s="220" customFormat="1" ht="13.5" customHeight="1">
      <c r="A40" s="261" t="s">
        <v>2162</v>
      </c>
      <c r="B40" s="216" t="s">
        <v>2163</v>
      </c>
      <c r="C40" s="1466">
        <f>F21</f>
        <v>0.01</v>
      </c>
      <c r="D40" s="242" t="s">
        <v>2164</v>
      </c>
      <c r="E40" s="238"/>
      <c r="F40" s="2504">
        <f>F21</f>
        <v>0.01</v>
      </c>
      <c r="G40" s="240" t="s">
        <v>2165</v>
      </c>
    </row>
    <row r="41" spans="1:7" s="220" customFormat="1" ht="13.5" customHeight="1">
      <c r="A41" s="261" t="s">
        <v>2166</v>
      </c>
      <c r="B41" s="216" t="s">
        <v>2167</v>
      </c>
      <c r="C41" s="238">
        <f ca="1">ROUND(SUM(C42:C43),0)</f>
        <v>241714</v>
      </c>
      <c r="D41" s="241">
        <f ca="1">C44</f>
        <v>2.0000000000000001E-4</v>
      </c>
      <c r="E41" s="242" t="s">
        <v>2164</v>
      </c>
      <c r="F41" s="2505">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239321</v>
      </c>
      <c r="D42" s="244"/>
      <c r="E42" s="244"/>
      <c r="F42" s="245"/>
      <c r="G42" s="3477" t="s">
        <v>2216</v>
      </c>
    </row>
    <row r="43" spans="1:7" ht="13.5" customHeight="1">
      <c r="A43" s="888" t="s">
        <v>792</v>
      </c>
      <c r="B43" s="221" t="s">
        <v>2170</v>
      </c>
      <c r="C43" s="244">
        <f ca="1">ROUND(IF('数据-取费表'!B22&lt;=1,C39*F22*'数据-取费表'!B20/2,C39*(POWER((1+F22),'数据-取费表'!B20/2)-1)),0)</f>
        <v>2393</v>
      </c>
      <c r="D43" s="244"/>
      <c r="E43" s="244"/>
      <c r="F43" s="245"/>
      <c r="G43" s="3478"/>
    </row>
    <row r="44" spans="1:7" ht="13.5" customHeight="1">
      <c r="A44" s="888" t="s">
        <v>793</v>
      </c>
      <c r="B44" s="221" t="s">
        <v>2171</v>
      </c>
      <c r="C44" s="244">
        <f ca="1">ROUND(IF('数据-取费表'!B22&lt;=1,C40*F22*'数据-取费表'!B20/2,C40*(POWER((1+F22),'数据-取费表'!B20/2)-1)),4)</f>
        <v>2.0000000000000001E-4</v>
      </c>
      <c r="D44" s="244"/>
      <c r="E44" s="244"/>
      <c r="F44" s="245"/>
      <c r="G44" s="3479"/>
    </row>
    <row r="45" spans="1:7" s="220" customFormat="1" ht="13.5" customHeight="1">
      <c r="A45" s="261" t="s">
        <v>2172</v>
      </c>
      <c r="B45" s="250" t="s">
        <v>2138</v>
      </c>
      <c r="C45" s="251">
        <f ca="1">C46</f>
        <v>575511</v>
      </c>
      <c r="D45" s="241">
        <f ca="1">C47</f>
        <v>5.0000000000000001E-4</v>
      </c>
      <c r="E45" s="242" t="s">
        <v>2164</v>
      </c>
      <c r="F45" s="2506">
        <f ca="1">F27</f>
        <v>0.05</v>
      </c>
      <c r="G45" s="253" t="s">
        <v>2173</v>
      </c>
    </row>
    <row r="46" spans="1:7" s="220" customFormat="1" ht="13.5" customHeight="1">
      <c r="A46" s="888" t="s">
        <v>791</v>
      </c>
      <c r="B46" s="254" t="s">
        <v>2174</v>
      </c>
      <c r="C46" s="255">
        <f ca="1">ROUND((C33+C39)*F27,0)</f>
        <v>575511</v>
      </c>
      <c r="D46" s="269"/>
      <c r="E46" s="242"/>
      <c r="F46" s="252"/>
      <c r="G46" s="253"/>
    </row>
    <row r="47" spans="1:7" s="220" customFormat="1" ht="13.5" customHeight="1">
      <c r="A47" s="888" t="s">
        <v>792</v>
      </c>
      <c r="B47" s="254" t="s">
        <v>2175</v>
      </c>
      <c r="C47" s="244">
        <f ca="1">ROUND(C40*F27,4)</f>
        <v>5.0000000000000001E-4</v>
      </c>
      <c r="D47" s="269"/>
      <c r="E47" s="242"/>
      <c r="F47" s="252"/>
      <c r="G47" s="253"/>
    </row>
    <row r="48" spans="1:7" s="220" customFormat="1" ht="13.5" customHeight="1">
      <c r="A48" s="261" t="s">
        <v>2137</v>
      </c>
      <c r="B48" s="216" t="s">
        <v>2176</v>
      </c>
      <c r="C48" s="268">
        <f>ROUND(F30/(1+'数据-取费表'!C42),4)</f>
        <v>5.33E-2</v>
      </c>
      <c r="D48" s="242" t="s">
        <v>2164</v>
      </c>
      <c r="E48" s="238"/>
      <c r="F48" s="2505">
        <f>F30</f>
        <v>5.6000000000000001E-2</v>
      </c>
      <c r="G48" s="240" t="s">
        <v>2177</v>
      </c>
    </row>
    <row r="49" spans="1:7" ht="16.5" customHeight="1">
      <c r="A49" s="261" t="s">
        <v>2143</v>
      </c>
      <c r="B49" s="216" t="s">
        <v>2217</v>
      </c>
      <c r="C49" s="238">
        <f ca="1">ROUND((C33+C39+C41+C45)/(1-C40-D41-D45-C48),0)</f>
        <v>13170340</v>
      </c>
      <c r="D49" s="238"/>
      <c r="E49" s="238"/>
      <c r="F49" s="270"/>
      <c r="G49" s="240" t="s">
        <v>2179</v>
      </c>
    </row>
    <row r="50" spans="1:7" s="264" customFormat="1">
      <c r="A50" s="261" t="s">
        <v>2180</v>
      </c>
      <c r="B50" s="216" t="s">
        <v>2181</v>
      </c>
      <c r="C50" s="238"/>
      <c r="D50" s="238"/>
      <c r="E50" s="238"/>
      <c r="F50" s="270">
        <f>IF('数据-取费表'!B24=0,'数据-取费表'!N16,1)</f>
        <v>0.76</v>
      </c>
      <c r="G50" s="253"/>
    </row>
    <row r="51" spans="1:7" ht="16.5" customHeight="1">
      <c r="A51" s="261" t="s">
        <v>2183</v>
      </c>
      <c r="B51" s="216" t="s">
        <v>2218</v>
      </c>
      <c r="C51" s="238">
        <f ca="1">ROUND(C49*F50,0)</f>
        <v>10009458</v>
      </c>
      <c r="D51" s="238"/>
      <c r="E51" s="238"/>
      <c r="F51" s="270"/>
      <c r="G51" s="240" t="s">
        <v>2185</v>
      </c>
    </row>
    <row r="52" spans="1:7" s="214" customFormat="1" ht="16.5" thickBot="1">
      <c r="A52" s="271" t="s">
        <v>2186</v>
      </c>
      <c r="B52" s="272"/>
      <c r="C52" s="273">
        <f ca="1">C31+C51</f>
        <v>11918937</v>
      </c>
      <c r="D52" s="272"/>
      <c r="E52" s="272"/>
      <c r="F52" s="272"/>
      <c r="G52" s="274"/>
    </row>
    <row r="55" spans="1:7" ht="15">
      <c r="B55" s="276" t="s">
        <v>2187</v>
      </c>
      <c r="C55" s="277"/>
    </row>
    <row r="56" spans="1:7">
      <c r="B56" s="279" t="s">
        <v>1418</v>
      </c>
      <c r="C56" s="281">
        <f ca="1">1-C57</f>
        <v>0.16000000000000003</v>
      </c>
    </row>
    <row r="57" spans="1:7">
      <c r="B57" s="279" t="s">
        <v>1419</v>
      </c>
      <c r="C57" s="280">
        <f ca="1">ROUND(C51/C52,3)</f>
        <v>0.84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4"/>
      <c r="C1" s="1325"/>
      <c r="D1" s="1323"/>
      <c r="E1" s="3005"/>
      <c r="F1" s="3005"/>
      <c r="G1" s="2868"/>
      <c r="H1" s="3005"/>
      <c r="I1" s="3005"/>
      <c r="J1" s="3005"/>
      <c r="K1" s="3006">
        <f>MATCH(C1,'数据-取费表'!A6:A16,0)+5</f>
        <v>7</v>
      </c>
    </row>
    <row r="2" spans="1:33" ht="18" customHeight="1">
      <c r="A2" s="207" t="s">
        <v>2087</v>
      </c>
      <c r="B2" s="210">
        <f ca="1">C32</f>
        <v>0</v>
      </c>
      <c r="C2" s="282" t="s">
        <v>2220</v>
      </c>
      <c r="D2" s="282"/>
      <c r="E2" s="3005"/>
      <c r="F2" s="3005"/>
      <c r="G2" s="3005"/>
      <c r="H2" s="3005"/>
      <c r="I2" s="3005"/>
      <c r="J2" s="3005"/>
      <c r="K2" s="3005"/>
    </row>
    <row r="3" spans="1:33" ht="18" customHeight="1" thickBot="1">
      <c r="A3" s="209" t="s">
        <v>2089</v>
      </c>
      <c r="B3" s="210">
        <f ca="1">ROUND(B2*10000/IF(C1="",'数据-汇总表'!E3,INDIRECT("'数据-取费表'!K"&amp;$K$1)),0)</f>
        <v>0</v>
      </c>
      <c r="C3" s="282" t="s">
        <v>2221</v>
      </c>
      <c r="D3" s="282"/>
      <c r="E3" s="3005"/>
      <c r="F3" s="3005"/>
      <c r="G3" s="3005"/>
      <c r="H3" s="3005"/>
      <c r="I3" s="3005"/>
      <c r="J3" s="3005"/>
      <c r="K3" s="3005"/>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5" t="s">
        <v>2225</v>
      </c>
      <c r="D5" s="2015" t="s">
        <v>2226</v>
      </c>
      <c r="E5" s="2015" t="s">
        <v>2227</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4052</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4052</v>
      </c>
      <c r="E17" s="24">
        <f>'数据-取费表'!B32</f>
        <v>0</v>
      </c>
      <c r="F17" s="915"/>
      <c r="G17" s="136" t="s">
        <v>2251</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7"/>
      <c r="H18" s="1320"/>
      <c r="I18" s="2018"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2255</v>
      </c>
      <c r="C20" s="24">
        <f ca="1">ROUND(D20*E20/10000,0)</f>
        <v>81</v>
      </c>
      <c r="D20" s="955">
        <f ca="1">IF(C1="",'数据-汇总表'!E6,IF(INDIRECT("'数据-取费表'!c"&amp;$K$1)="住宅",INDIRECT("'数据-取费表'!s"&amp;$K$1),INDIRECT("'数据-取费表'!k"&amp;$K$1)+INDIRECT("'数据-取费表'!s"&amp;$K$1)))</f>
        <v>4052</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0.01</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0.01</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19" t="str">
        <f>IF('数据-取费表'!B22&lt;=1,"（1）-（3）项×年利率×建设期÷2","（1）-（3）项×((1+年利率)^(建设期÷2)-1)")</f>
        <v>（1）-（3）项×年利率×建设期÷2</v>
      </c>
      <c r="H27" s="916"/>
      <c r="I27" s="916"/>
      <c r="J27" s="916"/>
      <c r="K27" s="917"/>
    </row>
    <row r="28" spans="1:33" s="295" customFormat="1" ht="13.5" customHeight="1">
      <c r="A28" s="898" t="s">
        <v>2269</v>
      </c>
      <c r="B28" s="2020"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1"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16" zoomScale="70" zoomScaleNormal="60" zoomScaleSheetLayoutView="70" workbookViewId="0">
      <selection activeCell="M31" sqref="M3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4668</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11520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tr">
        <f>Sheet1!A3</f>
        <v>顺义区赵全营镇SY04-0100-6006-1-2地块</v>
      </c>
      <c r="F5" s="3504"/>
      <c r="G5" s="3514" t="str">
        <f>Sheet1!A8</f>
        <v>怀柔区庙城镇HR05-0702-6001地块M1一类工业用地国有建设用地使用权出让公告</v>
      </c>
      <c r="H5" s="3515"/>
      <c r="I5" s="3514" t="str">
        <f>Sheet1!A12</f>
        <v>顺义区赵全营板桥SY04-0100-6006-2地块M4工业研发用地</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16" t="s">
        <v>2557</v>
      </c>
      <c r="D6" s="3517"/>
      <c r="E6" s="3519" t="s">
        <v>2557</v>
      </c>
      <c r="F6" s="3520"/>
      <c r="G6" s="3516" t="s">
        <v>2557</v>
      </c>
      <c r="H6" s="3517"/>
      <c r="I6" s="3516" t="s">
        <v>2557</v>
      </c>
      <c r="J6" s="3517"/>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t="str">
        <f>Sheet1!K3</f>
        <v>2021-09-07</v>
      </c>
      <c r="F7" s="373">
        <f>SUMIF(65:65,YEAR(E7)&amp;"-"&amp;INT((MONTH(E7)+2)/3),66:66)</f>
        <v>99</v>
      </c>
      <c r="G7" s="2129" t="str">
        <f>Sheet1!K8</f>
        <v>2020-11-10</v>
      </c>
      <c r="H7" s="371">
        <f>SUMIF(65:65,YEAR(G7)&amp;"-"&amp;INT((MONTH(G7)+2)/3),66:66)</f>
        <v>97.5</v>
      </c>
      <c r="I7" s="2129" t="str">
        <f>Sheet1!K12</f>
        <v>2020-02-12</v>
      </c>
      <c r="J7" s="371">
        <f>SUMIF(65:65,YEAR(I7)&amp;"-"&amp;INT((MONTH(I7)+2)/3),66:66)</f>
        <v>96</v>
      </c>
      <c r="K7" s="568"/>
      <c r="L7" s="2914"/>
      <c r="M7" s="2915"/>
      <c r="N7" s="2915"/>
      <c r="O7" s="2915"/>
      <c r="P7" s="3505" t="s">
        <v>2309</v>
      </c>
      <c r="Q7" s="3518"/>
      <c r="R7" s="710" t="s">
        <v>17</v>
      </c>
      <c r="S7" s="711">
        <f t="shared" ref="S7:S15" si="0">F7</f>
        <v>99</v>
      </c>
      <c r="T7" s="710" t="s">
        <v>17</v>
      </c>
      <c r="U7" s="711">
        <f t="shared" ref="U7:U15" si="1">H7</f>
        <v>97.5</v>
      </c>
      <c r="V7" s="710" t="s">
        <v>17</v>
      </c>
      <c r="W7" s="711">
        <f t="shared" ref="W7:W15" si="2">J7</f>
        <v>96</v>
      </c>
      <c r="X7" s="712"/>
      <c r="Y7" s="3505" t="s">
        <v>2309</v>
      </c>
      <c r="Z7" s="3506"/>
      <c r="AA7" s="713">
        <f>D7/F7</f>
        <v>1.0101010101010102</v>
      </c>
      <c r="AB7" s="713">
        <f>D7/H7</f>
        <v>1.0256410256410255</v>
      </c>
      <c r="AC7" s="713">
        <f>D7/J7</f>
        <v>1.0416666666666667</v>
      </c>
    </row>
    <row r="8" spans="1:29" s="113" customFormat="1" ht="15.75" thickBot="1">
      <c r="A8" s="368" t="s">
        <v>2310</v>
      </c>
      <c r="B8" s="369"/>
      <c r="C8" s="374" t="s">
        <v>2311</v>
      </c>
      <c r="D8" s="371">
        <v>100</v>
      </c>
      <c r="E8" s="3218" t="s">
        <v>3239</v>
      </c>
      <c r="F8" s="373">
        <f>SUMIF(68:68,E8,69:69)-SUMIF(68:68,C8,69:69)+100</f>
        <v>100</v>
      </c>
      <c r="G8" s="3218" t="s">
        <v>3240</v>
      </c>
      <c r="H8" s="371">
        <f>SUMIF(68:68,G8,69:69)-SUMIF(68:68,C8,69:69)+100</f>
        <v>100</v>
      </c>
      <c r="I8" s="3218" t="s">
        <v>3240</v>
      </c>
      <c r="J8" s="371">
        <f>SUMIF(68:68,I8,69:69)-SUMIF(68:68,C8,69:69)+100</f>
        <v>100</v>
      </c>
      <c r="K8" s="568"/>
      <c r="L8" s="2914"/>
      <c r="M8" s="2915"/>
      <c r="N8" s="2915"/>
      <c r="O8" s="2915"/>
      <c r="P8" s="3505" t="s">
        <v>2312</v>
      </c>
      <c r="Q8" s="3506"/>
      <c r="R8" s="710" t="s">
        <v>17</v>
      </c>
      <c r="S8" s="711">
        <f t="shared" si="0"/>
        <v>100</v>
      </c>
      <c r="T8" s="710" t="s">
        <v>17</v>
      </c>
      <c r="U8" s="711">
        <f t="shared" si="1"/>
        <v>100</v>
      </c>
      <c r="V8" s="710" t="s">
        <v>17</v>
      </c>
      <c r="W8" s="711">
        <f t="shared" si="2"/>
        <v>100</v>
      </c>
      <c r="X8" s="712"/>
      <c r="Y8" s="3505" t="s">
        <v>2312</v>
      </c>
      <c r="Z8" s="3506"/>
      <c r="AA8" s="713">
        <f t="shared" ref="AA8:AA40" si="3">D8/F8</f>
        <v>1</v>
      </c>
      <c r="AB8" s="713">
        <f t="shared" ref="AB8:AB40" si="4">D8/H8</f>
        <v>1</v>
      </c>
      <c r="AC8" s="713">
        <f t="shared" ref="AC8:AC40" si="5">D8/J8</f>
        <v>1</v>
      </c>
    </row>
    <row r="9" spans="1:29" s="113" customFormat="1">
      <c r="A9" s="375" t="s">
        <v>2313</v>
      </c>
      <c r="B9" s="67" t="s">
        <v>2314</v>
      </c>
      <c r="C9" s="2132"/>
      <c r="D9" s="131">
        <v>100</v>
      </c>
      <c r="E9" s="2132"/>
      <c r="F9" s="131">
        <f>SUMIF(70:70,E9,71:71)-SUMIF(70:70,C9,71:71)+100</f>
        <v>100</v>
      </c>
      <c r="G9" s="2132"/>
      <c r="H9" s="131">
        <f>SUMIF(70:70,G9,71:71)-SUMIF(70:70,C9,71:71)+100</f>
        <v>100</v>
      </c>
      <c r="I9" s="2132"/>
      <c r="J9" s="131">
        <f>SUMIF(70:70,I9,71:71)-SUMIF(70:70,C9,71:71)+100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6"/>
      <c r="M10" s="2917"/>
      <c r="N10" s="2917"/>
      <c r="O10" s="2970"/>
      <c r="P10" s="3483"/>
      <c r="Q10" s="1496" t="str">
        <f t="shared" si="6"/>
        <v>土地使用年限（年）</v>
      </c>
      <c r="R10" s="710" t="s">
        <v>17</v>
      </c>
      <c r="S10" s="711">
        <f t="shared" si="0"/>
        <v>119</v>
      </c>
      <c r="T10" s="710" t="s">
        <v>17</v>
      </c>
      <c r="U10" s="711">
        <f t="shared" si="1"/>
        <v>119</v>
      </c>
      <c r="V10" s="710" t="s">
        <v>17</v>
      </c>
      <c r="W10" s="711">
        <f t="shared" si="2"/>
        <v>119</v>
      </c>
      <c r="X10" s="712"/>
      <c r="Y10" s="3453"/>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v>1</v>
      </c>
      <c r="D11" s="132">
        <v>100</v>
      </c>
      <c r="E11" s="388">
        <v>1.8</v>
      </c>
      <c r="F11" s="132">
        <f>LOOKUP(E11,75:75,76:76)-LOOKUP(C11,75:75,76:76)+100</f>
        <v>100</v>
      </c>
      <c r="G11" s="389">
        <v>1.2</v>
      </c>
      <c r="H11" s="132">
        <f>LOOKUP(G11,75:75,76:76)-LOOKUP(C11,75:75,76:76)+100</f>
        <v>100</v>
      </c>
      <c r="I11" s="388">
        <v>1.8</v>
      </c>
      <c r="J11" s="132">
        <f>LOOKUP(I11,75:75,76:76)-LOOKUP(C11,75:75,76:76)+100</f>
        <v>100</v>
      </c>
      <c r="K11" s="629">
        <v>0</v>
      </c>
      <c r="L11" s="2918"/>
      <c r="M11" s="2913"/>
      <c r="N11" s="2913"/>
      <c r="O11" s="2971"/>
      <c r="P11" s="3483"/>
      <c r="Q11" s="1496" t="str">
        <f t="shared" si="6"/>
        <v>容积率</v>
      </c>
      <c r="R11" s="710" t="s">
        <v>17</v>
      </c>
      <c r="S11" s="711">
        <f t="shared" si="0"/>
        <v>100</v>
      </c>
      <c r="T11" s="710" t="s">
        <v>17</v>
      </c>
      <c r="U11" s="711">
        <f t="shared" si="1"/>
        <v>100</v>
      </c>
      <c r="V11" s="710" t="s">
        <v>17</v>
      </c>
      <c r="W11" s="711">
        <f t="shared" si="2"/>
        <v>100</v>
      </c>
      <c r="X11" s="712"/>
      <c r="Y11" s="3453"/>
      <c r="Z11" s="55" t="str">
        <f t="shared" si="7"/>
        <v>容积率</v>
      </c>
      <c r="AA11" s="713">
        <f t="shared" si="3"/>
        <v>1</v>
      </c>
      <c r="AB11" s="713">
        <f t="shared" si="4"/>
        <v>1</v>
      </c>
      <c r="AC11" s="713">
        <f t="shared" si="5"/>
        <v>1</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57">
      <c r="A15" s="3220" t="s">
        <v>2319</v>
      </c>
      <c r="B15" s="585" t="s">
        <v>2558</v>
      </c>
      <c r="C15" s="2126" t="str">
        <f>估价对象房地状况!G15</f>
        <v>估价对象位于XX开发区，园区建设成熟度XX，产业集聚程度XX</v>
      </c>
      <c r="D15" s="400">
        <v>100</v>
      </c>
      <c r="E15" s="401"/>
      <c r="F15" s="400">
        <f>SUMIF(83:83,E16,84:84)-SUMIF(83:83,C16,84:84)+100</f>
        <v>105</v>
      </c>
      <c r="G15" s="401"/>
      <c r="H15" s="400">
        <f>SUMIF(83:83,G16,84:84)-SUMIF(83:83,C16,84:84)+100</f>
        <v>105</v>
      </c>
      <c r="I15" s="403"/>
      <c r="J15" s="400">
        <f>SUMIF(83:83,I16,84:84)-SUMIF(83:83,C16,84:84)+100</f>
        <v>105</v>
      </c>
      <c r="K15" s="629">
        <v>5</v>
      </c>
      <c r="L15" s="2919"/>
      <c r="M15" s="2913"/>
      <c r="N15" s="2913"/>
      <c r="O15" s="2971"/>
      <c r="P15" s="3486" t="s">
        <v>2320</v>
      </c>
      <c r="Q15" s="1505" t="str">
        <f t="shared" si="6"/>
        <v>产业集聚程度</v>
      </c>
      <c r="R15" s="714" t="s">
        <v>17</v>
      </c>
      <c r="S15" s="715">
        <f t="shared" si="0"/>
        <v>105</v>
      </c>
      <c r="T15" s="714" t="s">
        <v>17</v>
      </c>
      <c r="U15" s="715">
        <f t="shared" si="1"/>
        <v>105</v>
      </c>
      <c r="V15" s="714" t="s">
        <v>17</v>
      </c>
      <c r="W15" s="715">
        <f t="shared" si="2"/>
        <v>105</v>
      </c>
      <c r="X15" s="1508"/>
      <c r="Y15" s="3486" t="s">
        <v>2320</v>
      </c>
      <c r="Z15" s="1509" t="str">
        <f t="shared" si="7"/>
        <v>产业集聚程度</v>
      </c>
      <c r="AA15" s="1506">
        <f t="shared" si="3"/>
        <v>0.95238095238095233</v>
      </c>
      <c r="AB15" s="1506">
        <f t="shared" si="4"/>
        <v>0.95238095238095233</v>
      </c>
      <c r="AC15" s="1506">
        <f t="shared" si="5"/>
        <v>0.95238095238095233</v>
      </c>
    </row>
    <row r="16" spans="1:29" ht="15">
      <c r="A16" s="387"/>
      <c r="B16" s="586"/>
      <c r="C16" s="3225" t="s">
        <v>3402</v>
      </c>
      <c r="D16" s="407"/>
      <c r="E16" s="3226" t="s">
        <v>3254</v>
      </c>
      <c r="F16" s="407"/>
      <c r="G16" s="3226" t="s">
        <v>3403</v>
      </c>
      <c r="H16" s="409"/>
      <c r="I16" s="3226" t="s">
        <v>3254</v>
      </c>
      <c r="J16" s="407"/>
      <c r="K16" s="628"/>
      <c r="L16" s="2919"/>
      <c r="M16" s="2913"/>
      <c r="N16" s="2913"/>
      <c r="O16" s="2971"/>
      <c r="P16" s="3487"/>
      <c r="Q16" s="1505"/>
      <c r="R16" s="714"/>
      <c r="S16" s="715"/>
      <c r="T16" s="714"/>
      <c r="U16" s="715"/>
      <c r="V16" s="714"/>
      <c r="W16" s="715"/>
      <c r="X16" s="1508"/>
      <c r="Y16" s="3487"/>
      <c r="Z16" s="1509"/>
      <c r="AA16" s="1506">
        <v>1</v>
      </c>
      <c r="AB16" s="1506">
        <v>1</v>
      </c>
      <c r="AC16" s="1506">
        <v>1</v>
      </c>
    </row>
    <row r="17" spans="1:29" ht="85.5">
      <c r="A17" s="387"/>
      <c r="B17" s="587" t="s">
        <v>2469</v>
      </c>
      <c r="C17" s="2055"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3"/>
      <c r="J17" s="409">
        <f>SUMIF(85:85,I18,86:86)-SUMIF(85:85,C18,86:86)+100</f>
        <v>103</v>
      </c>
      <c r="K17" s="629">
        <v>3</v>
      </c>
      <c r="L17" s="2919"/>
      <c r="M17" s="2913"/>
      <c r="N17" s="2913"/>
      <c r="O17" s="2971"/>
      <c r="P17" s="3487"/>
      <c r="Q17" s="1505" t="str">
        <f>B17</f>
        <v>交通便捷度</v>
      </c>
      <c r="R17" s="714" t="s">
        <v>17</v>
      </c>
      <c r="S17" s="715">
        <f>F17</f>
        <v>103</v>
      </c>
      <c r="T17" s="714" t="s">
        <v>17</v>
      </c>
      <c r="U17" s="715">
        <f>H17</f>
        <v>103</v>
      </c>
      <c r="V17" s="714" t="s">
        <v>17</v>
      </c>
      <c r="W17" s="715">
        <f>J17</f>
        <v>103</v>
      </c>
      <c r="X17" s="1508"/>
      <c r="Y17" s="3487"/>
      <c r="Z17" s="1509" t="str">
        <f>Q17</f>
        <v>交通便捷度</v>
      </c>
      <c r="AA17" s="1506">
        <f t="shared" si="3"/>
        <v>0.970873786407767</v>
      </c>
      <c r="AB17" s="1506">
        <f t="shared" si="4"/>
        <v>0.970873786407767</v>
      </c>
      <c r="AC17" s="1506">
        <f t="shared" si="5"/>
        <v>0.970873786407767</v>
      </c>
    </row>
    <row r="18" spans="1:29" ht="15">
      <c r="A18" s="387"/>
      <c r="B18" s="588"/>
      <c r="C18" s="3225" t="s">
        <v>3256</v>
      </c>
      <c r="D18" s="407"/>
      <c r="E18" s="3227" t="s">
        <v>3403</v>
      </c>
      <c r="F18" s="407"/>
      <c r="G18" s="3227" t="s">
        <v>3403</v>
      </c>
      <c r="H18" s="407"/>
      <c r="I18" s="3228" t="s">
        <v>3403</v>
      </c>
      <c r="J18" s="407"/>
      <c r="K18" s="628"/>
      <c r="L18" s="2919"/>
      <c r="M18" s="2913"/>
      <c r="N18" s="2913"/>
      <c r="O18" s="2971"/>
      <c r="P18" s="3487"/>
      <c r="Q18" s="1505"/>
      <c r="R18" s="714"/>
      <c r="S18" s="715"/>
      <c r="T18" s="714"/>
      <c r="U18" s="715"/>
      <c r="V18" s="714"/>
      <c r="W18" s="715"/>
      <c r="X18" s="1508"/>
      <c r="Y18" s="3487"/>
      <c r="Z18" s="1509"/>
      <c r="AA18" s="1506">
        <v>1</v>
      </c>
      <c r="AB18" s="1506">
        <v>1</v>
      </c>
      <c r="AC18" s="1506">
        <v>1</v>
      </c>
    </row>
    <row r="19" spans="1:29" ht="15">
      <c r="A19" s="387"/>
      <c r="B19" s="587" t="s">
        <v>2508</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87"/>
      <c r="Q19" s="1505" t="str">
        <f t="shared" ref="Q19:Q33" si="8">B19</f>
        <v>区域土地利用方向</v>
      </c>
      <c r="R19" s="714" t="s">
        <v>17</v>
      </c>
      <c r="S19" s="715">
        <f>F19</f>
        <v>100</v>
      </c>
      <c r="T19" s="714" t="s">
        <v>17</v>
      </c>
      <c r="U19" s="715">
        <f>H19</f>
        <v>100</v>
      </c>
      <c r="V19" s="714" t="s">
        <v>17</v>
      </c>
      <c r="W19" s="715">
        <f>J19</f>
        <v>100</v>
      </c>
      <c r="X19" s="1508"/>
      <c r="Y19" s="3487"/>
      <c r="Z19" s="1509" t="str">
        <f>Q19</f>
        <v>区域土地利用方向</v>
      </c>
      <c r="AA19" s="1506">
        <f t="shared" si="3"/>
        <v>1</v>
      </c>
      <c r="AB19" s="1506">
        <f t="shared" si="4"/>
        <v>1</v>
      </c>
      <c r="AC19" s="1506">
        <f t="shared" si="5"/>
        <v>1</v>
      </c>
    </row>
    <row r="20" spans="1:29" ht="15">
      <c r="A20" s="364"/>
      <c r="B20" s="588"/>
      <c r="C20" s="406"/>
      <c r="D20" s="407"/>
      <c r="E20" s="2053"/>
      <c r="F20" s="407"/>
      <c r="G20" s="2053"/>
      <c r="H20" s="407"/>
      <c r="I20" s="2053"/>
      <c r="J20" s="407"/>
      <c r="K20" s="751"/>
      <c r="L20" s="2919"/>
      <c r="M20" s="2913"/>
      <c r="N20" s="2913"/>
      <c r="O20" s="2971"/>
      <c r="P20" s="3487"/>
      <c r="Q20" s="1505"/>
      <c r="R20" s="714"/>
      <c r="S20" s="715"/>
      <c r="T20" s="714"/>
      <c r="U20" s="715"/>
      <c r="V20" s="714"/>
      <c r="W20" s="715"/>
      <c r="X20" s="1508"/>
      <c r="Y20" s="3487"/>
      <c r="Z20" s="1509"/>
      <c r="AA20" s="1506"/>
      <c r="AB20" s="1506"/>
      <c r="AC20" s="1506"/>
    </row>
    <row r="21" spans="1:29" ht="71.25">
      <c r="A21" s="364"/>
      <c r="B21" s="587" t="s">
        <v>2559</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87"/>
      <c r="Q21" s="1505" t="str">
        <f t="shared" si="8"/>
        <v>环境状况</v>
      </c>
      <c r="R21" s="714" t="s">
        <v>17</v>
      </c>
      <c r="S21" s="715">
        <f>F21</f>
        <v>100</v>
      </c>
      <c r="T21" s="714" t="s">
        <v>17</v>
      </c>
      <c r="U21" s="715">
        <f>H21</f>
        <v>100</v>
      </c>
      <c r="V21" s="714" t="s">
        <v>17</v>
      </c>
      <c r="W21" s="715">
        <f>J21</f>
        <v>100</v>
      </c>
      <c r="X21" s="1508"/>
      <c r="Y21" s="3487"/>
      <c r="Z21" s="1509" t="str">
        <f>Q21</f>
        <v>环境状况</v>
      </c>
      <c r="AA21" s="1506">
        <f t="shared" si="3"/>
        <v>1</v>
      </c>
      <c r="AB21" s="1506">
        <f t="shared" si="4"/>
        <v>1</v>
      </c>
      <c r="AC21" s="1506">
        <f t="shared" si="5"/>
        <v>1</v>
      </c>
    </row>
    <row r="22" spans="1:29" ht="15">
      <c r="A22" s="364"/>
      <c r="B22" s="588"/>
      <c r="C22" s="3225" t="s">
        <v>3255</v>
      </c>
      <c r="D22" s="407"/>
      <c r="E22" s="3226" t="s">
        <v>3255</v>
      </c>
      <c r="F22" s="407"/>
      <c r="G22" s="3226" t="s">
        <v>3254</v>
      </c>
      <c r="H22" s="407"/>
      <c r="I22" s="3225" t="s">
        <v>3255</v>
      </c>
      <c r="J22" s="407"/>
      <c r="K22" s="628"/>
      <c r="L22" s="2919"/>
      <c r="M22" s="2913"/>
      <c r="N22" s="2913"/>
      <c r="O22" s="2971"/>
      <c r="P22" s="3487"/>
      <c r="Q22" s="1505"/>
      <c r="R22" s="714"/>
      <c r="S22" s="715"/>
      <c r="T22" s="714"/>
      <c r="U22" s="715"/>
      <c r="V22" s="714"/>
      <c r="W22" s="715"/>
      <c r="X22" s="1508"/>
      <c r="Y22" s="3487"/>
      <c r="Z22" s="1509"/>
      <c r="AA22" s="1506">
        <v>1</v>
      </c>
      <c r="AB22" s="1506">
        <v>1</v>
      </c>
      <c r="AC22" s="1506">
        <v>1</v>
      </c>
    </row>
    <row r="23" spans="1:29" s="113" customFormat="1" ht="42.75">
      <c r="A23" s="605"/>
      <c r="B23" s="589" t="s">
        <v>2414</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87"/>
      <c r="Q23" s="1496" t="str">
        <f t="shared" si="8"/>
        <v>公共配套设施</v>
      </c>
      <c r="R23" s="710" t="s">
        <v>17</v>
      </c>
      <c r="S23" s="711">
        <f>F23</f>
        <v>100</v>
      </c>
      <c r="T23" s="710" t="s">
        <v>17</v>
      </c>
      <c r="U23" s="711">
        <f>H23</f>
        <v>100</v>
      </c>
      <c r="V23" s="710" t="s">
        <v>17</v>
      </c>
      <c r="W23" s="711">
        <f>J23</f>
        <v>100</v>
      </c>
      <c r="X23" s="712"/>
      <c r="Y23" s="3487"/>
      <c r="Z23" s="55" t="str">
        <f>Q23</f>
        <v>公共配套设施</v>
      </c>
      <c r="AA23" s="1506">
        <f>D23/F23</f>
        <v>1</v>
      </c>
      <c r="AB23" s="1506">
        <f>D23/H23</f>
        <v>1</v>
      </c>
      <c r="AC23" s="1506">
        <f>D23/J23</f>
        <v>1</v>
      </c>
    </row>
    <row r="24" spans="1:29" s="113" customFormat="1" ht="15">
      <c r="A24" s="605"/>
      <c r="B24" s="588"/>
      <c r="C24" s="3229" t="s">
        <v>3257</v>
      </c>
      <c r="D24" s="407"/>
      <c r="E24" s="3226" t="s">
        <v>3258</v>
      </c>
      <c r="F24" s="407"/>
      <c r="G24" s="3226" t="s">
        <v>3259</v>
      </c>
      <c r="H24" s="407"/>
      <c r="I24" s="3225" t="s">
        <v>3259</v>
      </c>
      <c r="J24" s="407"/>
      <c r="K24" s="628"/>
      <c r="L24" s="2914"/>
      <c r="M24" s="2915"/>
      <c r="N24" s="2915"/>
      <c r="O24" s="2969"/>
      <c r="P24" s="3487"/>
      <c r="Q24" s="1496"/>
      <c r="R24" s="710"/>
      <c r="S24" s="711"/>
      <c r="T24" s="710"/>
      <c r="U24" s="711"/>
      <c r="V24" s="710"/>
      <c r="W24" s="711"/>
      <c r="X24" s="712"/>
      <c r="Y24" s="3487"/>
      <c r="Z24" s="55"/>
      <c r="AA24" s="713">
        <v>1</v>
      </c>
      <c r="AB24" s="713">
        <v>1</v>
      </c>
      <c r="AC24" s="713">
        <v>1</v>
      </c>
    </row>
    <row r="25" spans="1:29" s="113" customFormat="1" ht="28.5">
      <c r="A25" s="605"/>
      <c r="B25" s="589" t="s">
        <v>2415</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87"/>
      <c r="Q25" s="1496" t="str">
        <f t="shared" ref="Q25" si="9">B25</f>
        <v>基础设施水平</v>
      </c>
      <c r="R25" s="710" t="s">
        <v>17</v>
      </c>
      <c r="S25" s="711">
        <f>F25</f>
        <v>100</v>
      </c>
      <c r="T25" s="710" t="s">
        <v>17</v>
      </c>
      <c r="U25" s="711">
        <f>H25</f>
        <v>100</v>
      </c>
      <c r="V25" s="710" t="s">
        <v>17</v>
      </c>
      <c r="W25" s="711">
        <f>J25</f>
        <v>100</v>
      </c>
      <c r="X25" s="712"/>
      <c r="Y25" s="3487"/>
      <c r="Z25" s="55" t="str">
        <f>Q25</f>
        <v>基础设施水平</v>
      </c>
      <c r="AA25" s="1506">
        <f>D25/F25</f>
        <v>1</v>
      </c>
      <c r="AB25" s="1506">
        <f>D25/H25</f>
        <v>1</v>
      </c>
      <c r="AC25" s="1506">
        <f>D25/J25</f>
        <v>1</v>
      </c>
    </row>
    <row r="26" spans="1:29" s="113" customFormat="1" ht="15">
      <c r="A26" s="605"/>
      <c r="B26" s="588"/>
      <c r="C26" s="3229" t="s">
        <v>3248</v>
      </c>
      <c r="D26" s="407"/>
      <c r="E26" s="3230" t="s">
        <v>3248</v>
      </c>
      <c r="F26" s="407"/>
      <c r="G26" s="3230" t="s">
        <v>3260</v>
      </c>
      <c r="H26" s="407"/>
      <c r="I26" s="3230" t="s">
        <v>3261</v>
      </c>
      <c r="J26" s="407"/>
      <c r="K26" s="628"/>
      <c r="L26" s="2914"/>
      <c r="M26" s="2915"/>
      <c r="N26" s="2915"/>
      <c r="O26" s="2969"/>
      <c r="P26" s="3487"/>
      <c r="Q26" s="1496"/>
      <c r="R26" s="710"/>
      <c r="S26" s="711"/>
      <c r="T26" s="710"/>
      <c r="U26" s="711"/>
      <c r="V26" s="710"/>
      <c r="W26" s="711"/>
      <c r="X26" s="712"/>
      <c r="Y26" s="348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87"/>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487"/>
      <c r="Z27" s="1509" t="str">
        <f t="shared" ref="Z27:Z40" si="13">Q27</f>
        <v>临街状况</v>
      </c>
      <c r="AA27" s="1506">
        <f t="shared" si="3"/>
        <v>1</v>
      </c>
      <c r="AB27" s="1506">
        <f t="shared" si="4"/>
        <v>1</v>
      </c>
      <c r="AC27" s="1506">
        <f t="shared" si="5"/>
        <v>1</v>
      </c>
    </row>
    <row r="28" spans="1:29" ht="27">
      <c r="A28" s="387"/>
      <c r="B28" s="589" t="s">
        <v>2451</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87"/>
      <c r="Q28" s="1505" t="str">
        <f t="shared" si="8"/>
        <v>毗邻道路的类型与等级</v>
      </c>
      <c r="R28" s="714" t="s">
        <v>17</v>
      </c>
      <c r="S28" s="715">
        <f t="shared" si="10"/>
        <v>100</v>
      </c>
      <c r="T28" s="714" t="s">
        <v>17</v>
      </c>
      <c r="U28" s="715">
        <f t="shared" si="11"/>
        <v>100</v>
      </c>
      <c r="V28" s="714" t="s">
        <v>17</v>
      </c>
      <c r="W28" s="715">
        <f t="shared" si="12"/>
        <v>100</v>
      </c>
      <c r="X28" s="1508"/>
      <c r="Y28" s="3487"/>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19"/>
      <c r="M29" s="2913"/>
      <c r="N29" s="2913"/>
      <c r="O29" s="2971"/>
      <c r="P29" s="3487"/>
      <c r="Q29" s="1505"/>
      <c r="R29" s="714"/>
      <c r="S29" s="715"/>
      <c r="T29" s="714"/>
      <c r="U29" s="715"/>
      <c r="V29" s="714"/>
      <c r="W29" s="715"/>
      <c r="X29" s="1508"/>
      <c r="Y29" s="3487"/>
      <c r="Z29" s="1509"/>
      <c r="AA29" s="1506">
        <v>1</v>
      </c>
      <c r="AB29" s="1506">
        <v>1</v>
      </c>
      <c r="AC29" s="1506">
        <v>1</v>
      </c>
    </row>
    <row r="30" spans="1:29" ht="15">
      <c r="A30" s="387"/>
      <c r="B30" s="3222" t="s">
        <v>2510</v>
      </c>
      <c r="C30" s="1270" t="str">
        <f>估价对象房地状况!G23</f>
        <v>十级</v>
      </c>
      <c r="D30" s="394">
        <v>100</v>
      </c>
      <c r="E30" s="3281" t="s">
        <v>3396</v>
      </c>
      <c r="F30" s="394">
        <f>SUMIF(99:99,E30,100:100)-SUMIF(99:99,C30,100:100)+100</f>
        <v>102</v>
      </c>
      <c r="G30" s="3281" t="s">
        <v>3397</v>
      </c>
      <c r="H30" s="394">
        <f>SUMIF(99:99,G30,100:100)-SUMIF(99:99,C30,100:100)+100</f>
        <v>100</v>
      </c>
      <c r="I30" s="3281" t="s">
        <v>3396</v>
      </c>
      <c r="J30" s="394">
        <f>SUMIF(99:99,I30,100:100)-SUMIF(99:99,C30,100:100)+100</f>
        <v>102</v>
      </c>
      <c r="K30" s="569">
        <v>2</v>
      </c>
      <c r="L30" s="2919"/>
      <c r="M30" s="2913"/>
      <c r="N30" s="2913"/>
      <c r="O30" s="2971"/>
      <c r="P30" s="3487"/>
      <c r="Q30" s="1505" t="str">
        <f t="shared" si="8"/>
        <v>土地级别</v>
      </c>
      <c r="R30" s="714" t="s">
        <v>17</v>
      </c>
      <c r="S30" s="715">
        <f t="shared" si="10"/>
        <v>102</v>
      </c>
      <c r="T30" s="714" t="s">
        <v>17</v>
      </c>
      <c r="U30" s="715">
        <f t="shared" si="11"/>
        <v>100</v>
      </c>
      <c r="V30" s="714" t="s">
        <v>17</v>
      </c>
      <c r="W30" s="715">
        <f t="shared" si="12"/>
        <v>102</v>
      </c>
      <c r="X30" s="1508"/>
      <c r="Y30" s="3487"/>
      <c r="Z30" s="1509" t="str">
        <f t="shared" si="13"/>
        <v>土地级别</v>
      </c>
      <c r="AA30" s="1506">
        <f t="shared" si="3"/>
        <v>0.98039215686274506</v>
      </c>
      <c r="AB30" s="1506">
        <f t="shared" si="4"/>
        <v>1</v>
      </c>
      <c r="AC30" s="1506">
        <f t="shared" si="5"/>
        <v>0.98039215686274506</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87"/>
      <c r="Q31" s="1505">
        <f t="shared" si="8"/>
        <v>111</v>
      </c>
      <c r="R31" s="714" t="s">
        <v>17</v>
      </c>
      <c r="S31" s="715">
        <f t="shared" si="10"/>
        <v>100</v>
      </c>
      <c r="T31" s="714" t="s">
        <v>17</v>
      </c>
      <c r="U31" s="715">
        <f t="shared" si="11"/>
        <v>100</v>
      </c>
      <c r="V31" s="714" t="s">
        <v>17</v>
      </c>
      <c r="W31" s="715">
        <f t="shared" si="12"/>
        <v>100</v>
      </c>
      <c r="X31" s="1508"/>
      <c r="Y31" s="3487"/>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88" t="s">
        <v>2325</v>
      </c>
      <c r="Q32" s="1505">
        <f t="shared" si="8"/>
        <v>111</v>
      </c>
      <c r="R32" s="714" t="s">
        <v>17</v>
      </c>
      <c r="S32" s="715">
        <f t="shared" si="10"/>
        <v>100</v>
      </c>
      <c r="T32" s="714" t="s">
        <v>17</v>
      </c>
      <c r="U32" s="715">
        <f t="shared" si="11"/>
        <v>100</v>
      </c>
      <c r="V32" s="714" t="s">
        <v>17</v>
      </c>
      <c r="W32" s="715">
        <f t="shared" si="12"/>
        <v>100</v>
      </c>
      <c r="X32" s="1508"/>
      <c r="Y32" s="3489" t="s">
        <v>2325</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89"/>
      <c r="Q33" s="1505">
        <f t="shared" si="8"/>
        <v>111</v>
      </c>
      <c r="R33" s="717" t="s">
        <v>17</v>
      </c>
      <c r="S33" s="718">
        <f t="shared" si="10"/>
        <v>100</v>
      </c>
      <c r="T33" s="717" t="s">
        <v>17</v>
      </c>
      <c r="U33" s="718">
        <f t="shared" si="11"/>
        <v>100</v>
      </c>
      <c r="V33" s="717" t="s">
        <v>17</v>
      </c>
      <c r="W33" s="718">
        <f t="shared" si="12"/>
        <v>100</v>
      </c>
      <c r="X33" s="719"/>
      <c r="Y33" s="3489"/>
      <c r="Z33" s="720">
        <f t="shared" si="13"/>
        <v>111</v>
      </c>
      <c r="AA33" s="1506">
        <f t="shared" si="3"/>
        <v>1</v>
      </c>
      <c r="AB33" s="1506">
        <f t="shared" si="4"/>
        <v>1</v>
      </c>
      <c r="AC33" s="1506">
        <f t="shared" si="5"/>
        <v>1</v>
      </c>
    </row>
    <row r="34" spans="1:31" ht="15">
      <c r="A34" s="399" t="s">
        <v>2323</v>
      </c>
      <c r="B34" s="415" t="s">
        <v>2511</v>
      </c>
      <c r="C34" s="635">
        <f>'数据-基础表'!A3</f>
        <v>19466.48</v>
      </c>
      <c r="D34" s="426">
        <v>100</v>
      </c>
      <c r="E34" s="635">
        <f>Sheet1!D3</f>
        <v>16627.21</v>
      </c>
      <c r="F34" s="426">
        <f>LOOKUP(E34,108:108,109:109)-LOOKUP(C34,108:108,109:109)+100</f>
        <v>100</v>
      </c>
      <c r="G34" s="635">
        <f>Sheet1!D8</f>
        <v>45953.52</v>
      </c>
      <c r="H34" s="426">
        <f>LOOKUP(G34,108:108,109:109)-LOOKUP(C34,108:108,109:109)+100</f>
        <v>103</v>
      </c>
      <c r="I34" s="487">
        <f>Sheet1!D12</f>
        <v>19340</v>
      </c>
      <c r="J34" s="426">
        <f>LOOKUP(I34,108:108,109:109)-LOOKUP(C34,108:108,109:109)+100</f>
        <v>100</v>
      </c>
      <c r="K34" s="570"/>
      <c r="L34" s="2919"/>
      <c r="M34" s="2913"/>
      <c r="N34" s="2913"/>
      <c r="O34" s="2971"/>
      <c r="P34" s="3489"/>
      <c r="Q34" s="1505" t="str">
        <f>B34</f>
        <v>宗地面积</v>
      </c>
      <c r="R34" s="714" t="s">
        <v>17</v>
      </c>
      <c r="S34" s="715">
        <f t="shared" si="10"/>
        <v>100</v>
      </c>
      <c r="T34" s="714" t="s">
        <v>17</v>
      </c>
      <c r="U34" s="715">
        <f t="shared" si="11"/>
        <v>103</v>
      </c>
      <c r="V34" s="714" t="s">
        <v>17</v>
      </c>
      <c r="W34" s="715">
        <f t="shared" si="12"/>
        <v>100</v>
      </c>
      <c r="X34" s="1508"/>
      <c r="Y34" s="3489"/>
      <c r="Z34" s="1509" t="str">
        <f t="shared" si="13"/>
        <v>宗地面积</v>
      </c>
      <c r="AA34" s="1506">
        <f t="shared" si="3"/>
        <v>1</v>
      </c>
      <c r="AB34" s="1506">
        <f t="shared" si="4"/>
        <v>0.970873786407767</v>
      </c>
      <c r="AC34" s="1506">
        <f t="shared" si="5"/>
        <v>1</v>
      </c>
    </row>
    <row r="35" spans="1:31" ht="15">
      <c r="A35" s="431"/>
      <c r="B35" s="381" t="s">
        <v>2512</v>
      </c>
      <c r="C35" s="2061"/>
      <c r="D35" s="394">
        <v>100</v>
      </c>
      <c r="E35" s="2061"/>
      <c r="F35" s="394">
        <f>SUMIF(110:110,E35,111:111)-SUMIF(110:110,C35,111:111)+100</f>
        <v>100</v>
      </c>
      <c r="G35" s="2061"/>
      <c r="H35" s="394">
        <f>SUMIF(110:110,G35,111:111)-SUMIF(110:110,C35,111:111)+100</f>
        <v>100</v>
      </c>
      <c r="I35" s="2061"/>
      <c r="J35" s="394">
        <f>SUMIF(110:110,I35,111:111)-SUMIF(110:110,C35,111:111)+100</f>
        <v>100</v>
      </c>
      <c r="K35" s="569"/>
      <c r="L35" s="2919"/>
      <c r="M35" s="2913"/>
      <c r="N35" s="2913"/>
      <c r="O35" s="2971"/>
      <c r="P35" s="3489"/>
      <c r="Q35" s="1505" t="str">
        <f t="shared" ref="Q35:Q40" si="14">B35</f>
        <v>宗地形状</v>
      </c>
      <c r="R35" s="714" t="s">
        <v>17</v>
      </c>
      <c r="S35" s="715">
        <f t="shared" si="10"/>
        <v>100</v>
      </c>
      <c r="T35" s="714" t="s">
        <v>17</v>
      </c>
      <c r="U35" s="715">
        <f t="shared" si="11"/>
        <v>100</v>
      </c>
      <c r="V35" s="714" t="s">
        <v>17</v>
      </c>
      <c r="W35" s="715">
        <f t="shared" si="12"/>
        <v>100</v>
      </c>
      <c r="X35" s="1508"/>
      <c r="Y35" s="3489"/>
      <c r="Z35" s="1509" t="str">
        <f t="shared" si="13"/>
        <v>宗地形状</v>
      </c>
      <c r="AA35" s="1506">
        <f t="shared" si="3"/>
        <v>1</v>
      </c>
      <c r="AB35" s="1506">
        <f t="shared" si="4"/>
        <v>1</v>
      </c>
      <c r="AC35" s="1506">
        <f t="shared" si="5"/>
        <v>1</v>
      </c>
    </row>
    <row r="36" spans="1:31" s="113" customFormat="1" ht="15">
      <c r="A36" s="432"/>
      <c r="B36" s="3221" t="s">
        <v>2514</v>
      </c>
      <c r="C36" s="3223" t="s">
        <v>3247</v>
      </c>
      <c r="D36" s="132">
        <v>100</v>
      </c>
      <c r="E36" s="3223" t="s">
        <v>3248</v>
      </c>
      <c r="F36" s="394">
        <f>SUMIF(112:112,E36,113:113)-SUMIF(112:112,C36,113:113)+100</f>
        <v>104</v>
      </c>
      <c r="G36" s="3223" t="s">
        <v>3249</v>
      </c>
      <c r="H36" s="394">
        <f>SUMIF(112:112,G36,113:113)-SUMIF(112:112,C36,113:113)+100</f>
        <v>96</v>
      </c>
      <c r="I36" s="3223" t="s">
        <v>3248</v>
      </c>
      <c r="J36" s="394">
        <f>SUMIF(112:112,I36,113:113)-SUMIF(112:112,C36,113:113)+100</f>
        <v>104</v>
      </c>
      <c r="K36" s="569">
        <v>2</v>
      </c>
      <c r="L36" s="2914"/>
      <c r="M36" s="2915"/>
      <c r="N36" s="2915"/>
      <c r="O36" s="2969"/>
      <c r="P36" s="3489"/>
      <c r="Q36" s="1505" t="str">
        <f t="shared" si="14"/>
        <v>宗地开发程度</v>
      </c>
      <c r="R36" s="710" t="s">
        <v>17</v>
      </c>
      <c r="S36" s="711">
        <f t="shared" si="10"/>
        <v>104</v>
      </c>
      <c r="T36" s="710" t="s">
        <v>17</v>
      </c>
      <c r="U36" s="711">
        <f t="shared" si="11"/>
        <v>96</v>
      </c>
      <c r="V36" s="710" t="s">
        <v>17</v>
      </c>
      <c r="W36" s="711">
        <f t="shared" si="12"/>
        <v>104</v>
      </c>
      <c r="X36" s="712"/>
      <c r="Y36" s="3489"/>
      <c r="Z36" s="55" t="str">
        <f t="shared" si="13"/>
        <v>宗地开发程度</v>
      </c>
      <c r="AA36" s="713">
        <f t="shared" si="3"/>
        <v>0.96153846153846156</v>
      </c>
      <c r="AB36" s="713">
        <f t="shared" si="4"/>
        <v>1.0416666666666667</v>
      </c>
      <c r="AC36" s="713">
        <f t="shared" si="5"/>
        <v>0.96153846153846156</v>
      </c>
    </row>
    <row r="37" spans="1:31" ht="15">
      <c r="A37" s="431"/>
      <c r="B37" s="381" t="s">
        <v>2515</v>
      </c>
      <c r="C37" s="2061"/>
      <c r="D37" s="394">
        <v>100</v>
      </c>
      <c r="E37" s="2061"/>
      <c r="F37" s="394">
        <f>SUMIF(114:114,E37,115:115)-SUMIF(114:114,C37,115:115)+100</f>
        <v>100</v>
      </c>
      <c r="G37" s="2061"/>
      <c r="H37" s="394">
        <f>SUMIF(114:114,G37,115:115)-SUMIF(114:114,C37,115:115)+100</f>
        <v>100</v>
      </c>
      <c r="I37" s="2061"/>
      <c r="J37" s="394">
        <f>SUMIF(114:114,I37,115:115)-SUMIF(114:114,C37,115:115)+100</f>
        <v>100</v>
      </c>
      <c r="K37" s="569"/>
      <c r="L37" s="2919"/>
      <c r="M37" s="2913"/>
      <c r="N37" s="2913"/>
      <c r="O37" s="2971"/>
      <c r="P37" s="3489" t="s">
        <v>2325</v>
      </c>
      <c r="Q37" s="1505" t="str">
        <f t="shared" si="14"/>
        <v>工程地质条件</v>
      </c>
      <c r="R37" s="714" t="s">
        <v>17</v>
      </c>
      <c r="S37" s="715">
        <f t="shared" si="10"/>
        <v>100</v>
      </c>
      <c r="T37" s="714" t="s">
        <v>17</v>
      </c>
      <c r="U37" s="715">
        <f t="shared" si="11"/>
        <v>100</v>
      </c>
      <c r="V37" s="714" t="s">
        <v>17</v>
      </c>
      <c r="W37" s="715">
        <f t="shared" si="12"/>
        <v>100</v>
      </c>
      <c r="X37" s="1508"/>
      <c r="Y37" s="3489" t="s">
        <v>2325</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89"/>
      <c r="Q38" s="1505">
        <f t="shared" si="14"/>
        <v>111</v>
      </c>
      <c r="R38" s="714" t="s">
        <v>17</v>
      </c>
      <c r="S38" s="715">
        <f t="shared" si="10"/>
        <v>100</v>
      </c>
      <c r="T38" s="714" t="s">
        <v>17</v>
      </c>
      <c r="U38" s="715">
        <f t="shared" si="11"/>
        <v>100</v>
      </c>
      <c r="V38" s="714" t="s">
        <v>17</v>
      </c>
      <c r="W38" s="715">
        <f t="shared" si="12"/>
        <v>100</v>
      </c>
      <c r="X38" s="1508"/>
      <c r="Y38" s="3489"/>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89"/>
      <c r="Q39" s="1505">
        <f t="shared" si="14"/>
        <v>111</v>
      </c>
      <c r="R39" s="714" t="s">
        <v>17</v>
      </c>
      <c r="S39" s="715">
        <f t="shared" si="10"/>
        <v>100</v>
      </c>
      <c r="T39" s="714" t="s">
        <v>17</v>
      </c>
      <c r="U39" s="715">
        <f t="shared" si="11"/>
        <v>100</v>
      </c>
      <c r="V39" s="714" t="s">
        <v>17</v>
      </c>
      <c r="W39" s="715">
        <f t="shared" si="12"/>
        <v>100</v>
      </c>
      <c r="X39" s="1508"/>
      <c r="Y39" s="3489"/>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89"/>
      <c r="Q40" s="1505">
        <f t="shared" si="14"/>
        <v>111</v>
      </c>
      <c r="R40" s="717" t="s">
        <v>17</v>
      </c>
      <c r="S40" s="718">
        <f t="shared" si="10"/>
        <v>100</v>
      </c>
      <c r="T40" s="717" t="s">
        <v>17</v>
      </c>
      <c r="U40" s="718">
        <f t="shared" si="11"/>
        <v>100</v>
      </c>
      <c r="V40" s="717" t="s">
        <v>17</v>
      </c>
      <c r="W40" s="718">
        <f t="shared" si="12"/>
        <v>100</v>
      </c>
      <c r="X40" s="719"/>
      <c r="Y40" s="3489"/>
      <c r="Z40" s="720">
        <f t="shared" si="13"/>
        <v>111</v>
      </c>
      <c r="AA40" s="1506">
        <f t="shared" si="3"/>
        <v>1</v>
      </c>
      <c r="AB40" s="1506">
        <f t="shared" si="4"/>
        <v>1</v>
      </c>
      <c r="AC40" s="1506">
        <f t="shared" si="5"/>
        <v>1</v>
      </c>
    </row>
    <row r="41" spans="1:31" ht="15">
      <c r="A41" s="438" t="s">
        <v>2480</v>
      </c>
      <c r="B41" s="2137" t="s">
        <v>3246</v>
      </c>
      <c r="C41" s="638" t="s">
        <v>1</v>
      </c>
      <c r="D41" s="440"/>
      <c r="E41" s="441">
        <f>Sheet1!V3</f>
        <v>3362</v>
      </c>
      <c r="F41" s="442"/>
      <c r="G41" s="443">
        <f>Sheet1!V8</f>
        <v>2753</v>
      </c>
      <c r="H41" s="444"/>
      <c r="I41" s="441">
        <f>Sheet1!V12</f>
        <v>3260</v>
      </c>
      <c r="J41" s="444"/>
      <c r="K41" s="723"/>
      <c r="L41" s="2921"/>
      <c r="M41" s="2913"/>
      <c r="N41" s="2913"/>
      <c r="O41" s="2922"/>
      <c r="P41" s="3483" t="str">
        <f>A41</f>
        <v>成交单价</v>
      </c>
      <c r="Q41" s="3483"/>
      <c r="R41" s="3485">
        <f>E41</f>
        <v>3362</v>
      </c>
      <c r="S41" s="3485"/>
      <c r="T41" s="3485">
        <f>G41</f>
        <v>2753</v>
      </c>
      <c r="U41" s="3485"/>
      <c r="V41" s="3485">
        <f>I41</f>
        <v>3260</v>
      </c>
      <c r="W41" s="3485"/>
      <c r="X41" s="699"/>
      <c r="Y41" s="721"/>
      <c r="Z41" s="699"/>
      <c r="AA41" s="699"/>
      <c r="AB41" s="699"/>
      <c r="AC41" s="699"/>
    </row>
    <row r="42" spans="1:31" ht="15.75" thickBot="1">
      <c r="A42" s="445" t="s">
        <v>2429</v>
      </c>
      <c r="B42" s="639"/>
      <c r="C42" s="448">
        <f>R43</f>
        <v>2398</v>
      </c>
      <c r="D42" s="2507" t="s">
        <v>2817</v>
      </c>
      <c r="E42" s="448">
        <f>R42</f>
        <v>2487</v>
      </c>
      <c r="F42" s="2508"/>
      <c r="G42" s="447">
        <f>T42</f>
        <v>2219</v>
      </c>
      <c r="H42" s="2508"/>
      <c r="I42" s="448">
        <f>V42</f>
        <v>2487</v>
      </c>
      <c r="J42" s="2508"/>
      <c r="K42" s="2510">
        <f>F42+H42+J42</f>
        <v>0</v>
      </c>
      <c r="L42" s="2921"/>
      <c r="M42" s="2913"/>
      <c r="N42" s="2913"/>
      <c r="O42" s="2922"/>
      <c r="P42" s="3483" t="str">
        <f>A42</f>
        <v>比较价值（元/平方米）</v>
      </c>
      <c r="Q42" s="3483"/>
      <c r="R42" s="3484">
        <f>ROUND(PRODUCT(R41,AA7:AA40),0)</f>
        <v>2487</v>
      </c>
      <c r="S42" s="3484"/>
      <c r="T42" s="3484">
        <f>ROUND(PRODUCT(T41,AB7:AB40),0)</f>
        <v>2219</v>
      </c>
      <c r="U42" s="3484"/>
      <c r="V42" s="3484">
        <f>ROUND(PRODUCT(V41,AC7:AC40),0)</f>
        <v>2487</v>
      </c>
      <c r="W42" s="3484"/>
      <c r="X42" s="699"/>
      <c r="Y42" s="699"/>
      <c r="Z42" s="699"/>
      <c r="AA42" s="699"/>
      <c r="AB42" s="699"/>
      <c r="AC42" s="699"/>
    </row>
    <row r="43" spans="1:31" ht="15.75" thickBot="1">
      <c r="A43" s="449" t="s">
        <v>2430</v>
      </c>
      <c r="B43" s="450"/>
      <c r="C43" s="451">
        <f>R43</f>
        <v>2398</v>
      </c>
      <c r="D43" s="451"/>
      <c r="E43" s="451"/>
      <c r="F43" s="451"/>
      <c r="G43" s="451"/>
      <c r="H43" s="451"/>
      <c r="I43" s="451"/>
      <c r="J43" s="451"/>
      <c r="K43" s="724"/>
      <c r="L43" s="2921"/>
      <c r="M43" s="2913"/>
      <c r="N43" s="2913"/>
      <c r="O43" s="2922"/>
      <c r="P43" s="3480" t="str">
        <f>A43</f>
        <v>估价对象XX用房的比较价值（楼面单价，元/平方米）</v>
      </c>
      <c r="Q43" s="3481"/>
      <c r="R43" s="3482">
        <f>ROUND(IF(D42="简单平均",AVERAGE(R42:W42),R42*F42+T42*H42+V42*J42),0)</f>
        <v>2398</v>
      </c>
      <c r="S43" s="3482"/>
      <c r="T43" s="3482"/>
      <c r="U43" s="3482"/>
      <c r="V43" s="3482"/>
      <c r="W43" s="3482"/>
      <c r="X43" s="699"/>
      <c r="Y43" s="699"/>
      <c r="Z43" s="699"/>
      <c r="AA43" s="699"/>
      <c r="AB43" s="699"/>
      <c r="AC43" s="699"/>
    </row>
    <row r="44" spans="1:31">
      <c r="A44" s="2922"/>
      <c r="B44" s="2922"/>
      <c r="C44" s="2922">
        <f>C43*666.67/10000</f>
        <v>159.86746599999998</v>
      </c>
      <c r="D44" s="2922"/>
      <c r="E44" s="2922"/>
      <c r="F44" s="2922"/>
      <c r="G44" s="2922"/>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2431</v>
      </c>
      <c r="D46" s="455"/>
      <c r="E46" s="456">
        <f>IF(E41&lt;E42,E42/E41-1,E41/E42-1)</f>
        <v>0.35182951347004421</v>
      </c>
      <c r="F46" s="457" t="str">
        <f>IF(OR(E46&gt;=0.3,E46&lt;=-0.3),"超过30%","")</f>
        <v>超过30%</v>
      </c>
      <c r="G46" s="456">
        <f>IF(G41&lt;G42,G42/G41-1,G41/G42-1)</f>
        <v>0.24064894096439837</v>
      </c>
      <c r="H46" s="457" t="str">
        <f>IF(OR(G46&gt;=0.3,G46&lt;=-0.3),"超过30%","")</f>
        <v/>
      </c>
      <c r="I46" s="456">
        <f>IF(I41&lt;I42,I42/I41-1,I41/I42-1)</f>
        <v>0.31081624447125056</v>
      </c>
      <c r="J46" s="457" t="str">
        <f>IF(OR(I46&gt;=0.3,I46&lt;=-0.3),"超过30%","")</f>
        <v>超过30%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2432</v>
      </c>
      <c r="D47" s="458"/>
      <c r="E47" s="456">
        <f>IF(E42&lt;G42,G42/E42-1,E42/G42-1)</f>
        <v>0.12077512392969814</v>
      </c>
      <c r="F47" s="457" t="str">
        <f>IF(OR(E47&gt;=0.2,E47&lt;=-0.2),"超过20%","")</f>
        <v/>
      </c>
      <c r="G47" s="456">
        <f>IF(G42&lt;I42,I42/G42-1,G42/I42-1)</f>
        <v>0.12077512392969814</v>
      </c>
      <c r="H47" s="457" t="str">
        <f>IF(OR(G47&gt;=0.2,G47&lt;=-0.2),"超过20%","")</f>
        <v/>
      </c>
      <c r="I47" s="456">
        <f>IF(I42&lt;E42,E42/I42-1,I42/E42-1)</f>
        <v>0</v>
      </c>
      <c r="J47" s="457"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2433</v>
      </c>
      <c r="D48" s="458"/>
      <c r="E48" s="456">
        <f>IF(E41&lt;G41,G41/E41-1,E41/G41-1)</f>
        <v>0.22121322193970205</v>
      </c>
      <c r="F48" s="457" t="str">
        <f>IF(OR(E48&gt;=0.3,E48&lt;=-0.3),"超过30%","")</f>
        <v/>
      </c>
      <c r="G48" s="456">
        <f>IF(G41&lt;I41,I41/G41-1,G41/I41-1)</f>
        <v>0.18416273156556473</v>
      </c>
      <c r="H48" s="457" t="str">
        <f>IF(OR(G48&gt;=0.3,G48&lt;=-0.3),"超过30%","")</f>
        <v/>
      </c>
      <c r="I48" s="456">
        <f>IF(I41&lt;E41,E41/I41-1,I41/E41-1)</f>
        <v>3.128834355828225E-2</v>
      </c>
      <c r="J48" s="457"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2518</v>
      </c>
      <c r="B50" s="641" t="s">
        <v>2519</v>
      </c>
      <c r="C50" s="2138" t="s">
        <v>2520</v>
      </c>
      <c r="D50" s="2139" t="s">
        <v>2521</v>
      </c>
      <c r="E50" s="642" t="s">
        <v>2522</v>
      </c>
      <c r="F50" s="643" t="s">
        <v>2523</v>
      </c>
      <c r="G50" s="3493" t="s">
        <v>2524</v>
      </c>
      <c r="H50" s="3507"/>
      <c r="I50" s="1509" t="s">
        <v>2560</v>
      </c>
      <c r="J50" s="1509">
        <f>项目基本情况!F35</f>
        <v>0</v>
      </c>
      <c r="K50" s="2141" t="s">
        <v>2526</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2527</v>
      </c>
      <c r="B51" s="645">
        <f>C43</f>
        <v>2398</v>
      </c>
      <c r="C51" s="646">
        <v>1</v>
      </c>
      <c r="D51" s="1075">
        <v>1</v>
      </c>
      <c r="E51" s="646">
        <f>'数据-汇总表'!E8+'数据-汇总表'!E9</f>
        <v>4052</v>
      </c>
      <c r="F51" s="647">
        <f t="shared" ref="F51:F60" si="15">ROUND(B51*E51/10000,0)</f>
        <v>972</v>
      </c>
      <c r="G51" s="3508"/>
      <c r="H51" s="3483"/>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2528</v>
      </c>
      <c r="B52" s="224">
        <f>ROUND($C$43*C52*D52,0)</f>
        <v>0</v>
      </c>
      <c r="C52" s="176">
        <f t="shared" ref="C52:C60" si="16">IF($C$50="北京市系数",I52,J52)</f>
        <v>0</v>
      </c>
      <c r="D52" s="1076">
        <v>0.25</v>
      </c>
      <c r="E52" s="650"/>
      <c r="F52" s="647">
        <f t="shared" si="15"/>
        <v>0</v>
      </c>
      <c r="G52" s="3509" t="s">
        <v>2529</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2530</v>
      </c>
      <c r="B53" s="224">
        <f t="shared" ref="B53:B60" si="17">ROUND($C$43*C53*D53,0)</f>
        <v>0</v>
      </c>
      <c r="C53" s="176">
        <f t="shared" si="16"/>
        <v>0</v>
      </c>
      <c r="D53" s="1076">
        <v>0.25</v>
      </c>
      <c r="E53" s="650"/>
      <c r="F53" s="647">
        <f t="shared" si="15"/>
        <v>0</v>
      </c>
      <c r="G53" s="3509"/>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2531</v>
      </c>
      <c r="B54" s="224">
        <f t="shared" si="17"/>
        <v>0</v>
      </c>
      <c r="C54" s="176">
        <f t="shared" si="16"/>
        <v>0</v>
      </c>
      <c r="D54" s="1076">
        <v>0.25</v>
      </c>
      <c r="E54" s="650"/>
      <c r="F54" s="647">
        <f t="shared" si="15"/>
        <v>0</v>
      </c>
      <c r="G54" s="3509"/>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2532</v>
      </c>
      <c r="B55" s="224">
        <f t="shared" si="17"/>
        <v>0</v>
      </c>
      <c r="C55" s="176">
        <f t="shared" si="16"/>
        <v>0</v>
      </c>
      <c r="D55" s="1076">
        <v>0.25</v>
      </c>
      <c r="E55" s="650"/>
      <c r="F55" s="647">
        <f t="shared" si="15"/>
        <v>0</v>
      </c>
      <c r="G55" s="3509"/>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2533</v>
      </c>
      <c r="B56" s="224">
        <f t="shared" si="17"/>
        <v>0</v>
      </c>
      <c r="C56" s="176">
        <f t="shared" si="16"/>
        <v>0</v>
      </c>
      <c r="D56" s="1076">
        <v>0.25</v>
      </c>
      <c r="E56" s="223">
        <f>'数据-汇总表'!E11</f>
        <v>0</v>
      </c>
      <c r="F56" s="647">
        <f t="shared" si="15"/>
        <v>0</v>
      </c>
      <c r="G56" s="2142" t="s">
        <v>2534</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2539</v>
      </c>
      <c r="B59" s="224">
        <f t="shared" si="17"/>
        <v>0</v>
      </c>
      <c r="C59" s="176">
        <f t="shared" si="16"/>
        <v>0</v>
      </c>
      <c r="D59" s="1076">
        <v>0.25</v>
      </c>
      <c r="E59" s="223">
        <f>'数据-汇总表'!E14</f>
        <v>0</v>
      </c>
      <c r="F59" s="647">
        <f t="shared" si="15"/>
        <v>0</v>
      </c>
      <c r="G59" s="2142" t="s">
        <v>2529</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2540</v>
      </c>
      <c r="B60" s="224">
        <f t="shared" si="17"/>
        <v>0</v>
      </c>
      <c r="C60" s="176">
        <f t="shared" si="16"/>
        <v>0</v>
      </c>
      <c r="D60" s="1076">
        <v>0.25</v>
      </c>
      <c r="E60" s="223">
        <f>'数据-汇总表'!E15</f>
        <v>0</v>
      </c>
      <c r="F60" s="647">
        <f t="shared" si="15"/>
        <v>0</v>
      </c>
      <c r="G60" s="2143" t="s">
        <v>2534</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2541</v>
      </c>
      <c r="B61" s="652" t="s">
        <v>28</v>
      </c>
      <c r="C61" s="652" t="s">
        <v>29</v>
      </c>
      <c r="D61" s="652" t="s">
        <v>997</v>
      </c>
      <c r="E61" s="652">
        <f>IF(B41="楼面地价",SUM(E51:E60),'数据-汇总表'!D3)</f>
        <v>19466.48</v>
      </c>
      <c r="F61" s="653">
        <f>IF(B41="楼面地价",SUM(F51:F60),ROUND(C43*E61/10000,0))</f>
        <v>4668</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2"/>
      <c r="Q63" s="2922"/>
      <c r="R63" s="2922"/>
      <c r="S63" s="2922"/>
      <c r="T63" s="2922"/>
      <c r="U63" s="2922"/>
      <c r="V63" s="2922"/>
      <c r="W63" s="2922"/>
      <c r="X63" s="2922"/>
      <c r="Y63" s="2922"/>
      <c r="Z63" s="2922"/>
      <c r="AA63" s="2922"/>
      <c r="AB63" s="2922"/>
      <c r="AC63" s="2922"/>
      <c r="AD63" s="2922"/>
      <c r="AE63" s="2922"/>
    </row>
    <row r="64" spans="1:31" ht="21.75" thickBot="1">
      <c r="A64" s="703" t="s">
        <v>2434</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4" t="s">
        <v>2542</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49" t="s">
        <v>2561</v>
      </c>
      <c r="B66" s="294" t="str">
        <f>"北京市平均增长率"&amp;TEXT(基准地价修正!P24,"0.00%")</f>
        <v>北京市平均增长率1.18%</v>
      </c>
      <c r="C66" s="560">
        <v>100</v>
      </c>
      <c r="D66" s="552">
        <v>99.5</v>
      </c>
      <c r="E66" s="552">
        <v>99</v>
      </c>
      <c r="F66" s="552">
        <v>98.5</v>
      </c>
      <c r="G66" s="552">
        <v>98</v>
      </c>
      <c r="H66" s="552">
        <v>97.5</v>
      </c>
      <c r="I66" s="552">
        <v>97</v>
      </c>
      <c r="J66" s="552">
        <v>96.5</v>
      </c>
      <c r="K66" s="552">
        <v>96</v>
      </c>
      <c r="L66" s="552">
        <v>95.5</v>
      </c>
      <c r="M66" s="552">
        <v>95</v>
      </c>
      <c r="N66" s="552">
        <v>94.5</v>
      </c>
      <c r="O66" s="552">
        <v>94</v>
      </c>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2345</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2310</v>
      </c>
      <c r="B68" s="467"/>
      <c r="C68" s="479" t="s">
        <v>2412</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2348</v>
      </c>
      <c r="B70" s="485" t="s">
        <v>2314</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2317</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v>0</v>
      </c>
      <c r="D75" s="506">
        <v>1</v>
      </c>
      <c r="E75" s="506">
        <v>2</v>
      </c>
      <c r="F75" s="506">
        <v>3</v>
      </c>
      <c r="G75" s="506">
        <v>4</v>
      </c>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2319</v>
      </c>
      <c r="B83" s="485" t="s">
        <v>2465</v>
      </c>
      <c r="C83" s="530" t="s">
        <v>2357</v>
      </c>
      <c r="D83" s="530" t="s">
        <v>2358</v>
      </c>
      <c r="E83" s="530" t="s">
        <v>2359</v>
      </c>
      <c r="F83" s="530" t="s">
        <v>2360</v>
      </c>
      <c r="G83" s="530" t="s">
        <v>2361</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95</v>
      </c>
      <c r="E84" s="501">
        <f>D84-$K15</f>
        <v>90</v>
      </c>
      <c r="F84" s="501">
        <f>E84-$K15</f>
        <v>85</v>
      </c>
      <c r="G84" s="501">
        <f>F84-$K15</f>
        <v>80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2362</v>
      </c>
      <c r="C85" s="535" t="s">
        <v>2357</v>
      </c>
      <c r="D85" s="535" t="s">
        <v>2358</v>
      </c>
      <c r="E85" s="535" t="s">
        <v>2359</v>
      </c>
      <c r="F85" s="535" t="s">
        <v>2360</v>
      </c>
      <c r="G85" s="535" t="s">
        <v>2361</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97</v>
      </c>
      <c r="E86" s="501">
        <f>D86-$K17</f>
        <v>94</v>
      </c>
      <c r="F86" s="501">
        <f>E86-$K17</f>
        <v>91</v>
      </c>
      <c r="G86" s="501">
        <f>F86-$K17</f>
        <v>88</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2562</v>
      </c>
      <c r="C93" s="616" t="s">
        <v>2435</v>
      </c>
      <c r="D93" s="616" t="s">
        <v>2436</v>
      </c>
      <c r="E93" s="616" t="s">
        <v>2437</v>
      </c>
      <c r="F93" s="616" t="s">
        <v>2438</v>
      </c>
      <c r="G93" s="616" t="s">
        <v>2439</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2451</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2510</v>
      </c>
      <c r="C99" s="3283" t="s">
        <v>3399</v>
      </c>
      <c r="D99" s="3283" t="s">
        <v>3396</v>
      </c>
      <c r="E99" s="3283" t="s">
        <v>3400</v>
      </c>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98</v>
      </c>
      <c r="E100" s="501">
        <f t="shared" si="24"/>
        <v>96</v>
      </c>
      <c r="F100" s="501">
        <f t="shared" si="24"/>
        <v>94</v>
      </c>
      <c r="G100" s="501">
        <f t="shared" si="24"/>
        <v>92</v>
      </c>
      <c r="H100" s="501">
        <f t="shared" si="24"/>
        <v>90</v>
      </c>
      <c r="I100" s="501">
        <f t="shared" si="24"/>
        <v>88</v>
      </c>
      <c r="J100" s="501">
        <f t="shared" si="24"/>
        <v>86</v>
      </c>
      <c r="K100" s="501">
        <f t="shared" si="24"/>
        <v>84</v>
      </c>
      <c r="L100" s="501">
        <f t="shared" si="24"/>
        <v>82</v>
      </c>
      <c r="M100" s="501">
        <f t="shared" si="24"/>
        <v>80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4" t="s">
        <v>2323</v>
      </c>
      <c r="B107" s="485" t="s">
        <v>2551</v>
      </c>
      <c r="C107" s="486" t="str">
        <f t="shared" ref="C107:L107" si="25">C108&amp;"(含)"&amp;"-"&amp;D108</f>
        <v>0(含)-10000</v>
      </c>
      <c r="D107" s="486" t="str">
        <f t="shared" si="25"/>
        <v>10000(含)-20000</v>
      </c>
      <c r="E107" s="486" t="str">
        <f t="shared" si="25"/>
        <v>20000(含)-30000</v>
      </c>
      <c r="F107" s="486" t="str">
        <f t="shared" si="25"/>
        <v>30000(含)-40000</v>
      </c>
      <c r="G107" s="486" t="str">
        <f t="shared" si="25"/>
        <v>40000(含)-50000</v>
      </c>
      <c r="H107" s="486" t="str">
        <f t="shared" si="25"/>
        <v>50000(含)-</v>
      </c>
      <c r="I107" s="486" t="str">
        <f t="shared" si="25"/>
        <v>(含)-</v>
      </c>
      <c r="J107" s="486" t="str">
        <f t="shared" si="25"/>
        <v>(含)-</v>
      </c>
      <c r="K107" s="1472" t="str">
        <f t="shared" si="25"/>
        <v>(含)-</v>
      </c>
      <c r="L107" s="1472" t="str">
        <f t="shared" si="25"/>
        <v>(含)-</v>
      </c>
      <c r="M107" s="1473"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v>0</v>
      </c>
      <c r="D108" s="552">
        <v>10000</v>
      </c>
      <c r="E108" s="552">
        <v>20000</v>
      </c>
      <c r="F108" s="552">
        <v>30000</v>
      </c>
      <c r="G108" s="552">
        <v>40000</v>
      </c>
      <c r="H108" s="552">
        <v>50000</v>
      </c>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v>100</v>
      </c>
      <c r="D109" s="548">
        <v>101</v>
      </c>
      <c r="E109" s="548">
        <v>102</v>
      </c>
      <c r="F109" s="548">
        <v>103</v>
      </c>
      <c r="G109" s="548">
        <v>104</v>
      </c>
      <c r="H109" s="548">
        <v>105</v>
      </c>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2552</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2554</v>
      </c>
      <c r="C112" s="3224" t="s">
        <v>3248</v>
      </c>
      <c r="D112" s="3224" t="s">
        <v>3250</v>
      </c>
      <c r="E112" s="3224" t="s">
        <v>3251</v>
      </c>
      <c r="F112" s="3224" t="s">
        <v>3252</v>
      </c>
      <c r="G112" s="3224" t="s">
        <v>3253</v>
      </c>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2555</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0" zoomScaleNormal="70" zoomScaleSheetLayoutView="80" workbookViewId="0">
      <selection activeCell="F42" sqref="F4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29.77</v>
      </c>
      <c r="G1" s="1531">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3606</v>
      </c>
      <c r="C2" s="1540" t="s">
        <v>1421</v>
      </c>
      <c r="D2" s="1540"/>
      <c r="E2" s="1541"/>
      <c r="F2" s="1542"/>
      <c r="G2" s="2903"/>
      <c r="H2" s="2892"/>
      <c r="I2" s="2892"/>
      <c r="J2" s="2892"/>
      <c r="K2" s="2893"/>
      <c r="L2" s="2892"/>
      <c r="M2" s="2892"/>
    </row>
    <row r="3" spans="1:37" ht="18" customHeight="1" thickBot="1">
      <c r="A3" s="1543" t="s">
        <v>1422</v>
      </c>
      <c r="B3" s="1544">
        <f ca="1">IF(ISERROR(B2*10000/F43),0,ROUND(B2*10000/F43,0))</f>
        <v>8899</v>
      </c>
      <c r="C3" s="1540" t="s">
        <v>1423</v>
      </c>
      <c r="D3" s="1540"/>
      <c r="E3" s="1541"/>
      <c r="F3" s="1542"/>
      <c r="G3" s="2903"/>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286</v>
      </c>
      <c r="D5" s="1517" t="s">
        <v>1307</v>
      </c>
      <c r="E5" s="1203"/>
      <c r="F5" s="1204"/>
      <c r="G5" s="1537"/>
      <c r="H5" s="305">
        <v>1</v>
      </c>
      <c r="I5" s="306" t="s">
        <v>1306</v>
      </c>
      <c r="J5" s="1202">
        <f ca="1">J6+J10+J12</f>
        <v>0</v>
      </c>
      <c r="K5" s="1517" t="s">
        <v>1307</v>
      </c>
      <c r="L5" s="1203"/>
      <c r="M5" s="1204"/>
    </row>
    <row r="6" spans="1:37" ht="18" customHeight="1">
      <c r="A6" s="1201" t="s">
        <v>1003</v>
      </c>
      <c r="B6" s="3525" t="s">
        <v>1308</v>
      </c>
      <c r="C6" s="1206">
        <f ca="1">ROUND(F6*F8*F7*(1-F9)/10000,0)</f>
        <v>286</v>
      </c>
      <c r="D6" s="160" t="s">
        <v>2787</v>
      </c>
      <c r="E6" s="308" t="s">
        <v>1310</v>
      </c>
      <c r="F6" s="309">
        <f ca="1">INDIRECT("'数据-取费表'!u"&amp;$G$1)</f>
        <v>2.15</v>
      </c>
      <c r="G6" s="1537"/>
      <c r="H6" s="1201" t="s">
        <v>1003</v>
      </c>
      <c r="I6" s="3525" t="s">
        <v>1308</v>
      </c>
      <c r="J6" s="307">
        <f ca="1">ROUND(M6*M8*M7*(1-M9)/10000,0)</f>
        <v>0</v>
      </c>
      <c r="K6" s="160" t="s">
        <v>2786</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4052</v>
      </c>
      <c r="G7" s="1537"/>
      <c r="H7" s="310"/>
      <c r="I7" s="3526"/>
      <c r="J7" s="312"/>
      <c r="K7" s="313"/>
      <c r="L7" s="308" t="s">
        <v>1311</v>
      </c>
      <c r="M7" s="309">
        <f ca="1">F7</f>
        <v>4052</v>
      </c>
    </row>
    <row r="8" spans="1:37" ht="18" customHeight="1">
      <c r="A8" s="310"/>
      <c r="B8" s="3526"/>
      <c r="C8" s="312"/>
      <c r="D8" s="313"/>
      <c r="E8" s="308" t="s">
        <v>1312</v>
      </c>
      <c r="F8" s="309">
        <f ca="1">INDIRECT("'数据-取费表'!ai"&amp;$G$1)</f>
        <v>365</v>
      </c>
      <c r="G8" s="1537"/>
      <c r="H8" s="310"/>
      <c r="I8" s="3526"/>
      <c r="J8" s="312"/>
      <c r="K8" s="313"/>
      <c r="L8" s="308" t="s">
        <v>1312</v>
      </c>
      <c r="M8" s="309">
        <f ca="1">INDIRECT("'数据-取费表'!ai"&amp;$G$1)</f>
        <v>365</v>
      </c>
    </row>
    <row r="9" spans="1:37" ht="18" customHeight="1">
      <c r="A9" s="310"/>
      <c r="B9" s="3527"/>
      <c r="C9" s="312"/>
      <c r="D9" s="313"/>
      <c r="E9" s="308" t="s">
        <v>1313</v>
      </c>
      <c r="F9" s="318">
        <f ca="1">INDIRECT("'数据-取费表'!w"&amp;$G$1)</f>
        <v>0.1</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2795</v>
      </c>
      <c r="E10" s="319" t="s">
        <v>1315</v>
      </c>
      <c r="F10" s="1248" t="s">
        <v>3147</v>
      </c>
      <c r="G10" s="1537"/>
      <c r="H10" s="1201" t="s">
        <v>1007</v>
      </c>
      <c r="I10" s="1518" t="s">
        <v>1314</v>
      </c>
      <c r="J10" s="307">
        <f ca="1">ROUND(IF(M10="押一",J6/12*M11,IF(M10="押二",J6/12*2*M11,IF(M10="押三",J6/12*3*M11,J11*M11))),0)</f>
        <v>0</v>
      </c>
      <c r="K10" s="1519" t="s">
        <v>2794</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1000</v>
      </c>
      <c r="D13" s="1213" t="s">
        <v>1320</v>
      </c>
      <c r="E13" s="1213" t="s">
        <v>1321</v>
      </c>
      <c r="F13" s="1214">
        <f ca="1">INDIRECT("'数据-取费表'!y"&amp;$G$1)</f>
        <v>0.76</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1013</v>
      </c>
      <c r="D14" s="1498" t="s">
        <v>1323</v>
      </c>
      <c r="E14" s="1495"/>
      <c r="F14" s="325"/>
      <c r="G14" s="1537"/>
      <c r="H14" s="1113" t="s">
        <v>1003</v>
      </c>
      <c r="I14" s="308" t="s">
        <v>1324</v>
      </c>
      <c r="J14" s="24">
        <f ca="1">C29</f>
        <v>1316</v>
      </c>
      <c r="K14" s="15"/>
      <c r="L14" s="916"/>
      <c r="M14" s="917"/>
    </row>
    <row r="15" spans="1:37" s="1550" customFormat="1" ht="18" customHeight="1" thickBot="1">
      <c r="A15" s="1113" t="s">
        <v>1004</v>
      </c>
      <c r="B15" s="308" t="s">
        <v>1325</v>
      </c>
      <c r="C15" s="24">
        <f ca="1">ROUND(C14*F15,0)</f>
        <v>30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34</v>
      </c>
      <c r="K16" s="1219" t="s">
        <v>1330</v>
      </c>
      <c r="L16" s="1220"/>
      <c r="M16" s="1204"/>
    </row>
    <row r="17" spans="1:37" s="1550" customFormat="1" ht="18" customHeight="1">
      <c r="A17" s="1113" t="s">
        <v>1295</v>
      </c>
      <c r="B17" s="308" t="s">
        <v>1331</v>
      </c>
      <c r="C17" s="24">
        <f ca="1">ROUND(F17*(F43+INDIRECT("'数据-取费表'!S"&amp;$G$1))/10000,0)</f>
        <v>81</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14</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1139</v>
      </c>
      <c r="D19" s="136" t="s">
        <v>1341</v>
      </c>
      <c r="E19" s="1513"/>
      <c r="F19" s="26"/>
      <c r="G19" s="1537"/>
      <c r="H19" s="1113" t="s">
        <v>1004</v>
      </c>
      <c r="I19" s="308" t="s">
        <v>1342</v>
      </c>
      <c r="J19" s="24">
        <f ca="1">IF(K19="按租金收入计税",ROUND(J6*M19/(1+'数据-取费表'!C42),2),ROUND(C29*M19*0.7,2))</f>
        <v>11.05</v>
      </c>
      <c r="K19" s="1523" t="s">
        <v>1343</v>
      </c>
      <c r="L19" s="308" t="s">
        <v>1327</v>
      </c>
      <c r="M19" s="328">
        <f>IF(K19="按租金收入计税",'数据-取费表'!B51,'数据-取费表'!B50)</f>
        <v>1.2E-2</v>
      </c>
    </row>
    <row r="20" spans="1:37" s="1550" customFormat="1" ht="18" customHeight="1">
      <c r="A20" s="1113" t="s">
        <v>1007</v>
      </c>
      <c r="B20" s="308" t="s">
        <v>1344</v>
      </c>
      <c r="C20" s="24">
        <f ca="1">ROUND(C19*F20,0)</f>
        <v>11</v>
      </c>
      <c r="D20" s="329" t="s">
        <v>1345</v>
      </c>
      <c r="E20" s="308" t="s">
        <v>1327</v>
      </c>
      <c r="F20" s="328">
        <f>'数据-取费表'!B37</f>
        <v>0.01</v>
      </c>
      <c r="G20" s="1549"/>
      <c r="H20" s="1113" t="s">
        <v>1294</v>
      </c>
      <c r="I20" s="160" t="s">
        <v>1346</v>
      </c>
      <c r="J20" s="25">
        <f ca="1">ROUND(M20*M21/10000,2)</f>
        <v>2.92</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0.01</v>
      </c>
      <c r="G21" s="1549"/>
      <c r="H21" s="332"/>
      <c r="I21" s="317"/>
      <c r="J21" s="29"/>
      <c r="K21" s="333"/>
      <c r="L21" s="308" t="s">
        <v>1352</v>
      </c>
      <c r="M21" s="309">
        <f ca="1">INDIRECT("'数据-取费表'!r"&amp;$G$1)</f>
        <v>19466.48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ROUND(J14*M22,1)</f>
        <v>19.7</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24</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ROUND(J13*M23,1)</f>
        <v>0</v>
      </c>
      <c r="K23" s="1497" t="s">
        <v>1359</v>
      </c>
      <c r="L23" s="308" t="s">
        <v>1360</v>
      </c>
      <c r="M23" s="336">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-34</v>
      </c>
      <c r="K25" s="1227" t="s">
        <v>1369</v>
      </c>
      <c r="L25" s="1228"/>
      <c r="M25" s="1229"/>
    </row>
    <row r="26" spans="1:37">
      <c r="A26" s="1113" t="s">
        <v>1002</v>
      </c>
      <c r="B26" s="308" t="s">
        <v>1370</v>
      </c>
      <c r="C26" s="24">
        <f ca="1">ROUND((C19+C20)*F26,0)</f>
        <v>58</v>
      </c>
      <c r="D26" s="329" t="s">
        <v>1371</v>
      </c>
      <c r="E26" s="319" t="s">
        <v>1372</v>
      </c>
      <c r="F26" s="318">
        <f ca="1">INDIRECT("'数据-取费表'!q"&amp;$G$1)</f>
        <v>0.05</v>
      </c>
      <c r="G26" s="1537"/>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5.0000000000000001E-4</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1316</v>
      </c>
      <c r="D29" s="1224"/>
      <c r="E29" s="1222"/>
      <c r="F29" s="1225"/>
      <c r="G29" s="1549"/>
      <c r="H29" s="340" t="s">
        <v>1001</v>
      </c>
      <c r="I29" s="341" t="s">
        <v>1384</v>
      </c>
      <c r="J29" s="342">
        <f ca="1">ROUND(J26/(1+F40)^F41,0)</f>
        <v>0</v>
      </c>
      <c r="K29" s="343" t="s">
        <v>1385</v>
      </c>
      <c r="L29" s="344"/>
      <c r="M29" s="345">
        <f ca="1">INDIRECT("'数据-取费表'!k"&amp;$G$1)</f>
        <v>4052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75</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51</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IF(项目基本情况!B11="自然人","——",ROUND(C6*F32/(1+'数据-取费表'!C42),2))</f>
        <v>15.25</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32.69</v>
      </c>
      <c r="D33" s="1523" t="s">
        <v>3146</v>
      </c>
      <c r="E33" s="308" t="s">
        <v>1327</v>
      </c>
      <c r="F33" s="328">
        <f>IF(D33="按票据","——",IF(D33="按租金收入计税",'数据-取费表'!B51,'数据-取费表'!B50))</f>
        <v>0.12</v>
      </c>
      <c r="G33" s="1537"/>
      <c r="H33" s="2897"/>
      <c r="I33" s="1551"/>
      <c r="J33" s="1552"/>
      <c r="K33" s="2898"/>
      <c r="L33" s="2897"/>
      <c r="M33" s="2897"/>
    </row>
    <row r="34" spans="1:18" ht="18" customHeight="1">
      <c r="A34" s="1201" t="s">
        <v>1294</v>
      </c>
      <c r="B34" s="160" t="s">
        <v>1346</v>
      </c>
      <c r="C34" s="25">
        <f ca="1">IF(项目基本情况!B11="自然人","——",ROUND(F34*F35/10000,2))</f>
        <v>2.92</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19466.48</v>
      </c>
      <c r="G35" s="1537"/>
      <c r="H35" s="2894"/>
      <c r="I35" s="1551"/>
      <c r="J35" s="1552"/>
      <c r="K35" s="2898"/>
      <c r="L35" s="2897"/>
      <c r="M35" s="2897"/>
    </row>
    <row r="36" spans="1:18" ht="18" customHeight="1">
      <c r="A36" s="1234" t="s">
        <v>1007</v>
      </c>
      <c r="B36" s="308" t="s">
        <v>1354</v>
      </c>
      <c r="C36" s="24">
        <f ca="1">ROUND(C29*F36,1)</f>
        <v>19.7</v>
      </c>
      <c r="D36" s="1497" t="s">
        <v>1387</v>
      </c>
      <c r="E36" s="308" t="s">
        <v>1327</v>
      </c>
      <c r="F36" s="334">
        <f ca="1">INDIRECT("'数据-取费表'!Ak"&amp;$G$1)</f>
        <v>1.4999999999999999E-2</v>
      </c>
      <c r="G36" s="1537"/>
      <c r="H36" s="2897"/>
      <c r="I36" s="1551"/>
      <c r="J36" s="1552"/>
      <c r="K36" s="2738"/>
      <c r="L36" s="2897"/>
      <c r="M36" s="2897"/>
    </row>
    <row r="37" spans="1:18" ht="18" customHeight="1">
      <c r="A37" s="1113" t="s">
        <v>1043</v>
      </c>
      <c r="B37" s="308" t="s">
        <v>1358</v>
      </c>
      <c r="C37" s="24">
        <f ca="1">ROUND(C13*F37,1)</f>
        <v>1.5</v>
      </c>
      <c r="D37" s="1497" t="s">
        <v>1359</v>
      </c>
      <c r="E37" s="308" t="s">
        <v>1360</v>
      </c>
      <c r="F37" s="336">
        <f ca="1">INDIRECT("'数据-取费表'!Al"&amp;$G$1)</f>
        <v>1.5E-3</v>
      </c>
      <c r="G37" s="1537"/>
      <c r="H37" s="2897"/>
      <c r="I37" s="1551"/>
      <c r="J37" s="1552"/>
      <c r="K37" s="2738"/>
      <c r="L37" s="2897"/>
      <c r="M37" s="2897"/>
    </row>
    <row r="38" spans="1:18" ht="18" customHeight="1" thickBot="1">
      <c r="A38" s="1221" t="s">
        <v>1298</v>
      </c>
      <c r="B38" s="1222" t="s">
        <v>1344</v>
      </c>
      <c r="C38" s="1223">
        <f ca="1">ROUND(C5*F38,1)</f>
        <v>2.9</v>
      </c>
      <c r="D38" s="1224" t="s">
        <v>1364</v>
      </c>
      <c r="E38" s="1222" t="s">
        <v>1360</v>
      </c>
      <c r="F38" s="1218">
        <f ca="1">INDIRECT("'数据-取费表'!Am"&amp;$G$1)</f>
        <v>0.01</v>
      </c>
      <c r="G38" s="1537"/>
      <c r="H38" s="2897"/>
      <c r="I38" s="1551"/>
      <c r="J38" s="1552"/>
      <c r="K38" s="2901"/>
      <c r="L38" s="2897"/>
      <c r="M38" s="2897"/>
    </row>
    <row r="39" spans="1:18" ht="24.6" customHeight="1" thickTop="1">
      <c r="A39" s="1211" t="s">
        <v>999</v>
      </c>
      <c r="B39" s="1226" t="s">
        <v>1388</v>
      </c>
      <c r="C39" s="316">
        <f ca="1">C5-C30</f>
        <v>211</v>
      </c>
      <c r="D39" s="1227" t="s">
        <v>1389</v>
      </c>
      <c r="E39" s="1228"/>
      <c r="F39" s="1229"/>
      <c r="G39" s="1537"/>
      <c r="H39" s="2897"/>
      <c r="I39" s="1551"/>
      <c r="J39" s="1552"/>
      <c r="K39" s="2901"/>
      <c r="L39" s="2897"/>
      <c r="M39" s="2897"/>
    </row>
    <row r="40" spans="1:18" ht="18" customHeight="1">
      <c r="A40" s="305" t="s">
        <v>1000</v>
      </c>
      <c r="B40" s="306" t="s">
        <v>1390</v>
      </c>
      <c r="C40" s="307">
        <f ca="1">ROUND(C39*(1-((1+F42)/(1+F40))^F41)/(F40-F42),0)</f>
        <v>3606</v>
      </c>
      <c r="D40" s="330" t="s">
        <v>1374</v>
      </c>
      <c r="E40" s="308" t="s">
        <v>1375</v>
      </c>
      <c r="F40" s="318">
        <f ca="1">INDIRECT("'数据-取费表'!I"&amp;$G$1)</f>
        <v>5.5E-2</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29.77</v>
      </c>
      <c r="G41" s="1537"/>
      <c r="H41" s="1324"/>
      <c r="I41" s="1551"/>
      <c r="J41" s="1552"/>
      <c r="K41" s="2738"/>
      <c r="L41" s="1324"/>
      <c r="M41" s="1324"/>
    </row>
    <row r="42" spans="1:18" ht="18" customHeight="1">
      <c r="A42" s="314"/>
      <c r="B42" s="315"/>
      <c r="C42" s="316"/>
      <c r="D42" s="333"/>
      <c r="E42" s="308" t="s">
        <v>1382</v>
      </c>
      <c r="F42" s="318">
        <f ca="1">INDIRECT("'数据-取费表'!v"&amp;$G$1)</f>
        <v>1.4999999999999999E-2</v>
      </c>
      <c r="G42" s="1537"/>
      <c r="H42" s="1324"/>
      <c r="I42" s="1551"/>
      <c r="J42" s="1552"/>
      <c r="K42" s="2738"/>
      <c r="L42" s="1324"/>
      <c r="M42" s="1324"/>
    </row>
    <row r="43" spans="1:18" ht="18" customHeight="1" thickBot="1">
      <c r="A43" s="340" t="s">
        <v>1001</v>
      </c>
      <c r="B43" s="341" t="s">
        <v>1392</v>
      </c>
      <c r="C43" s="342">
        <f ca="1">ROUND(C40*10000/F43,0)</f>
        <v>8899</v>
      </c>
      <c r="D43" s="343" t="s">
        <v>1393</v>
      </c>
      <c r="E43" s="344" t="s">
        <v>1394</v>
      </c>
      <c r="F43" s="345">
        <f ca="1">INDIRECT("'数据-取费表'!k"&amp;$G$1)</f>
        <v>4052</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2" t="s">
        <v>1424</v>
      </c>
      <c r="P45" s="1614"/>
      <c r="Q45" s="1614"/>
      <c r="R45" s="1614"/>
    </row>
    <row r="46" spans="1:18" s="1537" customFormat="1" ht="13.5" thickBot="1">
      <c r="A46" s="1557" t="s">
        <v>1425</v>
      </c>
      <c r="C46" s="1558">
        <f ca="1">C68-C40</f>
        <v>-5547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3148</v>
      </c>
      <c r="K47" s="1569" t="s">
        <v>1432</v>
      </c>
      <c r="L47" s="1570">
        <f ca="1">INDIRECT("'数据-取费表'!d"&amp;$G$1)</f>
        <v>50</v>
      </c>
      <c r="M47" s="1533" t="str">
        <f>IF(ISNUMBER(FIND("住宅",C1)),"住宅","非住宅")</f>
        <v>非住宅</v>
      </c>
      <c r="O47" s="1571" t="s">
        <v>1008</v>
      </c>
      <c r="P47" s="1572" t="s">
        <v>1433</v>
      </c>
      <c r="Q47" s="1573">
        <f ca="1">C40+J29</f>
        <v>3606</v>
      </c>
      <c r="R47" s="1573" t="s">
        <v>1434</v>
      </c>
    </row>
    <row r="48" spans="1:18" s="1537" customFormat="1" ht="28.5" thickBot="1">
      <c r="A48" s="1242" t="s">
        <v>1044</v>
      </c>
      <c r="B48" s="306" t="s">
        <v>1306</v>
      </c>
      <c r="C48" s="1512">
        <f ca="1">C49+C53+C55</f>
        <v>0</v>
      </c>
      <c r="D48" s="1244"/>
      <c r="E48" s="1245"/>
      <c r="F48" s="1093"/>
      <c r="G48" s="731"/>
      <c r="H48" s="732"/>
      <c r="I48" s="1574" t="s">
        <v>1435</v>
      </c>
      <c r="J48" s="1575" t="s">
        <v>3149</v>
      </c>
      <c r="K48" s="1576" t="s">
        <v>1436</v>
      </c>
      <c r="L48" s="1577">
        <f ca="1">INDIRECT("'数据-取费表'!f"&amp;$G$1)</f>
        <v>29.77</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2788</v>
      </c>
      <c r="E49" s="1525" t="s">
        <v>1396</v>
      </c>
      <c r="F49" s="1191"/>
      <c r="G49" s="1578"/>
      <c r="H49" s="732"/>
      <c r="I49" s="1574" t="s">
        <v>1439</v>
      </c>
      <c r="J49" s="1579">
        <v>2005</v>
      </c>
      <c r="K49" s="1576" t="s">
        <v>1440</v>
      </c>
      <c r="L49" s="1580"/>
      <c r="O49" s="1581" t="s">
        <v>1010</v>
      </c>
      <c r="P49" s="1572" t="s">
        <v>1441</v>
      </c>
      <c r="Q49" s="1573">
        <f ca="1">C29</f>
        <v>1316</v>
      </c>
      <c r="R49" s="1573" t="s">
        <v>1434</v>
      </c>
    </row>
    <row r="50" spans="1:18" s="1537" customFormat="1" ht="13.5" thickBot="1">
      <c r="A50" s="1107"/>
      <c r="B50" s="1110"/>
      <c r="C50" s="1250"/>
      <c r="D50" s="1084"/>
      <c r="E50" s="1187" t="s">
        <v>1311</v>
      </c>
      <c r="F50" s="1188">
        <f ca="1">F7</f>
        <v>4052</v>
      </c>
      <c r="H50" s="732"/>
      <c r="I50" s="1574" t="s">
        <v>1442</v>
      </c>
      <c r="J50" s="1582">
        <f>SUMPRODUCT((I63:I65=J47)*(J62:L62=J48)*(J63:L65))</f>
        <v>80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63</v>
      </c>
      <c r="K51" s="1587" t="s">
        <v>1446</v>
      </c>
      <c r="L51" s="1588">
        <f ca="1">ROUND(-PV(INDIRECT("'数据-取费表'!h"&amp;$G$1),J51,(C39-C13*C76),0),0)</f>
        <v>2690</v>
      </c>
      <c r="M51" s="1589"/>
      <c r="O51" s="1581" t="s">
        <v>1012</v>
      </c>
      <c r="P51" s="1572" t="s">
        <v>1447</v>
      </c>
      <c r="Q51" s="1584">
        <f>J52</f>
        <v>7.4999999999999997E-2</v>
      </c>
      <c r="R51" s="1573"/>
    </row>
    <row r="52" spans="1:18" s="1537" customFormat="1" ht="13.5" thickBot="1">
      <c r="A52" s="1108"/>
      <c r="B52" s="1110"/>
      <c r="C52" s="1111"/>
      <c r="D52" s="1084"/>
      <c r="E52" s="1112" t="s">
        <v>1313</v>
      </c>
      <c r="F52" s="1185"/>
      <c r="I52" s="1590" t="s">
        <v>1448</v>
      </c>
      <c r="J52" s="1591">
        <v>7.4999999999999997E-2</v>
      </c>
      <c r="K52" s="1590" t="s">
        <v>1449</v>
      </c>
      <c r="L52" s="1591"/>
      <c r="O52" s="1581" t="s">
        <v>1013</v>
      </c>
      <c r="P52" s="1572" t="s">
        <v>1450</v>
      </c>
      <c r="Q52" s="1573">
        <f ca="1">J53</f>
        <v>29.77</v>
      </c>
      <c r="R52" s="1573" t="s">
        <v>1451</v>
      </c>
    </row>
    <row r="53" spans="1:18" s="1537" customFormat="1" ht="24.75" thickBot="1">
      <c r="A53" s="1286" t="s">
        <v>1046</v>
      </c>
      <c r="B53" s="1526" t="s">
        <v>1314</v>
      </c>
      <c r="C53" s="322">
        <f ca="1">ROUND(IF(F53="押一",C49/12*F11,IF(F53="押二",C49/12*2*F11,IF(F53="押三",C49/12*3*F11,C54*F11))),0)</f>
        <v>0</v>
      </c>
      <c r="D53" s="1519" t="s">
        <v>2794</v>
      </c>
      <c r="E53" s="319" t="s">
        <v>1315</v>
      </c>
      <c r="F53" s="1248"/>
      <c r="I53" s="1592" t="s">
        <v>1452</v>
      </c>
      <c r="J53" s="2355">
        <f ca="1">IF(M47="住宅",IF(D1="——",MAX(J51,L48),MAX(J51,L48-'数据-取费表'!B24)),IF(D1="——",MIN(J51,L48),MIN(J51,L48-'数据-取费表'!B24)))</f>
        <v>29.77</v>
      </c>
      <c r="K53" s="3523" t="s">
        <v>1453</v>
      </c>
      <c r="L53" s="3524"/>
      <c r="O53" s="1571" t="s">
        <v>1014</v>
      </c>
      <c r="P53" s="1572" t="s">
        <v>1454</v>
      </c>
      <c r="Q53" s="1573">
        <f ca="1">Q47+Q48</f>
        <v>3606</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1000</v>
      </c>
      <c r="D56" s="1600"/>
      <c r="E56" s="1601"/>
      <c r="F56" s="1593"/>
      <c r="I56" s="1602" t="s">
        <v>1459</v>
      </c>
      <c r="J56" s="1603" t="s">
        <v>3132</v>
      </c>
      <c r="K56" s="1574" t="s">
        <v>1460</v>
      </c>
      <c r="L56" s="1577" t="str">
        <f ca="1">IF(L48&lt;J51,"——",L48-J53)</f>
        <v>——</v>
      </c>
      <c r="O56" s="1571" t="s">
        <v>1008</v>
      </c>
      <c r="P56" s="1572" t="s">
        <v>1433</v>
      </c>
      <c r="Q56" s="1573">
        <f ca="1">C40+J29</f>
        <v>3606</v>
      </c>
      <c r="R56" s="1573" t="s">
        <v>1434</v>
      </c>
    </row>
    <row r="57" spans="1:18" s="1537" customFormat="1" ht="24.75" thickBot="1">
      <c r="A57" s="1604"/>
      <c r="B57" s="1081" t="s">
        <v>1383</v>
      </c>
      <c r="C57" s="244">
        <f ca="1">C29</f>
        <v>1316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134</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113</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110.54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2.92</v>
      </c>
      <c r="D62" s="1096" t="s">
        <v>1402</v>
      </c>
      <c r="E62" s="1081" t="s">
        <v>1403</v>
      </c>
      <c r="F62" s="331">
        <f t="shared" si="0"/>
        <v>1.5</v>
      </c>
      <c r="I62" s="1615" t="s">
        <v>1475</v>
      </c>
      <c r="J62" s="1616" t="s">
        <v>1476</v>
      </c>
      <c r="K62" s="1616" t="s">
        <v>1477</v>
      </c>
      <c r="L62" s="1616" t="s">
        <v>1478</v>
      </c>
      <c r="M62" s="1617" t="s">
        <v>1479</v>
      </c>
      <c r="O62" s="1571" t="s">
        <v>1014</v>
      </c>
      <c r="P62" s="1572" t="s">
        <v>1480</v>
      </c>
      <c r="Q62" s="1573">
        <f ca="1">Q56+Q57</f>
        <v>3606</v>
      </c>
      <c r="R62" s="1573" t="s">
        <v>1015</v>
      </c>
    </row>
    <row r="63" spans="1:18" s="1537" customFormat="1" ht="13.5" thickBot="1">
      <c r="A63" s="332"/>
      <c r="B63" s="1087"/>
      <c r="C63" s="29"/>
      <c r="D63" s="1097"/>
      <c r="E63" s="1081" t="s">
        <v>1404</v>
      </c>
      <c r="F63" s="309">
        <f t="shared" ca="1" si="0"/>
        <v>19466.48</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19.7</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1.5</v>
      </c>
      <c r="D65" s="1095" t="s">
        <v>1359</v>
      </c>
      <c r="E65" s="1081" t="s">
        <v>1360</v>
      </c>
      <c r="F65" s="336">
        <f t="shared" ca="1" si="0"/>
        <v>1.5E-3</v>
      </c>
      <c r="I65" s="1615" t="s">
        <v>1484</v>
      </c>
      <c r="J65" s="1616">
        <v>40</v>
      </c>
      <c r="K65" s="1616">
        <v>30</v>
      </c>
      <c r="L65" s="1616">
        <v>50</v>
      </c>
      <c r="M65" s="1618">
        <v>0.02</v>
      </c>
      <c r="O65" s="1571" t="s">
        <v>1008</v>
      </c>
      <c r="P65" s="1572" t="s">
        <v>1485</v>
      </c>
      <c r="Q65" s="1573">
        <f ca="1">C40+J29</f>
        <v>3606</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-134</v>
      </c>
      <c r="D67" s="1094" t="s">
        <v>1369</v>
      </c>
      <c r="E67" s="1099"/>
      <c r="F67" s="1100"/>
      <c r="O67" s="1581" t="s">
        <v>1010</v>
      </c>
      <c r="P67" s="1572" t="s">
        <v>1467</v>
      </c>
      <c r="Q67" s="1619">
        <f ca="1">L51</f>
        <v>2690</v>
      </c>
      <c r="R67" s="1573" t="s">
        <v>1487</v>
      </c>
    </row>
    <row r="68" spans="1:18" s="1537" customFormat="1" ht="16.5" thickBot="1">
      <c r="A68" s="1078" t="s">
        <v>1000</v>
      </c>
      <c r="B68" s="1079" t="s">
        <v>1390</v>
      </c>
      <c r="C68" s="307">
        <f ca="1">ROUND(C67*(1-((1+F70)/(1+F68))^F69)/(F68-F70),0)</f>
        <v>-1941</v>
      </c>
      <c r="D68" s="1096" t="s">
        <v>1374</v>
      </c>
      <c r="E68" s="1081" t="s">
        <v>1375</v>
      </c>
      <c r="F68" s="318">
        <f ca="1">F40</f>
        <v>5.5E-2</v>
      </c>
      <c r="O68" s="1581" t="s">
        <v>1011</v>
      </c>
      <c r="P68" s="1620" t="s">
        <v>1488</v>
      </c>
      <c r="Q68" s="1573">
        <f ca="1">ROUND(Q69-Q70*Q71,0)</f>
        <v>141</v>
      </c>
      <c r="R68" s="1573" t="s">
        <v>1019</v>
      </c>
    </row>
    <row r="69" spans="1:18" s="1537" customFormat="1" ht="13.5" thickBot="1">
      <c r="A69" s="1082"/>
      <c r="B69" s="1083"/>
      <c r="C69" s="312"/>
      <c r="D69" s="1101" t="s">
        <v>1378</v>
      </c>
      <c r="E69" s="1081" t="s">
        <v>1379</v>
      </c>
      <c r="F69" s="339">
        <f ca="1">F41</f>
        <v>29.77</v>
      </c>
      <c r="O69" s="1581" t="s">
        <v>1016</v>
      </c>
      <c r="P69" s="1620" t="s">
        <v>1489</v>
      </c>
      <c r="Q69" s="1573">
        <f ca="1">C39</f>
        <v>211</v>
      </c>
      <c r="R69" s="1573" t="s">
        <v>1434</v>
      </c>
    </row>
    <row r="70" spans="1:18" s="1537" customFormat="1" ht="13.5" thickBot="1">
      <c r="A70" s="1085"/>
      <c r="B70" s="1086"/>
      <c r="C70" s="316"/>
      <c r="D70" s="1097"/>
      <c r="E70" s="1081" t="s">
        <v>1382</v>
      </c>
      <c r="F70" s="1185"/>
      <c r="O70" s="1581" t="s">
        <v>1017</v>
      </c>
      <c r="P70" s="1620" t="s">
        <v>1490</v>
      </c>
      <c r="Q70" s="1573">
        <f ca="1">C13</f>
        <v>1000</v>
      </c>
      <c r="R70" s="1573" t="s">
        <v>1434</v>
      </c>
    </row>
    <row r="71" spans="1:18" s="1537" customFormat="1" ht="13.5" thickBot="1">
      <c r="A71" s="1102" t="s">
        <v>1001</v>
      </c>
      <c r="B71" s="1103" t="s">
        <v>1392</v>
      </c>
      <c r="C71" s="342">
        <f ca="1">ROUND(C68*10000/F71,0)</f>
        <v>-4790</v>
      </c>
      <c r="D71" s="1104" t="s">
        <v>1393</v>
      </c>
      <c r="E71" s="1105" t="s">
        <v>1394</v>
      </c>
      <c r="F71" s="345">
        <f ca="1">F43</f>
        <v>4052</v>
      </c>
      <c r="O71" s="1581" t="s">
        <v>1018</v>
      </c>
      <c r="P71" s="1620" t="s">
        <v>1491</v>
      </c>
      <c r="Q71" s="1584">
        <f ca="1">C76</f>
        <v>7.0000000000000007E-2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70</v>
      </c>
      <c r="D75" s="1537"/>
      <c r="E75" s="1537"/>
      <c r="F75" s="1537"/>
      <c r="K75" s="1555"/>
      <c r="L75" s="1537"/>
      <c r="O75" s="1571" t="s">
        <v>1014</v>
      </c>
      <c r="P75" s="1572" t="s">
        <v>1454</v>
      </c>
      <c r="Q75" s="1573">
        <f ca="1">Q65+Q66</f>
        <v>3606</v>
      </c>
      <c r="R75" s="1573" t="s">
        <v>1015</v>
      </c>
    </row>
    <row r="76" spans="1:18">
      <c r="B76" s="348" t="s">
        <v>1412</v>
      </c>
      <c r="C76" s="349">
        <f ca="1">INDIRECT("'数据-取费表'!j"&amp;$G$1)</f>
        <v>7.0000000000000007E-2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0.66799999999999993</v>
      </c>
    </row>
    <row r="80" spans="1:18">
      <c r="B80" s="346" t="s">
        <v>1416</v>
      </c>
      <c r="C80" s="280">
        <f ca="1">ROUND(C75/C39,3)</f>
        <v>0.33200000000000002</v>
      </c>
    </row>
    <row r="81" spans="2:3">
      <c r="B81" s="276" t="s">
        <v>1417</v>
      </c>
      <c r="C81" s="244"/>
    </row>
    <row r="82" spans="2:3">
      <c r="B82" s="279" t="s">
        <v>1418</v>
      </c>
      <c r="C82" s="281">
        <f ca="1">1-C83</f>
        <v>0.72299999999999998</v>
      </c>
    </row>
    <row r="83" spans="2:3">
      <c r="B83" s="279" t="s">
        <v>1419</v>
      </c>
      <c r="C83" s="280">
        <f ca="1">ROUND(C13/C40,3)</f>
        <v>0.27700000000000002</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3"/>
      <c r="H2" s="2892"/>
      <c r="I2" s="2892"/>
      <c r="J2" s="2892"/>
      <c r="K2" s="2893"/>
      <c r="L2" s="2892"/>
      <c r="M2" s="2892"/>
    </row>
    <row r="3" spans="1:37" ht="18" customHeight="1" thickBot="1">
      <c r="A3" s="1543" t="s">
        <v>1498</v>
      </c>
      <c r="B3" s="1544">
        <f ca="1">IF(ISERROR(D2/F43),0,ROUND(D2/F43,0))</f>
        <v>0</v>
      </c>
      <c r="C3" s="1540" t="s">
        <v>1499</v>
      </c>
      <c r="D3" s="1540"/>
      <c r="E3" s="1541"/>
      <c r="F3" s="1542"/>
      <c r="G3" s="2903"/>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525" t="s">
        <v>1308</v>
      </c>
      <c r="C6" s="1206">
        <f ca="1">ROUND(F6*F8*F7*(1-F9),0)</f>
        <v>0</v>
      </c>
      <c r="D6" s="160" t="s">
        <v>2784</v>
      </c>
      <c r="E6" s="308" t="s">
        <v>1310</v>
      </c>
      <c r="F6" s="309">
        <f ca="1">INDIRECT("'数据-取费表'!u"&amp;$G$1)</f>
        <v>0</v>
      </c>
      <c r="G6" s="1537"/>
      <c r="H6" s="1201" t="s">
        <v>1003</v>
      </c>
      <c r="I6" s="3525" t="s">
        <v>1308</v>
      </c>
      <c r="J6" s="307">
        <f ca="1">ROUND(M6*M8*M7*(1-M9),0)</f>
        <v>0</v>
      </c>
      <c r="K6" s="1529" t="s">
        <v>2785</v>
      </c>
      <c r="L6" s="308" t="s">
        <v>1310</v>
      </c>
      <c r="M6" s="309">
        <f ca="1">INDIRECT("'数据-取费表'!z"&amp;$G$1)</f>
        <v>0</v>
      </c>
    </row>
    <row r="7" spans="1:37" ht="18" customHeight="1">
      <c r="A7" s="1205"/>
      <c r="B7" s="3526"/>
      <c r="C7" s="1207"/>
      <c r="D7" s="313"/>
      <c r="E7" s="1208" t="s">
        <v>1311</v>
      </c>
      <c r="F7" s="309">
        <f ca="1">IF(INDIRECT("'数据-取费表'!ah"&amp;$G$1)="",INDIRECT("'数据-取费表'!k"&amp;$G$1),INDIRECT("'数据-取费表'!ah"&amp;$G$1))</f>
        <v>0</v>
      </c>
      <c r="G7" s="1537"/>
      <c r="H7" s="310"/>
      <c r="I7" s="3526"/>
      <c r="J7" s="312"/>
      <c r="K7" s="313"/>
      <c r="L7" s="308" t="s">
        <v>1311</v>
      </c>
      <c r="M7" s="309">
        <f ca="1">F7</f>
        <v>0</v>
      </c>
    </row>
    <row r="8" spans="1:37" ht="18" customHeight="1">
      <c r="A8" s="310"/>
      <c r="B8" s="3526"/>
      <c r="C8" s="312"/>
      <c r="D8" s="313"/>
      <c r="E8" s="308" t="s">
        <v>1312</v>
      </c>
      <c r="F8" s="309">
        <f ca="1">INDIRECT("'数据-取费表'!ai"&amp;$G$1)</f>
        <v>0</v>
      </c>
      <c r="G8" s="1537"/>
      <c r="H8" s="310"/>
      <c r="I8" s="3526"/>
      <c r="J8" s="312"/>
      <c r="K8" s="313"/>
      <c r="L8" s="308" t="s">
        <v>1312</v>
      </c>
      <c r="M8" s="309">
        <f ca="1">INDIRECT("'数据-取费表'!ai"&amp;$G$1)</f>
        <v>0</v>
      </c>
    </row>
    <row r="9" spans="1:37" ht="18" customHeight="1">
      <c r="A9" s="310"/>
      <c r="B9" s="3527"/>
      <c r="C9" s="312"/>
      <c r="D9" s="313"/>
      <c r="E9" s="308" t="s">
        <v>1313</v>
      </c>
      <c r="F9" s="318">
        <f ca="1">INDIRECT("'数据-取费表'!w"&amp;$G$1)</f>
        <v>0</v>
      </c>
      <c r="G9" s="1537"/>
      <c r="H9" s="310"/>
      <c r="I9" s="3527"/>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2794</v>
      </c>
      <c r="E10" s="319" t="s">
        <v>1315</v>
      </c>
      <c r="F10" s="1248"/>
      <c r="G10" s="1537"/>
      <c r="H10" s="1201" t="s">
        <v>1007</v>
      </c>
      <c r="I10" s="1518" t="s">
        <v>1314</v>
      </c>
      <c r="J10" s="307">
        <f ca="1">ROUND(IF(M10="押一",J6/12*M11,IF(M10="押二",J6/12*2*M11,IF(M10="押三",J6/12*3*M11,J11*M11))),0)</f>
        <v>0</v>
      </c>
      <c r="K10" s="1530" t="s">
        <v>2796</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0.01</v>
      </c>
      <c r="G20" s="1549"/>
      <c r="H20" s="1113" t="s">
        <v>1294</v>
      </c>
      <c r="I20" s="160" t="s">
        <v>1346</v>
      </c>
      <c r="J20" s="25">
        <f ca="1">ROUND(M20*M21,0)</f>
        <v>0</v>
      </c>
      <c r="K20" s="330" t="s">
        <v>1347</v>
      </c>
      <c r="L20" s="308" t="s">
        <v>1348</v>
      </c>
      <c r="M20" s="331">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0.01</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2.0000000000000001E-4</v>
      </c>
      <c r="D24" s="335" t="str">
        <f>IF(F23&lt;=1,"销售费用×利率×(建设周期÷2)","销售费用×((1+利率)^(建设周期÷2)-1)")</f>
        <v>销售费用×利率×(建设周期÷2)</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5.33E-2</v>
      </c>
      <c r="D28" s="329" t="s">
        <v>1381</v>
      </c>
      <c r="E28" s="308" t="s">
        <v>1327</v>
      </c>
      <c r="F28" s="328">
        <f>'数据-取费表'!B41</f>
        <v>5.6000000000000001E-2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4"/>
      <c r="I30" s="1551"/>
      <c r="J30" s="1552"/>
      <c r="K30" s="2670"/>
      <c r="L30" s="2895"/>
      <c r="M30" s="2896"/>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7" t="s">
        <v>2994</v>
      </c>
      <c r="I31" s="1551"/>
      <c r="J31" s="1552"/>
      <c r="K31" s="2670"/>
      <c r="L31" s="2895"/>
      <c r="M31" s="2896"/>
    </row>
    <row r="32" spans="1:37" ht="18" customHeight="1">
      <c r="A32" s="1113" t="s">
        <v>1002</v>
      </c>
      <c r="B32" s="308" t="s">
        <v>1338</v>
      </c>
      <c r="C32" s="24">
        <f ca="1">IF(项目基本情况!B11="自然人","——",ROUND(C6*F32/(1+'数据-取费表'!C42),0))</f>
        <v>0</v>
      </c>
      <c r="D32" s="1497" t="s">
        <v>1339</v>
      </c>
      <c r="E32" s="308" t="s">
        <v>1327</v>
      </c>
      <c r="F32" s="337">
        <f>'数据-取费表'!B41</f>
        <v>5.6000000000000001E-2</v>
      </c>
      <c r="G32" s="1537"/>
      <c r="H32" s="2894"/>
      <c r="I32" s="1551"/>
      <c r="J32" s="1552"/>
      <c r="K32" s="2670"/>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7"/>
      <c r="I33" s="1551"/>
      <c r="J33" s="1552"/>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7"/>
      <c r="H34" s="2894"/>
      <c r="I34" s="1551"/>
      <c r="J34" s="1552"/>
      <c r="K34" s="2899"/>
      <c r="L34" s="2900"/>
      <c r="M34" s="2900"/>
    </row>
    <row r="35" spans="1:18" ht="18" customHeight="1">
      <c r="A35" s="1235"/>
      <c r="B35" s="1233"/>
      <c r="C35" s="29"/>
      <c r="D35" s="333"/>
      <c r="E35" s="308" t="s">
        <v>1352</v>
      </c>
      <c r="F35" s="309">
        <f ca="1">INDIRECT("'数据-取费表'!r"&amp;$G$1)</f>
        <v>0</v>
      </c>
      <c r="G35" s="1537"/>
      <c r="H35" s="2894"/>
      <c r="I35" s="1551"/>
      <c r="J35" s="1552"/>
      <c r="K35" s="2898"/>
      <c r="L35" s="2897"/>
      <c r="M35" s="2897"/>
    </row>
    <row r="36" spans="1:18" ht="18" customHeight="1">
      <c r="A36" s="1234" t="s">
        <v>1007</v>
      </c>
      <c r="B36" s="308" t="s">
        <v>1354</v>
      </c>
      <c r="C36" s="24">
        <f ca="1">ROUND(C29*F36,0)</f>
        <v>0</v>
      </c>
      <c r="D36" s="1497" t="s">
        <v>1387</v>
      </c>
      <c r="E36" s="308" t="s">
        <v>1327</v>
      </c>
      <c r="F36" s="334">
        <f ca="1">INDIRECT("'数据-取费表'!Ak"&amp;$G$1)</f>
        <v>0</v>
      </c>
      <c r="G36" s="1537"/>
      <c r="H36" s="2897"/>
      <c r="I36" s="1551"/>
      <c r="J36" s="1552"/>
      <c r="K36" s="2738"/>
      <c r="L36" s="2897"/>
      <c r="M36" s="2897"/>
    </row>
    <row r="37" spans="1:18" ht="18" customHeight="1">
      <c r="A37" s="1113" t="s">
        <v>1043</v>
      </c>
      <c r="B37" s="308" t="s">
        <v>1358</v>
      </c>
      <c r="C37" s="24">
        <f ca="1">ROUND(C13*F37,0)</f>
        <v>0</v>
      </c>
      <c r="D37" s="1497" t="s">
        <v>1359</v>
      </c>
      <c r="E37" s="308" t="s">
        <v>1360</v>
      </c>
      <c r="F37" s="336">
        <f ca="1">INDIRECT("'数据-取费表'!Al"&amp;$G$1)</f>
        <v>0</v>
      </c>
      <c r="G37" s="1537"/>
      <c r="H37" s="2897"/>
      <c r="I37" s="1551"/>
      <c r="J37" s="1552"/>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7"/>
      <c r="H38" s="2897"/>
      <c r="I38" s="1551"/>
      <c r="J38" s="1552"/>
      <c r="K38" s="2901"/>
      <c r="L38" s="2897"/>
      <c r="M38" s="2897"/>
    </row>
    <row r="39" spans="1:18" ht="24.6" customHeight="1" thickTop="1">
      <c r="A39" s="1211" t="s">
        <v>999</v>
      </c>
      <c r="B39" s="1226" t="s">
        <v>1388</v>
      </c>
      <c r="C39" s="316">
        <f ca="1">C5-C30</f>
        <v>0</v>
      </c>
      <c r="D39" s="1227" t="s">
        <v>1389</v>
      </c>
      <c r="E39" s="1228"/>
      <c r="F39" s="1229"/>
      <c r="G39" s="1537"/>
      <c r="H39" s="2897"/>
      <c r="I39" s="1551"/>
      <c r="J39" s="1552"/>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1"/>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8"/>
      <c r="L41" s="1324"/>
      <c r="M41" s="1324"/>
    </row>
    <row r="42" spans="1:18" ht="18" customHeight="1">
      <c r="A42" s="314"/>
      <c r="B42" s="315"/>
      <c r="C42" s="316"/>
      <c r="D42" s="333"/>
      <c r="E42" s="308" t="s">
        <v>1382</v>
      </c>
      <c r="F42" s="318">
        <f ca="1">INDIRECT("'数据-取费表'!v"&amp;$G$1)</f>
        <v>0</v>
      </c>
      <c r="G42" s="1537"/>
      <c r="H42" s="1324"/>
      <c r="I42" s="1551"/>
      <c r="J42" s="1552"/>
      <c r="K42" s="2738"/>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8"/>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2797</v>
      </c>
      <c r="E53" s="319" t="s">
        <v>1315</v>
      </c>
      <c r="F53" s="1248"/>
      <c r="I53" s="1592" t="s">
        <v>1452</v>
      </c>
      <c r="J53" s="2355">
        <f ca="1">IF(M47="住宅",IF(D1="——",MAX(J51,L48),MAX(J51,L48-'数据-取费表'!B24)),IF(D1="——",MIN(J51,L48),MIN(J51,L48-'数据-取费表'!B24)))</f>
        <v>0</v>
      </c>
      <c r="K53" s="3523" t="s">
        <v>1453</v>
      </c>
      <c r="L53" s="3524"/>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3122</v>
      </c>
      <c r="B1" s="3031"/>
      <c r="C1" s="3043"/>
      <c r="D1" s="3043"/>
      <c r="E1" s="3032"/>
      <c r="F1" s="3033"/>
      <c r="G1" s="3034"/>
      <c r="J1" s="3037" t="s">
        <v>3001</v>
      </c>
      <c r="K1" s="3038"/>
      <c r="L1" s="3038"/>
      <c r="M1" s="3038"/>
      <c r="N1" s="3038"/>
      <c r="O1" s="3038"/>
      <c r="P1" s="3038"/>
      <c r="Q1" s="3038"/>
      <c r="R1" s="3039"/>
      <c r="S1" s="3040"/>
      <c r="T1" s="3040"/>
      <c r="U1" s="3040"/>
    </row>
    <row r="2" spans="1:22" s="3052" customFormat="1" ht="13.15" customHeight="1">
      <c r="A2" s="1538" t="s">
        <v>3002</v>
      </c>
      <c r="B2" s="3042" t="e">
        <f>C40</f>
        <v>#DIV/0!</v>
      </c>
      <c r="C2" s="3043" t="s">
        <v>3003</v>
      </c>
      <c r="D2" s="3043"/>
      <c r="E2" s="3044"/>
      <c r="F2" s="3045"/>
      <c r="G2" s="3046"/>
      <c r="H2" s="3047"/>
      <c r="I2" s="3048"/>
      <c r="J2" s="3528" t="s">
        <v>3004</v>
      </c>
      <c r="K2" s="3529"/>
      <c r="L2" s="3049" t="s">
        <v>3005</v>
      </c>
      <c r="M2" s="3049" t="s">
        <v>3006</v>
      </c>
      <c r="N2" s="3049" t="s">
        <v>3007</v>
      </c>
      <c r="O2" s="3049" t="s">
        <v>3008</v>
      </c>
      <c r="P2" s="3049" t="s">
        <v>3009</v>
      </c>
      <c r="Q2" s="3050" t="s">
        <v>3010</v>
      </c>
      <c r="R2" s="3051" t="s">
        <v>3011</v>
      </c>
      <c r="S2" s="3040"/>
      <c r="T2" s="3040"/>
      <c r="U2" s="3040"/>
      <c r="V2" s="3048"/>
    </row>
    <row r="3" spans="1:22" s="3052" customFormat="1" ht="13.15" customHeight="1">
      <c r="A3" s="3053" t="s">
        <v>3012</v>
      </c>
      <c r="B3" s="3054" t="e">
        <f>ROUND(B2*10000/B4,0)</f>
        <v>#DIV/0!</v>
      </c>
      <c r="C3" s="3043" t="s">
        <v>3013</v>
      </c>
      <c r="D3" s="3043"/>
      <c r="E3" s="3044"/>
      <c r="F3" s="3045"/>
      <c r="G3" s="3046"/>
      <c r="H3" s="3047"/>
      <c r="I3" s="3048"/>
      <c r="J3" s="3530" t="s">
        <v>3014</v>
      </c>
      <c r="K3" s="3531"/>
      <c r="L3" s="3055"/>
      <c r="M3" s="3055"/>
      <c r="N3" s="3055"/>
      <c r="O3" s="3055"/>
      <c r="P3" s="3055"/>
      <c r="Q3" s="3056"/>
      <c r="R3" s="3057">
        <f>SUM(L3:Q3)</f>
        <v>0</v>
      </c>
      <c r="S3" s="3040"/>
      <c r="T3" s="3040"/>
      <c r="U3" s="3040"/>
      <c r="V3" s="3048"/>
    </row>
    <row r="4" spans="1:22" s="3052" customFormat="1" ht="13.15" customHeight="1">
      <c r="A4" s="3058" t="s">
        <v>3015</v>
      </c>
      <c r="B4" s="3059"/>
      <c r="C4" s="3043"/>
      <c r="D4" s="3043"/>
      <c r="E4" s="3044"/>
      <c r="F4" s="3045"/>
      <c r="G4" s="3046"/>
      <c r="H4" s="3047"/>
      <c r="I4" s="3048"/>
      <c r="J4" s="3530" t="s">
        <v>3016</v>
      </c>
      <c r="K4" s="3531"/>
      <c r="L4" s="3060"/>
      <c r="M4" s="3060"/>
      <c r="N4" s="3060"/>
      <c r="O4" s="3060"/>
      <c r="P4" s="3060"/>
      <c r="Q4" s="3061"/>
      <c r="R4" s="3062">
        <f>SUM(L4:Q4)</f>
        <v>0</v>
      </c>
      <c r="S4" s="3040"/>
      <c r="T4" s="3040"/>
      <c r="U4" s="3040"/>
      <c r="V4" s="3048"/>
    </row>
    <row r="5" spans="1:22" s="3052" customFormat="1" ht="13.15" customHeight="1" thickBot="1">
      <c r="A5" s="3063" t="s">
        <v>3017</v>
      </c>
      <c r="B5" s="3064"/>
      <c r="C5" s="3043"/>
      <c r="D5" s="3065"/>
      <c r="E5" s="3045"/>
      <c r="F5" s="3045"/>
      <c r="G5" s="3046"/>
      <c r="H5" s="3047"/>
      <c r="I5" s="3048"/>
      <c r="J5" s="3066" t="s">
        <v>3018</v>
      </c>
      <c r="K5" s="3067"/>
      <c r="L5" s="3067"/>
      <c r="M5" s="3068"/>
      <c r="N5" s="3068"/>
      <c r="O5" s="3068"/>
      <c r="P5" s="3068"/>
      <c r="Q5" s="3068"/>
      <c r="R5" s="3051">
        <f>SUM(R14,R19,R24,R25,R27,R28)</f>
        <v>0</v>
      </c>
      <c r="S5" s="3040"/>
      <c r="T5" s="3040" t="s">
        <v>3019</v>
      </c>
      <c r="U5" s="3040" t="e">
        <f>ROUND(R5*10000/365/R3,1)</f>
        <v>#DIV/0!</v>
      </c>
      <c r="V5" s="3048"/>
    </row>
    <row r="6" spans="1:22" s="3052" customFormat="1" ht="13.15" customHeight="1" thickBot="1">
      <c r="A6" s="3532" t="s">
        <v>3020</v>
      </c>
      <c r="B6" s="3533"/>
      <c r="C6" s="3534"/>
      <c r="D6" s="3069"/>
      <c r="E6" s="3070"/>
      <c r="F6" s="3071"/>
      <c r="G6" s="3072"/>
      <c r="H6" s="3047"/>
      <c r="I6" s="3048"/>
      <c r="J6" s="3535">
        <v>1</v>
      </c>
      <c r="K6" s="3536" t="s">
        <v>3021</v>
      </c>
      <c r="L6" s="3073" t="s">
        <v>3022</v>
      </c>
      <c r="M6" s="3074" t="s">
        <v>3023</v>
      </c>
      <c r="N6" s="3074" t="s">
        <v>3024</v>
      </c>
      <c r="O6" s="3074" t="s">
        <v>3025</v>
      </c>
      <c r="P6" s="3074" t="s">
        <v>3026</v>
      </c>
      <c r="Q6" s="3074" t="s">
        <v>3027</v>
      </c>
      <c r="R6" s="3057" t="s">
        <v>3028</v>
      </c>
      <c r="S6" s="3040"/>
      <c r="T6" s="3040" t="s">
        <v>3029</v>
      </c>
      <c r="U6" s="3040"/>
      <c r="V6" s="3048"/>
    </row>
    <row r="7" spans="1:22" s="3052" customFormat="1" ht="13.15" customHeight="1">
      <c r="A7" s="3075" t="s">
        <v>3030</v>
      </c>
      <c r="B7" s="3076"/>
      <c r="C7" s="3077"/>
      <c r="D7" s="3078">
        <f>SUM(D9,D10,D11,D17,0)</f>
        <v>0</v>
      </c>
      <c r="E7" s="3079" t="e">
        <f>E9+E10+E11+E17</f>
        <v>#DIV/0!</v>
      </c>
      <c r="F7" s="3080"/>
      <c r="G7" s="3081"/>
      <c r="H7" s="3047"/>
      <c r="I7" s="3048"/>
      <c r="J7" s="3535"/>
      <c r="K7" s="3537"/>
      <c r="L7" s="3082" t="s">
        <v>3031</v>
      </c>
      <c r="M7" s="3083"/>
      <c r="N7" s="3059"/>
      <c r="O7" s="3084"/>
      <c r="P7" s="3084"/>
      <c r="Q7" s="3085">
        <v>365</v>
      </c>
      <c r="R7" s="3086">
        <f>ROUND(M7*N7*O7*P7*Q7/10000,0)</f>
        <v>0</v>
      </c>
      <c r="S7" s="3040"/>
      <c r="T7" s="3040" t="s">
        <v>3032</v>
      </c>
      <c r="U7" s="3040"/>
      <c r="V7" s="3048"/>
    </row>
    <row r="8" spans="1:22" s="3052" customFormat="1" ht="13.15" customHeight="1">
      <c r="A8" s="3087" t="s">
        <v>3033</v>
      </c>
      <c r="B8" s="3539" t="s">
        <v>3034</v>
      </c>
      <c r="C8" s="3540"/>
      <c r="D8" s="3088" t="s">
        <v>3035</v>
      </c>
      <c r="E8" s="3089" t="s">
        <v>3036</v>
      </c>
      <c r="F8" s="3090" t="s">
        <v>3037</v>
      </c>
      <c r="G8" s="3091"/>
      <c r="H8" s="3047"/>
      <c r="I8" s="3048"/>
      <c r="J8" s="3535"/>
      <c r="K8" s="3537"/>
      <c r="L8" s="3082" t="s">
        <v>3038</v>
      </c>
      <c r="M8" s="3083"/>
      <c r="N8" s="3059"/>
      <c r="O8" s="3084"/>
      <c r="P8" s="3084"/>
      <c r="Q8" s="3085">
        <v>365</v>
      </c>
      <c r="R8" s="3086">
        <f t="shared" ref="R8:R13" si="0">ROUND(M8*N8*O8*P8*Q8/10000,0)</f>
        <v>0</v>
      </c>
      <c r="S8" s="3040"/>
      <c r="T8" s="3040" t="s">
        <v>3039</v>
      </c>
      <c r="U8" s="3040"/>
      <c r="V8" s="3048"/>
    </row>
    <row r="9" spans="1:22" s="3052" customFormat="1" ht="13.15" customHeight="1">
      <c r="A9" s="3087">
        <v>1</v>
      </c>
      <c r="B9" s="3539" t="s">
        <v>3040</v>
      </c>
      <c r="C9" s="3540"/>
      <c r="D9" s="3088">
        <f>ROUND(D6*E9,0)</f>
        <v>0</v>
      </c>
      <c r="E9" s="3092"/>
      <c r="F9" s="3093" t="s">
        <v>3041</v>
      </c>
      <c r="G9" s="3072"/>
      <c r="H9" s="3047"/>
      <c r="I9" s="3048"/>
      <c r="J9" s="3535"/>
      <c r="K9" s="3537"/>
      <c r="L9" s="3082" t="s">
        <v>3042</v>
      </c>
      <c r="M9" s="3083"/>
      <c r="N9" s="3059"/>
      <c r="O9" s="3084"/>
      <c r="P9" s="3084"/>
      <c r="Q9" s="3085">
        <v>365</v>
      </c>
      <c r="R9" s="3086">
        <f t="shared" si="0"/>
        <v>0</v>
      </c>
      <c r="S9" s="3040"/>
      <c r="T9" s="3040"/>
      <c r="U9" s="3040"/>
      <c r="V9" s="3048"/>
    </row>
    <row r="10" spans="1:22" s="3052" customFormat="1" ht="13.15" customHeight="1">
      <c r="A10" s="3087">
        <v>2</v>
      </c>
      <c r="B10" s="3539" t="s">
        <v>3043</v>
      </c>
      <c r="C10" s="3540"/>
      <c r="D10" s="3088">
        <f>ROUND(D6*E10,0)</f>
        <v>0</v>
      </c>
      <c r="E10" s="3092"/>
      <c r="F10" s="3093" t="s">
        <v>3044</v>
      </c>
      <c r="G10" s="3072"/>
      <c r="H10" s="3047"/>
      <c r="I10" s="3048"/>
      <c r="J10" s="3535"/>
      <c r="K10" s="3537"/>
      <c r="L10" s="3082" t="s">
        <v>3045</v>
      </c>
      <c r="M10" s="3083"/>
      <c r="N10" s="3059"/>
      <c r="O10" s="3084"/>
      <c r="P10" s="3084"/>
      <c r="Q10" s="3085">
        <v>365</v>
      </c>
      <c r="R10" s="3086">
        <f t="shared" si="0"/>
        <v>0</v>
      </c>
      <c r="S10" s="3040"/>
      <c r="T10" s="3040"/>
      <c r="U10" s="3040"/>
      <c r="V10" s="3048"/>
    </row>
    <row r="11" spans="1:22" s="3052" customFormat="1" ht="13.15" customHeight="1">
      <c r="A11" s="3087">
        <v>3</v>
      </c>
      <c r="B11" s="3539" t="s">
        <v>3046</v>
      </c>
      <c r="C11" s="3540"/>
      <c r="D11" s="3088">
        <f>D12+D14+D15+D16</f>
        <v>0</v>
      </c>
      <c r="E11" s="3094" t="e">
        <f>D11/D6</f>
        <v>#DIV/0!</v>
      </c>
      <c r="F11" s="3090"/>
      <c r="G11" s="3091"/>
      <c r="H11" s="3047"/>
      <c r="I11" s="3048"/>
      <c r="J11" s="3535"/>
      <c r="K11" s="3537"/>
      <c r="L11" s="3082" t="s">
        <v>3047</v>
      </c>
      <c r="M11" s="3083"/>
      <c r="N11" s="3059"/>
      <c r="O11" s="3084"/>
      <c r="P11" s="3084"/>
      <c r="Q11" s="3085">
        <v>365</v>
      </c>
      <c r="R11" s="3086">
        <f t="shared" si="0"/>
        <v>0</v>
      </c>
      <c r="S11" s="3040"/>
      <c r="T11" s="3040"/>
      <c r="U11" s="3040"/>
      <c r="V11" s="3048"/>
    </row>
    <row r="12" spans="1:22" s="3052" customFormat="1" ht="13.15" customHeight="1">
      <c r="A12" s="3095" t="s">
        <v>3048</v>
      </c>
      <c r="B12" s="3541" t="s">
        <v>3049</v>
      </c>
      <c r="C12" s="3542"/>
      <c r="D12" s="3096">
        <f>ROUND(D13*1.2%*(1-30%),0)</f>
        <v>0</v>
      </c>
      <c r="E12" s="3097">
        <v>1.2E-2</v>
      </c>
      <c r="F12" s="3090" t="s">
        <v>3050</v>
      </c>
      <c r="G12" s="3091"/>
      <c r="H12" s="3047"/>
      <c r="I12" s="3048"/>
      <c r="J12" s="3535"/>
      <c r="K12" s="3537"/>
      <c r="L12" s="3082" t="s">
        <v>3051</v>
      </c>
      <c r="M12" s="3083"/>
      <c r="N12" s="3059"/>
      <c r="O12" s="3084"/>
      <c r="P12" s="3084"/>
      <c r="Q12" s="3085">
        <v>365</v>
      </c>
      <c r="R12" s="3086">
        <f t="shared" si="0"/>
        <v>0</v>
      </c>
      <c r="S12" s="3040"/>
      <c r="T12" s="3040"/>
      <c r="U12" s="3040"/>
      <c r="V12" s="3048"/>
    </row>
    <row r="13" spans="1:22" s="3052" customFormat="1" ht="13.15" customHeight="1">
      <c r="A13" s="3095"/>
      <c r="B13" s="3098"/>
      <c r="C13" s="3099" t="s">
        <v>3052</v>
      </c>
      <c r="D13" s="3100"/>
      <c r="E13" s="3101"/>
      <c r="F13" s="3090"/>
      <c r="G13" s="3091"/>
      <c r="H13" s="3047"/>
      <c r="I13" s="3048"/>
      <c r="J13" s="3535"/>
      <c r="K13" s="3537"/>
      <c r="L13" s="3082" t="s">
        <v>3053</v>
      </c>
      <c r="M13" s="3083"/>
      <c r="N13" s="3059"/>
      <c r="O13" s="3084"/>
      <c r="P13" s="3084"/>
      <c r="Q13" s="3085">
        <v>365</v>
      </c>
      <c r="R13" s="3086">
        <f t="shared" si="0"/>
        <v>0</v>
      </c>
      <c r="S13" s="3040"/>
      <c r="T13" s="3040"/>
      <c r="U13" s="3040"/>
      <c r="V13" s="3048"/>
    </row>
    <row r="14" spans="1:22" s="3052" customFormat="1" ht="13.15" customHeight="1">
      <c r="A14" s="3095" t="s">
        <v>3054</v>
      </c>
      <c r="B14" s="3541" t="s">
        <v>3055</v>
      </c>
      <c r="C14" s="3542"/>
      <c r="D14" s="3096">
        <f>ROUND(E14*B5/10000,0)</f>
        <v>0</v>
      </c>
      <c r="E14" s="3085"/>
      <c r="F14" s="3090" t="s">
        <v>3056</v>
      </c>
      <c r="G14" s="3091"/>
      <c r="H14" s="3047"/>
      <c r="I14" s="3048"/>
      <c r="J14" s="3535"/>
      <c r="K14" s="3538"/>
      <c r="L14" s="3102" t="s">
        <v>3057</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3058</v>
      </c>
      <c r="B15" s="3541" t="s">
        <v>3059</v>
      </c>
      <c r="C15" s="3542"/>
      <c r="D15" s="3096">
        <f>ROUND(D6*E15,0)</f>
        <v>0</v>
      </c>
      <c r="E15" s="3097">
        <v>5.5E-2</v>
      </c>
      <c r="F15" s="3090" t="s">
        <v>3060</v>
      </c>
      <c r="G15" s="3072"/>
      <c r="H15" s="3047"/>
      <c r="I15" s="3048"/>
      <c r="J15" s="3535">
        <v>2</v>
      </c>
      <c r="K15" s="3536" t="s">
        <v>3061</v>
      </c>
      <c r="L15" s="3082" t="s">
        <v>3062</v>
      </c>
      <c r="M15" s="3083" t="s">
        <v>3063</v>
      </c>
      <c r="N15" s="3083" t="s">
        <v>3064</v>
      </c>
      <c r="O15" s="3084" t="s">
        <v>3065</v>
      </c>
      <c r="P15" s="3084" t="s">
        <v>3027</v>
      </c>
      <c r="Q15" s="3059" t="s">
        <v>3066</v>
      </c>
      <c r="R15" s="3106" t="s">
        <v>3028</v>
      </c>
      <c r="S15" s="3040"/>
      <c r="T15" s="3040"/>
      <c r="U15" s="3040"/>
      <c r="V15" s="3048"/>
    </row>
    <row r="16" spans="1:22" s="3052" customFormat="1" ht="13.15" customHeight="1">
      <c r="A16" s="3095" t="s">
        <v>3067</v>
      </c>
      <c r="B16" s="3541" t="s">
        <v>3068</v>
      </c>
      <c r="C16" s="3542"/>
      <c r="D16" s="3107">
        <f>D6*E16</f>
        <v>0</v>
      </c>
      <c r="E16" s="3108"/>
      <c r="F16" s="3093" t="s">
        <v>3069</v>
      </c>
      <c r="G16" s="3072"/>
      <c r="H16" s="3047"/>
      <c r="I16" s="3048"/>
      <c r="J16" s="3535"/>
      <c r="K16" s="3537"/>
      <c r="L16" s="3082" t="s">
        <v>3070</v>
      </c>
      <c r="M16" s="3083"/>
      <c r="N16" s="3083"/>
      <c r="O16" s="3084"/>
      <c r="P16" s="3085">
        <v>365</v>
      </c>
      <c r="Q16" s="3059"/>
      <c r="R16" s="3106">
        <f>ROUND(M16*N16*O16*P16/10000,0)</f>
        <v>0</v>
      </c>
      <c r="S16" s="3040"/>
      <c r="T16" s="3040"/>
      <c r="U16" s="3040"/>
      <c r="V16" s="3048"/>
    </row>
    <row r="17" spans="1:22" s="3052" customFormat="1" ht="13.15" customHeight="1" thickBot="1">
      <c r="A17" s="3109">
        <v>4</v>
      </c>
      <c r="B17" s="3543" t="s">
        <v>3071</v>
      </c>
      <c r="C17" s="3544"/>
      <c r="D17" s="3110">
        <f>ROUND(D6*E17,0)</f>
        <v>0</v>
      </c>
      <c r="E17" s="3111"/>
      <c r="F17" s="3112" t="s">
        <v>3072</v>
      </c>
      <c r="G17" s="3072"/>
      <c r="H17" s="3047"/>
      <c r="I17" s="3048"/>
      <c r="J17" s="3535"/>
      <c r="K17" s="3537"/>
      <c r="L17" s="3082" t="s">
        <v>3073</v>
      </c>
      <c r="M17" s="3083"/>
      <c r="N17" s="3083"/>
      <c r="O17" s="3084"/>
      <c r="P17" s="3085">
        <v>365</v>
      </c>
      <c r="Q17" s="3059"/>
      <c r="R17" s="3106">
        <f>ROUND(M17*N17*O17*P17/10000,0)</f>
        <v>0</v>
      </c>
      <c r="S17" s="3040"/>
      <c r="T17" s="3040"/>
      <c r="U17" s="3040"/>
      <c r="V17" s="3048"/>
    </row>
    <row r="18" spans="1:22" s="3052" customFormat="1" ht="13.15" customHeight="1" thickBot="1">
      <c r="A18" s="3075" t="s">
        <v>3074</v>
      </c>
      <c r="B18" s="3076"/>
      <c r="C18" s="3076"/>
      <c r="D18" s="3113">
        <f>ROUND(D6*E18,0)</f>
        <v>0</v>
      </c>
      <c r="E18" s="3114"/>
      <c r="F18" s="3115" t="s">
        <v>3075</v>
      </c>
      <c r="G18" s="3072"/>
      <c r="H18" s="3047"/>
      <c r="I18" s="3048"/>
      <c r="J18" s="3535"/>
      <c r="K18" s="3537"/>
      <c r="L18" s="3082" t="s">
        <v>3076</v>
      </c>
      <c r="M18" s="3083"/>
      <c r="N18" s="3083"/>
      <c r="O18" s="3084"/>
      <c r="P18" s="3085">
        <v>365</v>
      </c>
      <c r="Q18" s="3059"/>
      <c r="R18" s="3106">
        <f>ROUND(M18*N18*O18*P18/10000,0)</f>
        <v>0</v>
      </c>
      <c r="S18" s="3040"/>
      <c r="T18" s="3040"/>
      <c r="U18" s="3040"/>
      <c r="V18" s="3048"/>
    </row>
    <row r="19" spans="1:22" s="3052" customFormat="1" ht="13.15" customHeight="1" thickBot="1">
      <c r="A19" s="3116" t="s">
        <v>3077</v>
      </c>
      <c r="B19" s="3070"/>
      <c r="C19" s="3070"/>
      <c r="D19" s="3070"/>
      <c r="E19" s="3070"/>
      <c r="F19" s="3071"/>
      <c r="G19" s="3091"/>
      <c r="H19" s="3047"/>
      <c r="I19" s="3048"/>
      <c r="J19" s="3535"/>
      <c r="K19" s="3538"/>
      <c r="L19" s="3102" t="s">
        <v>3057</v>
      </c>
      <c r="M19" s="3103"/>
      <c r="N19" s="3103">
        <f>SUM(N16:N18)</f>
        <v>0</v>
      </c>
      <c r="O19" s="3104"/>
      <c r="P19" s="3117" t="s">
        <v>3121</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35">
        <v>3</v>
      </c>
      <c r="K20" s="3536" t="s">
        <v>3078</v>
      </c>
      <c r="L20" s="3082" t="s">
        <v>3079</v>
      </c>
      <c r="M20" s="3083" t="s">
        <v>3080</v>
      </c>
      <c r="N20" s="3120" t="s">
        <v>3081</v>
      </c>
      <c r="O20" s="3084" t="s">
        <v>3082</v>
      </c>
      <c r="P20" s="3085" t="s">
        <v>3083</v>
      </c>
      <c r="Q20" s="3059" t="s">
        <v>3084</v>
      </c>
      <c r="R20" s="3106" t="s">
        <v>3085</v>
      </c>
      <c r="S20" s="3121"/>
      <c r="T20" s="3121"/>
      <c r="U20" s="3121"/>
      <c r="V20" s="3048"/>
    </row>
    <row r="21" spans="1:22" s="3052" customFormat="1" ht="13.15" customHeight="1">
      <c r="A21" s="3075"/>
      <c r="B21" s="3076"/>
      <c r="C21" s="3122" t="s">
        <v>3086</v>
      </c>
      <c r="D21" s="3123" t="s">
        <v>3087</v>
      </c>
      <c r="E21" s="3124" t="s">
        <v>3088</v>
      </c>
      <c r="F21" s="3119"/>
      <c r="G21" s="3091"/>
      <c r="H21" s="3047"/>
      <c r="I21" s="3048"/>
      <c r="J21" s="3535"/>
      <c r="K21" s="3537"/>
      <c r="L21" s="3082" t="s">
        <v>3089</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3090</v>
      </c>
      <c r="D22" s="3127" t="s">
        <v>3091</v>
      </c>
      <c r="E22" s="3128" t="s">
        <v>3092</v>
      </c>
      <c r="F22" s="3119"/>
      <c r="G22" s="3129"/>
      <c r="H22" s="3047"/>
      <c r="I22" s="3048"/>
      <c r="J22" s="3535"/>
      <c r="K22" s="3537"/>
      <c r="L22" s="3082" t="s">
        <v>3093</v>
      </c>
      <c r="M22" s="3083"/>
      <c r="N22" s="3083"/>
      <c r="O22" s="3084"/>
      <c r="P22" s="3085">
        <v>365</v>
      </c>
      <c r="Q22" s="3059"/>
      <c r="R22" s="3125">
        <f>ROUND(M22*N22*O22*P22/10000,0)</f>
        <v>0</v>
      </c>
      <c r="S22" s="3121"/>
      <c r="T22" s="3121"/>
      <c r="U22" s="3121"/>
      <c r="V22" s="3048"/>
    </row>
    <row r="23" spans="1:22" s="3052" customFormat="1" ht="13.15" customHeight="1">
      <c r="A23" s="3130">
        <v>1</v>
      </c>
      <c r="B23" s="3131" t="s">
        <v>3094</v>
      </c>
      <c r="C23" s="3132">
        <f>D6</f>
        <v>0</v>
      </c>
      <c r="D23" s="3133">
        <f>C23*(1+D24)</f>
        <v>0</v>
      </c>
      <c r="E23" s="3134">
        <f>D23*(1+E24)</f>
        <v>0</v>
      </c>
      <c r="F23" s="3135"/>
      <c r="G23" s="3136"/>
      <c r="H23" s="3047"/>
      <c r="I23" s="3048"/>
      <c r="J23" s="3535"/>
      <c r="K23" s="3537"/>
      <c r="L23" s="3082" t="s">
        <v>3095</v>
      </c>
      <c r="M23" s="3083"/>
      <c r="N23" s="3083"/>
      <c r="O23" s="3084"/>
      <c r="P23" s="3085">
        <v>365</v>
      </c>
      <c r="Q23" s="3059"/>
      <c r="R23" s="3125">
        <f>ROUND(M23*N23*O23*P23/10000,0)</f>
        <v>0</v>
      </c>
      <c r="S23" s="3040"/>
      <c r="T23" s="3040"/>
      <c r="U23" s="3040"/>
      <c r="V23" s="3048"/>
    </row>
    <row r="24" spans="1:22" s="3052" customFormat="1" ht="13.15" customHeight="1">
      <c r="A24" s="3137"/>
      <c r="B24" s="3138" t="s">
        <v>3096</v>
      </c>
      <c r="C24" s="3139"/>
      <c r="D24" s="3140"/>
      <c r="E24" s="3141"/>
      <c r="F24" s="3142"/>
      <c r="G24" s="3136"/>
      <c r="H24" s="3047"/>
      <c r="I24" s="3048"/>
      <c r="J24" s="3535"/>
      <c r="K24" s="3538"/>
      <c r="L24" s="3102" t="s">
        <v>3057</v>
      </c>
      <c r="M24" s="3103">
        <f>SUM(M21:M23)</f>
        <v>0</v>
      </c>
      <c r="N24" s="3103"/>
      <c r="O24" s="3104"/>
      <c r="P24" s="3117" t="s">
        <v>3121</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3097</v>
      </c>
      <c r="L25" s="3145"/>
      <c r="M25" s="3145"/>
      <c r="N25" s="3145"/>
      <c r="O25" s="3145"/>
      <c r="P25" s="3146"/>
      <c r="Q25" s="3147">
        <v>0</v>
      </c>
      <c r="R25" s="3118">
        <f>ROUND(R14*Q25,0)</f>
        <v>0</v>
      </c>
      <c r="S25" s="3040"/>
      <c r="T25" s="3040"/>
      <c r="U25" s="3040"/>
      <c r="V25" s="3148"/>
    </row>
    <row r="26" spans="1:22" s="3149" customFormat="1" ht="13.15" customHeight="1">
      <c r="A26" s="3130">
        <v>2</v>
      </c>
      <c r="B26" s="3131" t="s">
        <v>3098</v>
      </c>
      <c r="C26" s="3132">
        <f>D7</f>
        <v>0</v>
      </c>
      <c r="D26" s="3133">
        <f>D23*D27</f>
        <v>0</v>
      </c>
      <c r="E26" s="3134">
        <f>E23*E27</f>
        <v>0</v>
      </c>
      <c r="F26" s="3135"/>
      <c r="G26" s="3136"/>
      <c r="H26" s="3047"/>
      <c r="I26" s="3048"/>
      <c r="J26" s="3545">
        <v>5</v>
      </c>
      <c r="K26" s="3150" t="s">
        <v>3099</v>
      </c>
      <c r="L26" s="3151"/>
      <c r="M26" s="3152"/>
      <c r="N26" s="3153" t="s">
        <v>3100</v>
      </c>
      <c r="O26" s="3153" t="s">
        <v>3101</v>
      </c>
      <c r="P26" s="3154" t="s">
        <v>3102</v>
      </c>
      <c r="Q26" s="3154" t="s">
        <v>3103</v>
      </c>
      <c r="R26" s="3057" t="s">
        <v>3028</v>
      </c>
      <c r="S26" s="3155"/>
      <c r="T26" s="3155"/>
      <c r="U26" s="3155"/>
      <c r="V26" s="3148"/>
    </row>
    <row r="27" spans="1:22" s="3052" customFormat="1" ht="13.15" customHeight="1">
      <c r="A27" s="3137"/>
      <c r="B27" s="3138" t="s">
        <v>3104</v>
      </c>
      <c r="C27" s="3156" t="e">
        <f>E7</f>
        <v>#DIV/0!</v>
      </c>
      <c r="D27" s="3140"/>
      <c r="E27" s="3141"/>
      <c r="F27" s="3142"/>
      <c r="G27" s="3136"/>
      <c r="H27" s="3157"/>
      <c r="I27" s="3148"/>
      <c r="J27" s="3546"/>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3105</v>
      </c>
      <c r="F28" s="3142"/>
      <c r="G28" s="3129"/>
      <c r="H28" s="3157"/>
      <c r="I28" s="3148"/>
      <c r="J28" s="3163">
        <v>6</v>
      </c>
      <c r="K28" s="3164" t="s">
        <v>3106</v>
      </c>
      <c r="L28" s="3165" t="s">
        <v>3107</v>
      </c>
      <c r="M28" s="3166"/>
      <c r="N28" s="3165" t="s">
        <v>3108</v>
      </c>
      <c r="O28" s="3167"/>
      <c r="P28" s="3165" t="s">
        <v>3109</v>
      </c>
      <c r="Q28" s="3168">
        <v>1.4999999999999999E-2</v>
      </c>
      <c r="R28" s="3169"/>
      <c r="S28" s="3121"/>
      <c r="T28" s="3121"/>
      <c r="U28" s="3121"/>
      <c r="V28" s="3148"/>
    </row>
    <row r="29" spans="1:22" s="3149" customFormat="1" ht="13.15" customHeight="1">
      <c r="A29" s="3130">
        <v>3</v>
      </c>
      <c r="B29" s="3131" t="s">
        <v>3110</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3104</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3111</v>
      </c>
      <c r="K31" s="3038"/>
      <c r="L31" s="3038"/>
      <c r="M31" s="3038"/>
      <c r="N31" s="3038"/>
      <c r="O31" s="3038"/>
      <c r="P31" s="3038"/>
      <c r="Q31" s="3038"/>
      <c r="R31" s="3039"/>
      <c r="S31" s="3121"/>
      <c r="T31" s="3040"/>
      <c r="U31" s="3040"/>
      <c r="V31" s="3148"/>
    </row>
    <row r="32" spans="1:22" s="3149" customFormat="1" ht="13.15" customHeight="1">
      <c r="A32" s="3130">
        <v>4</v>
      </c>
      <c r="B32" s="3131" t="s">
        <v>3112</v>
      </c>
      <c r="C32" s="3132">
        <f>C23-C26-C29</f>
        <v>0</v>
      </c>
      <c r="D32" s="3133">
        <f>D23-D26-D29</f>
        <v>0</v>
      </c>
      <c r="E32" s="3134">
        <f>E23-E26-E29</f>
        <v>0</v>
      </c>
      <c r="F32" s="3135"/>
      <c r="G32" s="3129"/>
      <c r="H32" s="3047"/>
      <c r="I32" s="3048"/>
      <c r="J32" s="3528" t="s">
        <v>3004</v>
      </c>
      <c r="K32" s="3529"/>
      <c r="L32" s="3049" t="s">
        <v>3005</v>
      </c>
      <c r="M32" s="3049" t="s">
        <v>3006</v>
      </c>
      <c r="N32" s="3049" t="s">
        <v>3007</v>
      </c>
      <c r="O32" s="3049" t="s">
        <v>3008</v>
      </c>
      <c r="P32" s="3049" t="s">
        <v>3009</v>
      </c>
      <c r="Q32" s="3050" t="s">
        <v>3010</v>
      </c>
      <c r="R32" s="3172" t="s">
        <v>3011</v>
      </c>
      <c r="S32" s="3121"/>
      <c r="T32" s="3040"/>
      <c r="U32" s="3040"/>
      <c r="V32" s="3148"/>
    </row>
    <row r="33" spans="1:23" s="3052" customFormat="1" ht="13.15" customHeight="1">
      <c r="A33" s="3130"/>
      <c r="B33" s="3131"/>
      <c r="C33" s="3132"/>
      <c r="D33" s="3173"/>
      <c r="E33" s="3174"/>
      <c r="F33" s="3135"/>
      <c r="G33" s="3129"/>
      <c r="H33" s="3157"/>
      <c r="I33" s="3148"/>
      <c r="J33" s="3530" t="s">
        <v>3014</v>
      </c>
      <c r="K33" s="3531"/>
      <c r="L33" s="3055"/>
      <c r="M33" s="3055"/>
      <c r="N33" s="3055"/>
      <c r="O33" s="3055"/>
      <c r="P33" s="3055"/>
      <c r="Q33" s="3056"/>
      <c r="R33" s="3175">
        <f>SUM(L33:Q33)</f>
        <v>0</v>
      </c>
      <c r="S33" s="3121"/>
      <c r="T33" s="3040"/>
      <c r="U33" s="3040"/>
      <c r="V33" s="3048"/>
    </row>
    <row r="34" spans="1:23" s="3052" customFormat="1" ht="13.15" customHeight="1">
      <c r="A34" s="3130">
        <v>5</v>
      </c>
      <c r="B34" s="3131" t="s">
        <v>3113</v>
      </c>
      <c r="C34" s="3176"/>
      <c r="D34" s="3177"/>
      <c r="E34" s="3178"/>
      <c r="F34" s="3135"/>
      <c r="G34" s="3129"/>
      <c r="H34" s="3157"/>
      <c r="I34" s="3148"/>
      <c r="J34" s="3530" t="s">
        <v>3016</v>
      </c>
      <c r="K34" s="3531"/>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3114</v>
      </c>
      <c r="C35" s="3180"/>
      <c r="D35" s="3181"/>
      <c r="E35" s="3182"/>
      <c r="F35" s="3135"/>
      <c r="G35" s="3183"/>
      <c r="H35" s="3047"/>
      <c r="I35" s="3148"/>
      <c r="J35" s="3066" t="s">
        <v>3018</v>
      </c>
      <c r="K35" s="3067"/>
      <c r="L35" s="3067"/>
      <c r="M35" s="3068"/>
      <c r="N35" s="3068"/>
      <c r="O35" s="3068"/>
      <c r="P35" s="3068"/>
      <c r="Q35" s="3068"/>
      <c r="R35" s="3184">
        <f>R40+R41+R43</f>
        <v>0</v>
      </c>
      <c r="S35" s="3121"/>
      <c r="T35" s="3040" t="s">
        <v>3019</v>
      </c>
      <c r="U35" s="3040"/>
      <c r="V35" s="3048"/>
    </row>
    <row r="36" spans="1:23" s="3052" customFormat="1" ht="13.15" customHeight="1" thickBot="1">
      <c r="A36" s="3130">
        <v>7</v>
      </c>
      <c r="B36" s="3185" t="s">
        <v>3115</v>
      </c>
      <c r="C36" s="3186"/>
      <c r="D36" s="3187"/>
      <c r="E36" s="3188"/>
      <c r="F36" s="3189">
        <f>C36+D36+E36</f>
        <v>0</v>
      </c>
      <c r="G36" s="3129"/>
      <c r="H36" s="3047"/>
      <c r="I36" s="3048"/>
      <c r="J36" s="3535">
        <v>1</v>
      </c>
      <c r="K36" s="3536" t="s">
        <v>3116</v>
      </c>
      <c r="L36" s="3073"/>
      <c r="M36" s="3074"/>
      <c r="N36" s="3074"/>
      <c r="O36" s="3074"/>
      <c r="P36" s="3074"/>
      <c r="Q36" s="3074"/>
      <c r="R36" s="3057" t="s">
        <v>3028</v>
      </c>
      <c r="S36" s="3121"/>
      <c r="T36" s="3040" t="s">
        <v>3029</v>
      </c>
      <c r="U36" s="3040"/>
      <c r="V36" s="3048"/>
    </row>
    <row r="37" spans="1:23" s="3052" customFormat="1" ht="13.15" customHeight="1">
      <c r="A37" s="3130"/>
      <c r="B37" s="3131"/>
      <c r="C37" s="3131"/>
      <c r="D37" s="3131"/>
      <c r="E37" s="3131"/>
      <c r="F37" s="3135"/>
      <c r="G37" s="3129"/>
      <c r="H37" s="3047"/>
      <c r="I37" s="3048"/>
      <c r="J37" s="3535"/>
      <c r="K37" s="3537"/>
      <c r="L37" s="3082"/>
      <c r="M37" s="3083"/>
      <c r="N37" s="3059"/>
      <c r="O37" s="3084"/>
      <c r="P37" s="3084"/>
      <c r="Q37" s="3085"/>
      <c r="R37" s="3086"/>
      <c r="S37" s="3121"/>
      <c r="T37" s="3040" t="s">
        <v>3032</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35"/>
      <c r="K38" s="3537"/>
      <c r="L38" s="3082"/>
      <c r="M38" s="3083"/>
      <c r="N38" s="3059"/>
      <c r="O38" s="3084"/>
      <c r="P38" s="3084"/>
      <c r="Q38" s="3085"/>
      <c r="R38" s="3086"/>
      <c r="S38" s="3121"/>
      <c r="T38" s="3040" t="s">
        <v>3039</v>
      </c>
      <c r="U38" s="3040"/>
      <c r="V38" s="3048"/>
    </row>
    <row r="39" spans="1:23" s="3052" customFormat="1" ht="13.15" customHeight="1">
      <c r="A39" s="3130">
        <v>9</v>
      </c>
      <c r="B39" s="3131" t="s">
        <v>3117</v>
      </c>
      <c r="C39" s="3096" t="e">
        <f>C38</f>
        <v>#DIV/0!</v>
      </c>
      <c r="D39" s="3131">
        <f>D38/(1+D34)^C36</f>
        <v>0</v>
      </c>
      <c r="E39" s="3131">
        <f>E38/(1+E34)^(C36+D36)</f>
        <v>0</v>
      </c>
      <c r="F39" s="3135"/>
      <c r="G39" s="3190"/>
      <c r="H39" s="3047"/>
      <c r="I39" s="3048"/>
      <c r="J39" s="3535"/>
      <c r="K39" s="3537"/>
      <c r="L39" s="3082"/>
      <c r="M39" s="3083"/>
      <c r="N39" s="3059"/>
      <c r="O39" s="3084"/>
      <c r="P39" s="3084"/>
      <c r="Q39" s="3085"/>
      <c r="R39" s="3086"/>
      <c r="S39" s="3121"/>
      <c r="T39" s="3040"/>
      <c r="U39" s="3040"/>
      <c r="V39" s="3048"/>
    </row>
    <row r="40" spans="1:23" s="3052" customFormat="1" ht="13.15" customHeight="1">
      <c r="A40" s="3191">
        <v>10</v>
      </c>
      <c r="B40" s="3131" t="s">
        <v>3118</v>
      </c>
      <c r="C40" s="3192" t="e">
        <f>C39+D39+E39</f>
        <v>#DIV/0!</v>
      </c>
      <c r="D40" s="3193"/>
      <c r="E40" s="3193"/>
      <c r="F40" s="3194"/>
      <c r="G40" s="3129"/>
      <c r="H40" s="3047"/>
      <c r="I40" s="3048"/>
      <c r="J40" s="3535"/>
      <c r="K40" s="3538"/>
      <c r="L40" s="3102" t="s">
        <v>3057</v>
      </c>
      <c r="M40" s="3103"/>
      <c r="N40" s="3103"/>
      <c r="O40" s="3104"/>
      <c r="P40" s="3104"/>
      <c r="Q40" s="3105"/>
      <c r="R40" s="3051">
        <f>SUM(R37:R39)</f>
        <v>0</v>
      </c>
      <c r="S40" s="3121"/>
      <c r="T40" s="3040"/>
      <c r="U40" s="3040"/>
      <c r="V40" s="3048"/>
    </row>
    <row r="41" spans="1:23" s="3052" customFormat="1" ht="13.15" customHeight="1" thickBot="1">
      <c r="A41" s="3195">
        <v>11</v>
      </c>
      <c r="B41" s="3196" t="s">
        <v>3119</v>
      </c>
      <c r="C41" s="3196" t="e">
        <f>ROUND(C40*10000/B4,0)</f>
        <v>#DIV/0!</v>
      </c>
      <c r="D41" s="3197"/>
      <c r="E41" s="3197"/>
      <c r="F41" s="3198"/>
      <c r="G41" s="3199"/>
      <c r="H41" s="3047"/>
      <c r="I41" s="3048"/>
      <c r="J41" s="3143">
        <v>2</v>
      </c>
      <c r="K41" s="3144" t="s">
        <v>3097</v>
      </c>
      <c r="L41" s="3145"/>
      <c r="M41" s="3145"/>
      <c r="N41" s="3145"/>
      <c r="O41" s="3145"/>
      <c r="P41" s="3146"/>
      <c r="Q41" s="3147"/>
      <c r="R41" s="3118">
        <f>ROUND(R40*Q41,0)</f>
        <v>0</v>
      </c>
      <c r="S41" s="3121"/>
      <c r="T41" s="3040"/>
      <c r="U41" s="3155"/>
      <c r="V41" s="3048"/>
    </row>
    <row r="42" spans="1:23" s="3052" customFormat="1" ht="13.15" customHeight="1">
      <c r="G42" s="3199"/>
      <c r="H42" s="3047"/>
      <c r="I42" s="3048"/>
      <c r="J42" s="3545">
        <v>3</v>
      </c>
      <c r="K42" s="3150" t="s">
        <v>3099</v>
      </c>
      <c r="L42" s="3151"/>
      <c r="M42" s="3152"/>
      <c r="N42" s="3153" t="s">
        <v>3100</v>
      </c>
      <c r="O42" s="3153" t="s">
        <v>3101</v>
      </c>
      <c r="P42" s="3154" t="s">
        <v>3102</v>
      </c>
      <c r="Q42" s="3154" t="s">
        <v>3103</v>
      </c>
      <c r="R42" s="3057" t="s">
        <v>3028</v>
      </c>
      <c r="S42" s="3155"/>
      <c r="T42" s="3155"/>
      <c r="U42" s="3040"/>
      <c r="V42" s="3048"/>
    </row>
    <row r="43" spans="1:23" ht="13.15" customHeight="1">
      <c r="A43" s="3052"/>
      <c r="B43" s="3052"/>
      <c r="C43" s="3052"/>
      <c r="D43" s="3052"/>
      <c r="E43" s="3052"/>
      <c r="F43" s="3052"/>
      <c r="I43" s="3035"/>
      <c r="J43" s="3546"/>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3106</v>
      </c>
      <c r="L44" s="3203" t="s">
        <v>3107</v>
      </c>
      <c r="M44" s="3166"/>
      <c r="N44" s="3203" t="s">
        <v>3108</v>
      </c>
      <c r="O44" s="3166"/>
      <c r="P44" s="3203" t="s">
        <v>3109</v>
      </c>
      <c r="Q44" s="3168">
        <v>1.4999999999999999E-2</v>
      </c>
      <c r="R44" s="31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2286</v>
      </c>
      <c r="B1" s="2023"/>
      <c r="C1" s="2023"/>
      <c r="D1" s="2023"/>
      <c r="E1" s="2024"/>
      <c r="F1" s="2904"/>
      <c r="G1" s="1643"/>
      <c r="H1" s="1643"/>
      <c r="I1" s="1643"/>
      <c r="J1" s="1643"/>
      <c r="K1" s="1643"/>
      <c r="L1" s="1643"/>
      <c r="M1" s="1643"/>
      <c r="N1" s="1643"/>
      <c r="O1" s="1643"/>
      <c r="P1" s="1643"/>
      <c r="Q1" s="1643"/>
      <c r="R1" s="1643"/>
      <c r="S1" s="1643"/>
    </row>
    <row r="2" spans="1:22" ht="15.75">
      <c r="A2" s="2025" t="s">
        <v>2087</v>
      </c>
      <c r="B2" s="2026">
        <f ca="1">SUMIF(B6:B13,"&lt;&gt;#ref!",B6:B13)</f>
        <v>3606</v>
      </c>
      <c r="C2" s="2027" t="s">
        <v>2279</v>
      </c>
      <c r="D2" s="2028" t="s">
        <v>2280</v>
      </c>
      <c r="E2" s="2801">
        <f>SUM(E6:E13)</f>
        <v>4052</v>
      </c>
      <c r="F2" s="2904"/>
      <c r="G2" s="1643"/>
      <c r="H2" s="1643"/>
      <c r="I2" s="1643"/>
      <c r="J2" s="1643"/>
      <c r="K2" s="1643"/>
      <c r="L2" s="1643"/>
      <c r="M2" s="1643"/>
      <c r="N2" s="1643"/>
      <c r="O2" s="1643"/>
      <c r="P2" s="1643"/>
      <c r="Q2" s="1643"/>
      <c r="R2" s="1643"/>
      <c r="S2" s="1643"/>
    </row>
    <row r="3" spans="1:22" ht="15.75">
      <c r="A3" s="2025" t="s">
        <v>1300</v>
      </c>
      <c r="B3" s="2795">
        <f ca="1">ROUND(B2*10000/E2,0)</f>
        <v>8899</v>
      </c>
      <c r="C3" s="2027" t="s">
        <v>2287</v>
      </c>
      <c r="D3" s="2906"/>
      <c r="E3" s="2908"/>
      <c r="F3" s="2904"/>
      <c r="G3" s="1643"/>
      <c r="H3" s="1643"/>
      <c r="I3" s="1643"/>
      <c r="J3" s="1643"/>
      <c r="K3" s="1643"/>
      <c r="L3" s="1643"/>
      <c r="M3" s="1643"/>
      <c r="N3" s="1643"/>
      <c r="O3" s="1643"/>
      <c r="P3" s="1643"/>
      <c r="Q3" s="1643"/>
      <c r="R3" s="1643"/>
      <c r="S3" s="1643"/>
    </row>
    <row r="4" spans="1:22" ht="15.75">
      <c r="A4" s="2909"/>
      <c r="B4" s="2906"/>
      <c r="C4" s="2906"/>
      <c r="D4" s="2906"/>
      <c r="E4" s="2908"/>
      <c r="F4" s="2904"/>
      <c r="G4" s="1643"/>
      <c r="H4" s="1643"/>
      <c r="I4" s="1643"/>
      <c r="J4" s="1643"/>
      <c r="K4" s="1643"/>
      <c r="L4" s="1643"/>
      <c r="M4" s="1643"/>
      <c r="N4" s="1643"/>
      <c r="O4" s="1643"/>
      <c r="P4" s="1643"/>
      <c r="Q4" s="1643"/>
      <c r="R4" s="1643"/>
      <c r="S4" s="1643"/>
    </row>
    <row r="5" spans="1:22" ht="15">
      <c r="A5" s="2797" t="s">
        <v>2281</v>
      </c>
      <c r="B5" s="3547" t="s">
        <v>2282</v>
      </c>
      <c r="C5" s="3548"/>
      <c r="D5" s="2905"/>
      <c r="E5" s="2029" t="s">
        <v>2283</v>
      </c>
      <c r="F5" s="2030" t="s">
        <v>2284</v>
      </c>
      <c r="G5" s="1643"/>
      <c r="H5" s="1643"/>
      <c r="I5" s="1643"/>
      <c r="J5" s="1643"/>
      <c r="K5" s="1643"/>
      <c r="L5" s="1643"/>
      <c r="M5" s="1643"/>
      <c r="N5" s="1643"/>
      <c r="O5" s="1643"/>
      <c r="P5" s="1643"/>
      <c r="Q5" s="1643"/>
      <c r="R5" s="1643"/>
      <c r="S5" s="1643"/>
    </row>
    <row r="6" spans="1:22">
      <c r="A6" s="2798" t="str">
        <f>'数据-取费表'!AN6</f>
        <v>收益法</v>
      </c>
      <c r="B6" s="2796">
        <f ca="1">IF(F6="是",'数据-取费表'!AO6,0)</f>
        <v>3606</v>
      </c>
      <c r="C6" s="2027" t="s">
        <v>2279</v>
      </c>
      <c r="D6" s="2906"/>
      <c r="E6" s="2800">
        <f>IF(OR(A6=0,F6="否"),0,'数据-取费表'!K6+'数据-取费表'!S6)</f>
        <v>4052</v>
      </c>
      <c r="F6" s="2031" t="s">
        <v>2285</v>
      </c>
      <c r="G6" s="1643"/>
      <c r="H6" s="1643"/>
      <c r="I6" s="1643"/>
      <c r="J6" s="1643"/>
      <c r="K6" s="1643"/>
      <c r="L6" s="1643"/>
      <c r="M6" s="1643"/>
      <c r="N6" s="1643"/>
      <c r="O6" s="1643"/>
      <c r="P6" s="1643"/>
      <c r="Q6" s="1643"/>
      <c r="R6" s="1643"/>
      <c r="S6" s="1643"/>
    </row>
    <row r="7" spans="1:22">
      <c r="A7" s="2798">
        <f>'数据-取费表'!AN7</f>
        <v>0</v>
      </c>
      <c r="B7" s="2796" t="e">
        <f ca="1">IF(F7="是",'数据-取费表'!AO7,0)</f>
        <v>#REF!</v>
      </c>
      <c r="C7" s="2027" t="s">
        <v>2279</v>
      </c>
      <c r="D7" s="2906"/>
      <c r="E7" s="2800">
        <f>IF(OR(A7=0,F7="否"),0,'数据-取费表'!K7+'数据-取费表'!S7)</f>
        <v>0</v>
      </c>
      <c r="F7" s="2031" t="s">
        <v>2285</v>
      </c>
      <c r="G7" s="1643"/>
      <c r="H7" s="1643"/>
      <c r="I7" s="1643"/>
      <c r="J7" s="1643"/>
      <c r="K7" s="1643"/>
      <c r="L7" s="1643"/>
      <c r="M7" s="1643"/>
      <c r="N7" s="1643"/>
      <c r="O7" s="1643"/>
      <c r="P7" s="1643"/>
      <c r="Q7" s="1643"/>
      <c r="R7" s="1643"/>
      <c r="S7" s="1643"/>
    </row>
    <row r="8" spans="1:22">
      <c r="A8" s="2798">
        <f>'数据-取费表'!AN8</f>
        <v>0</v>
      </c>
      <c r="B8" s="2796" t="e">
        <f ca="1">IF(F8="是",'数据-取费表'!AO8,0)</f>
        <v>#REF!</v>
      </c>
      <c r="C8" s="2027" t="s">
        <v>2279</v>
      </c>
      <c r="D8" s="2906"/>
      <c r="E8" s="2800">
        <f>IF(OR(A8=0,F8="否"),0,'数据-取费表'!K8+'数据-取费表'!S8)</f>
        <v>0</v>
      </c>
      <c r="F8" s="2031" t="s">
        <v>2285</v>
      </c>
      <c r="G8" s="1643"/>
      <c r="H8" s="1643"/>
      <c r="I8" s="1643"/>
      <c r="J8" s="1643"/>
      <c r="K8" s="1643"/>
      <c r="L8" s="1643"/>
      <c r="M8" s="1643"/>
      <c r="N8" s="1643"/>
      <c r="O8" s="1643"/>
      <c r="P8" s="1643"/>
      <c r="Q8" s="1643"/>
      <c r="R8" s="1643"/>
      <c r="S8" s="1643"/>
    </row>
    <row r="9" spans="1:22">
      <c r="A9" s="2798">
        <f>'数据-取费表'!AN9</f>
        <v>0</v>
      </c>
      <c r="B9" s="2796" t="e">
        <f ca="1">IF(F9="是",'数据-取费表'!AO9,0)</f>
        <v>#REF!</v>
      </c>
      <c r="C9" s="2027" t="s">
        <v>2279</v>
      </c>
      <c r="D9" s="2906"/>
      <c r="E9" s="2800">
        <f>IF(OR(A9=0,F9="否"),0,'数据-取费表'!K9+'数据-取费表'!S9)</f>
        <v>0</v>
      </c>
      <c r="F9" s="2031" t="s">
        <v>2285</v>
      </c>
      <c r="G9" s="1643"/>
      <c r="H9" s="1643"/>
      <c r="I9" s="1643"/>
      <c r="J9" s="1643"/>
      <c r="K9" s="1643"/>
      <c r="L9" s="1643"/>
      <c r="M9" s="1643"/>
      <c r="N9" s="1643"/>
      <c r="O9" s="1643"/>
      <c r="P9" s="1643"/>
      <c r="Q9" s="1643"/>
      <c r="R9" s="1643"/>
      <c r="S9" s="1643"/>
    </row>
    <row r="10" spans="1:22">
      <c r="A10" s="2798">
        <f>'数据-取费表'!AN10</f>
        <v>0</v>
      </c>
      <c r="B10" s="2796" t="e">
        <f ca="1">IF(F10="是",'数据-取费表'!AO10,0)</f>
        <v>#REF!</v>
      </c>
      <c r="C10" s="2027" t="s">
        <v>2279</v>
      </c>
      <c r="D10" s="2906"/>
      <c r="E10" s="2800">
        <f>IF(OR(A10=0,F10="否"),0,'数据-取费表'!K10+'数据-取费表'!S10)</f>
        <v>0</v>
      </c>
      <c r="F10" s="2031" t="s">
        <v>2285</v>
      </c>
      <c r="G10" s="1643"/>
      <c r="H10" s="1643"/>
      <c r="I10" s="1643"/>
      <c r="J10" s="1643"/>
      <c r="K10" s="1643"/>
      <c r="L10" s="1643"/>
      <c r="M10" s="1643"/>
      <c r="N10" s="1643"/>
      <c r="O10" s="1643"/>
      <c r="P10" s="1643"/>
      <c r="Q10" s="1643"/>
      <c r="R10" s="1643"/>
      <c r="S10" s="1643"/>
    </row>
    <row r="11" spans="1:22">
      <c r="A11" s="2798">
        <f>'数据-取费表'!AN11</f>
        <v>0</v>
      </c>
      <c r="B11" s="2796" t="e">
        <f ca="1">IF(F11="是",'数据-取费表'!AO11,0)</f>
        <v>#REF!</v>
      </c>
      <c r="C11" s="2027" t="s">
        <v>2279</v>
      </c>
      <c r="D11" s="2906"/>
      <c r="E11" s="2800">
        <f>IF(OR(A11=0,F11="否"),0,'数据-取费表'!K11+'数据-取费表'!S11)</f>
        <v>0</v>
      </c>
      <c r="F11" s="2031" t="s">
        <v>2285</v>
      </c>
      <c r="G11" s="1643"/>
      <c r="H11" s="1643"/>
      <c r="I11" s="1643"/>
      <c r="J11" s="1643"/>
      <c r="K11" s="1643"/>
      <c r="L11" s="1643"/>
      <c r="M11" s="1643"/>
      <c r="N11" s="1643"/>
      <c r="O11" s="1643"/>
      <c r="P11" s="1643"/>
      <c r="Q11" s="1643"/>
      <c r="R11" s="1643"/>
      <c r="S11" s="1643"/>
    </row>
    <row r="12" spans="1:22">
      <c r="A12" s="2798">
        <f>'数据-取费表'!AN12</f>
        <v>0</v>
      </c>
      <c r="B12" s="2796" t="e">
        <f ca="1">IF(F12="是",'数据-取费表'!AO12,0)</f>
        <v>#REF!</v>
      </c>
      <c r="C12" s="2027" t="s">
        <v>2279</v>
      </c>
      <c r="D12" s="2906"/>
      <c r="E12" s="2800">
        <f>IF(OR(A12=0,F12="否"),0,'数据-取费表'!K12+'数据-取费表'!S12)</f>
        <v>0</v>
      </c>
      <c r="F12" s="2031" t="s">
        <v>2285</v>
      </c>
      <c r="G12" s="1643"/>
      <c r="H12" s="1643"/>
      <c r="I12" s="1643"/>
      <c r="J12" s="1643"/>
      <c r="K12" s="1643"/>
      <c r="L12" s="1643"/>
      <c r="M12" s="1643"/>
      <c r="N12" s="1643"/>
      <c r="O12" s="1643"/>
      <c r="P12" s="1643"/>
      <c r="Q12" s="1643"/>
      <c r="R12" s="1643"/>
      <c r="S12" s="1643"/>
    </row>
    <row r="13" spans="1:22" ht="15" thickBot="1">
      <c r="A13" s="2799">
        <f>'数据-取费表'!AN13</f>
        <v>0</v>
      </c>
      <c r="B13" s="2796" t="e">
        <f ca="1">IF(F13="是",'数据-取费表'!AO13,0)</f>
        <v>#REF!</v>
      </c>
      <c r="C13" s="2032" t="s">
        <v>2279</v>
      </c>
      <c r="D13" s="2907"/>
      <c r="E13" s="2800">
        <f>IF(OR(A13=0,F13="否"),0,'数据-取费表'!K13+'数据-取费表'!S13)</f>
        <v>0</v>
      </c>
      <c r="F13" s="2031" t="s">
        <v>2285</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2289</v>
      </c>
      <c r="C1" s="1377" t="s">
        <v>2290</v>
      </c>
      <c r="D1" s="1364"/>
      <c r="E1" s="2513"/>
      <c r="F1" s="2034" t="s">
        <v>2291</v>
      </c>
      <c r="G1" s="1374" t="s">
        <v>2292</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2293</v>
      </c>
      <c r="F2" s="2038"/>
      <c r="G2" s="1038"/>
      <c r="H2" s="1038"/>
      <c r="I2" s="1038"/>
      <c r="J2" s="1038"/>
      <c r="K2" s="2039"/>
      <c r="L2" s="2910"/>
      <c r="M2" s="2911"/>
      <c r="N2" s="2911"/>
      <c r="O2" s="2911"/>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2294</v>
      </c>
      <c r="D3" s="359">
        <f>IF(D1="",'数据-汇总表'!E3,SUMIF('数据-汇总表'!$C19:$C33,D1,'数据-汇总表'!$E19:$E33))</f>
        <v>4052</v>
      </c>
      <c r="E3" s="1038"/>
      <c r="F3" s="2043"/>
      <c r="G3" s="1038"/>
      <c r="H3" s="1038"/>
      <c r="I3" s="1038"/>
      <c r="J3" s="1038"/>
      <c r="K3" s="2039"/>
      <c r="L3" s="2910"/>
      <c r="M3" s="2911"/>
      <c r="N3" s="2911"/>
      <c r="O3" s="2911"/>
      <c r="P3" s="2040"/>
      <c r="Q3" s="2041"/>
      <c r="R3" s="2041"/>
      <c r="S3" s="2041"/>
      <c r="T3" s="2041"/>
      <c r="U3" s="2041"/>
      <c r="V3" s="2041"/>
      <c r="W3" s="2041"/>
      <c r="X3" s="2041"/>
      <c r="Y3" s="2041"/>
      <c r="Z3" s="2041"/>
      <c r="AA3" s="2041"/>
      <c r="AB3" s="2041"/>
      <c r="AC3" s="1192"/>
    </row>
    <row r="4" spans="1:29" ht="15">
      <c r="A4" s="361" t="s">
        <v>2295</v>
      </c>
      <c r="B4" s="362"/>
      <c r="C4" s="3493" t="s">
        <v>2296</v>
      </c>
      <c r="D4" s="3494"/>
      <c r="E4" s="3495" t="s">
        <v>2297</v>
      </c>
      <c r="F4" s="3496"/>
      <c r="G4" s="3493" t="s">
        <v>2298</v>
      </c>
      <c r="H4" s="3494"/>
      <c r="I4" s="3493" t="s">
        <v>2299</v>
      </c>
      <c r="J4" s="3494"/>
      <c r="K4" s="2044" t="s">
        <v>2300</v>
      </c>
      <c r="L4" s="2912"/>
      <c r="M4" s="2913"/>
      <c r="N4" s="2913"/>
      <c r="O4" s="2913"/>
      <c r="P4" s="3497" t="s">
        <v>2301</v>
      </c>
      <c r="Q4" s="3498"/>
      <c r="R4" s="3510" t="s">
        <v>2297</v>
      </c>
      <c r="S4" s="3511"/>
      <c r="T4" s="3510" t="s">
        <v>2298</v>
      </c>
      <c r="U4" s="3511"/>
      <c r="V4" s="3485" t="s">
        <v>2299</v>
      </c>
      <c r="W4" s="3485"/>
      <c r="X4" s="1508"/>
      <c r="Y4" s="3510" t="s">
        <v>2301</v>
      </c>
      <c r="Z4" s="3511"/>
      <c r="AA4" s="3490" t="s">
        <v>2297</v>
      </c>
      <c r="AB4" s="3490" t="s">
        <v>2298</v>
      </c>
      <c r="AC4" s="3490" t="s">
        <v>2299</v>
      </c>
    </row>
    <row r="5" spans="1:29" ht="15">
      <c r="A5" s="364"/>
      <c r="B5" s="365"/>
      <c r="C5" s="3514" t="s">
        <v>2302</v>
      </c>
      <c r="D5" s="3515"/>
      <c r="E5" s="3503" t="s">
        <v>2303</v>
      </c>
      <c r="F5" s="3504"/>
      <c r="G5" s="3514" t="s">
        <v>2304</v>
      </c>
      <c r="H5" s="3515"/>
      <c r="I5" s="3514" t="s">
        <v>2305</v>
      </c>
      <c r="J5" s="3515"/>
      <c r="K5" s="2045"/>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2045"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2046"/>
      <c r="L7" s="2914"/>
      <c r="M7" s="2915"/>
      <c r="N7" s="2915"/>
      <c r="O7" s="2915"/>
      <c r="P7" s="3505" t="s">
        <v>2309</v>
      </c>
      <c r="Q7" s="3518"/>
      <c r="R7" s="710" t="s">
        <v>23</v>
      </c>
      <c r="S7" s="711">
        <f t="shared" ref="S7:S15" si="0">F7</f>
        <v>0</v>
      </c>
      <c r="T7" s="710" t="s">
        <v>23</v>
      </c>
      <c r="U7" s="711">
        <f t="shared" ref="U7:U15" si="1">H7</f>
        <v>0</v>
      </c>
      <c r="V7" s="710" t="s">
        <v>23</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2311</v>
      </c>
      <c r="D8" s="371">
        <v>100</v>
      </c>
      <c r="E8" s="2047"/>
      <c r="F8" s="373">
        <f>SUMIF(61:61,E8,62:62)-SUMIF(61:61,C8,62:62)+100</f>
        <v>0</v>
      </c>
      <c r="G8" s="374"/>
      <c r="H8" s="371">
        <f>SUMIF(61:61,G8,62:62)-SUMIF(61:61,C8,62:62)+100</f>
        <v>0</v>
      </c>
      <c r="I8" s="2047"/>
      <c r="J8" s="371">
        <f>SUMIF(61:61,I8,62:62)-SUMIF(61:61,C8,62:62)+100</f>
        <v>0</v>
      </c>
      <c r="K8" s="2046"/>
      <c r="L8" s="2914"/>
      <c r="M8" s="2915"/>
      <c r="N8" s="2915"/>
      <c r="O8" s="2915"/>
      <c r="P8" s="3505" t="s">
        <v>2312</v>
      </c>
      <c r="Q8" s="3506"/>
      <c r="R8" s="710" t="s">
        <v>23</v>
      </c>
      <c r="S8" s="711">
        <f t="shared" si="0"/>
        <v>0</v>
      </c>
      <c r="T8" s="710" t="s">
        <v>23</v>
      </c>
      <c r="U8" s="711">
        <f t="shared" si="1"/>
        <v>0</v>
      </c>
      <c r="V8" s="710" t="s">
        <v>23</v>
      </c>
      <c r="W8" s="711">
        <f t="shared" si="2"/>
        <v>0</v>
      </c>
      <c r="X8" s="712"/>
      <c r="Y8" s="3505" t="s">
        <v>2312</v>
      </c>
      <c r="Z8" s="3506"/>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6"/>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508"/>
      <c r="Q11" s="1496" t="str">
        <f t="shared" si="6"/>
        <v>容积率</v>
      </c>
      <c r="R11" s="710" t="s">
        <v>21</v>
      </c>
      <c r="S11" s="711" t="e">
        <f t="shared" si="0"/>
        <v>#N/A</v>
      </c>
      <c r="T11" s="710" t="s">
        <v>21</v>
      </c>
      <c r="U11" s="711" t="e">
        <f t="shared" si="1"/>
        <v>#N/A</v>
      </c>
      <c r="V11" s="710" t="s">
        <v>21</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4"/>
      <c r="M12" s="2915"/>
      <c r="N12" s="2915"/>
      <c r="O12" s="2915"/>
      <c r="P12" s="3508"/>
      <c r="Q12" s="1496">
        <f t="shared" si="6"/>
        <v>111</v>
      </c>
      <c r="R12" s="710" t="s">
        <v>21</v>
      </c>
      <c r="S12" s="711">
        <f t="shared" si="0"/>
        <v>100</v>
      </c>
      <c r="T12" s="710" t="s">
        <v>21</v>
      </c>
      <c r="U12" s="711">
        <f t="shared" si="1"/>
        <v>100</v>
      </c>
      <c r="V12" s="710" t="s">
        <v>21</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19"/>
      <c r="M13" s="2913"/>
      <c r="N13" s="2913"/>
      <c r="O13" s="2913"/>
      <c r="P13" s="3508"/>
      <c r="Q13" s="1496">
        <f t="shared" si="6"/>
        <v>111</v>
      </c>
      <c r="R13" s="710" t="s">
        <v>21</v>
      </c>
      <c r="S13" s="711">
        <f t="shared" si="0"/>
        <v>100</v>
      </c>
      <c r="T13" s="710" t="s">
        <v>21</v>
      </c>
      <c r="U13" s="711">
        <f t="shared" si="1"/>
        <v>100</v>
      </c>
      <c r="V13" s="710" t="s">
        <v>21</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19"/>
      <c r="M14" s="2913"/>
      <c r="N14" s="2913"/>
      <c r="O14" s="2913"/>
      <c r="P14" s="3508"/>
      <c r="Q14" s="1496">
        <f t="shared" si="6"/>
        <v>111</v>
      </c>
      <c r="R14" s="710" t="s">
        <v>21</v>
      </c>
      <c r="S14" s="711">
        <f t="shared" si="0"/>
        <v>100</v>
      </c>
      <c r="T14" s="710" t="s">
        <v>21</v>
      </c>
      <c r="U14" s="711">
        <f t="shared" si="1"/>
        <v>100</v>
      </c>
      <c r="V14" s="710" t="s">
        <v>21</v>
      </c>
      <c r="W14" s="711">
        <f t="shared" si="2"/>
        <v>100</v>
      </c>
      <c r="X14" s="712"/>
      <c r="Y14" s="3453"/>
      <c r="Z14" s="55">
        <f t="shared" si="7"/>
        <v>111</v>
      </c>
      <c r="AA14" s="713">
        <f t="shared" si="3"/>
        <v>1</v>
      </c>
      <c r="AB14" s="713">
        <f t="shared" si="4"/>
        <v>1</v>
      </c>
      <c r="AC14" s="713">
        <f t="shared" si="5"/>
        <v>1</v>
      </c>
    </row>
    <row r="15" spans="1:29" ht="99.75">
      <c r="A15" s="399" t="s">
        <v>2319</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559" t="s">
        <v>2320</v>
      </c>
      <c r="Q15" s="1505" t="str">
        <f t="shared" si="6"/>
        <v>居住社区成熟度</v>
      </c>
      <c r="R15" s="714" t="s">
        <v>21</v>
      </c>
      <c r="S15" s="715">
        <f t="shared" si="0"/>
        <v>100</v>
      </c>
      <c r="T15" s="714" t="s">
        <v>21</v>
      </c>
      <c r="U15" s="715">
        <f t="shared" si="1"/>
        <v>100</v>
      </c>
      <c r="V15" s="714" t="s">
        <v>21</v>
      </c>
      <c r="W15" s="715">
        <f t="shared" si="2"/>
        <v>100</v>
      </c>
      <c r="X15" s="1508"/>
      <c r="Y15" s="3486" t="s">
        <v>2320</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19"/>
      <c r="M16" s="2913"/>
      <c r="N16" s="2913"/>
      <c r="O16" s="2913"/>
      <c r="P16" s="3560"/>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560"/>
      <c r="Q17" s="1505" t="str">
        <f>B17</f>
        <v>交通便捷度</v>
      </c>
      <c r="R17" s="714" t="s">
        <v>21</v>
      </c>
      <c r="S17" s="715">
        <f>F17</f>
        <v>100</v>
      </c>
      <c r="T17" s="714" t="s">
        <v>21</v>
      </c>
      <c r="U17" s="715">
        <f>H17</f>
        <v>100</v>
      </c>
      <c r="V17" s="714" t="s">
        <v>21</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19"/>
      <c r="M18" s="2913"/>
      <c r="N18" s="2913"/>
      <c r="O18" s="2913"/>
      <c r="P18" s="3560"/>
      <c r="Q18" s="1505"/>
      <c r="R18" s="714"/>
      <c r="S18" s="715"/>
      <c r="T18" s="714"/>
      <c r="U18" s="715"/>
      <c r="V18" s="714"/>
      <c r="W18" s="715"/>
      <c r="X18" s="1508"/>
      <c r="Y18" s="3487"/>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560"/>
      <c r="Q19" s="1505" t="str">
        <f>B19</f>
        <v>公共配套设施</v>
      </c>
      <c r="R19" s="714" t="s">
        <v>21</v>
      </c>
      <c r="S19" s="715">
        <f>F19</f>
        <v>100</v>
      </c>
      <c r="T19" s="714" t="s">
        <v>21</v>
      </c>
      <c r="U19" s="715">
        <f>H19</f>
        <v>100</v>
      </c>
      <c r="V19" s="714" t="s">
        <v>21</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19"/>
      <c r="M20" s="2913"/>
      <c r="N20" s="2913"/>
      <c r="O20" s="2913"/>
      <c r="P20" s="3560"/>
      <c r="Q20" s="1505"/>
      <c r="R20" s="714"/>
      <c r="S20" s="715"/>
      <c r="T20" s="714"/>
      <c r="U20" s="715"/>
      <c r="V20" s="714"/>
      <c r="W20" s="715"/>
      <c r="X20" s="1508"/>
      <c r="Y20" s="3487"/>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19"/>
      <c r="M22" s="2913"/>
      <c r="N22" s="2913"/>
      <c r="O22" s="2913"/>
      <c r="P22" s="3560"/>
      <c r="Q22" s="1505"/>
      <c r="R22" s="714"/>
      <c r="S22" s="715"/>
      <c r="T22" s="714"/>
      <c r="U22" s="715"/>
      <c r="V22" s="714"/>
      <c r="W22" s="715"/>
      <c r="X22" s="1508"/>
      <c r="Y22" s="3487"/>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560"/>
      <c r="Q23" s="1505" t="str">
        <f>B23</f>
        <v>自然及人文环境</v>
      </c>
      <c r="R23" s="714" t="s">
        <v>21</v>
      </c>
      <c r="S23" s="715">
        <f>F23</f>
        <v>100</v>
      </c>
      <c r="T23" s="714" t="s">
        <v>21</v>
      </c>
      <c r="U23" s="715">
        <f>H23</f>
        <v>100</v>
      </c>
      <c r="V23" s="714" t="s">
        <v>21</v>
      </c>
      <c r="W23" s="715">
        <f>J23</f>
        <v>100</v>
      </c>
      <c r="X23" s="1508"/>
      <c r="Y23" s="3487"/>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19"/>
      <c r="M24" s="2913"/>
      <c r="N24" s="2913"/>
      <c r="O24" s="2913"/>
      <c r="P24" s="3560"/>
      <c r="Q24" s="1505"/>
      <c r="R24" s="714"/>
      <c r="S24" s="715"/>
      <c r="T24" s="714"/>
      <c r="U24" s="715"/>
      <c r="V24" s="714"/>
      <c r="W24" s="715"/>
      <c r="X24" s="1508"/>
      <c r="Y24" s="3487"/>
      <c r="Z24" s="1509"/>
      <c r="AA24" s="1506">
        <v>1</v>
      </c>
      <c r="AB24" s="1506">
        <v>1</v>
      </c>
      <c r="AC24" s="1506">
        <v>1</v>
      </c>
    </row>
    <row r="25" spans="1:29" ht="15">
      <c r="A25" s="387"/>
      <c r="B25" s="381" t="s">
        <v>2321</v>
      </c>
      <c r="C25" s="419"/>
      <c r="D25" s="394">
        <v>100</v>
      </c>
      <c r="E25" s="2061"/>
      <c r="F25" s="394">
        <f>SUMIF(86:86,E25,87:87)-SUMIF(86:86,C25,87:87)+100</f>
        <v>100</v>
      </c>
      <c r="G25" s="2062"/>
      <c r="H25" s="394">
        <f>SUMIF(86:86,G25,87:87)-SUMIF(86:86,C25,87:87)+100</f>
        <v>100</v>
      </c>
      <c r="I25" s="2062"/>
      <c r="J25" s="394">
        <f>SUMIF(86:86,I25,87:87)-SUMIF(86:86,C25,87:87)+100</f>
        <v>100</v>
      </c>
      <c r="K25" s="385"/>
      <c r="L25" s="2919"/>
      <c r="M25" s="2913"/>
      <c r="N25" s="2913"/>
      <c r="O25" s="2913"/>
      <c r="P25" s="3560"/>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487"/>
      <c r="Z25" s="1509" t="str">
        <f>Q25</f>
        <v>楼层-1</v>
      </c>
      <c r="AA25" s="1506">
        <f t="shared" ref="AA25:AA46" si="15">D25/F25</f>
        <v>1</v>
      </c>
      <c r="AB25" s="1506">
        <f t="shared" ref="AB25:AB46" si="16">D25/H25</f>
        <v>1</v>
      </c>
      <c r="AC25" s="1506">
        <f t="shared" ref="AC25:AC46" si="17">D25/J25</f>
        <v>1</v>
      </c>
    </row>
    <row r="26" spans="1:29" ht="15">
      <c r="A26" s="387"/>
      <c r="B26" s="381" t="s">
        <v>2322</v>
      </c>
      <c r="C26" s="419"/>
      <c r="D26" s="394">
        <v>100</v>
      </c>
      <c r="E26" s="2061"/>
      <c r="F26" s="394">
        <f>SUMIF(88:88,E26,89:89)-SUMIF(88:88,C26,89:89)+100</f>
        <v>100</v>
      </c>
      <c r="G26" s="2062"/>
      <c r="H26" s="394">
        <f>SUMIF(88:88,G26,89:89)-SUMIF(88:88,C26,89:89)+100</f>
        <v>100</v>
      </c>
      <c r="I26" s="2062"/>
      <c r="J26" s="394">
        <f>SUMIF(88:88,I26,89:89)-SUMIF(88:88,C26,89:89)+100</f>
        <v>100</v>
      </c>
      <c r="K26" s="385"/>
      <c r="L26" s="2919"/>
      <c r="M26" s="2913"/>
      <c r="N26" s="2913"/>
      <c r="O26" s="2913"/>
      <c r="P26" s="3560"/>
      <c r="Q26" s="1505" t="str">
        <f t="shared" si="11"/>
        <v>朝向</v>
      </c>
      <c r="R26" s="714" t="s">
        <v>21</v>
      </c>
      <c r="S26" s="715">
        <f t="shared" si="12"/>
        <v>100</v>
      </c>
      <c r="T26" s="714" t="s">
        <v>21</v>
      </c>
      <c r="U26" s="715">
        <f t="shared" si="13"/>
        <v>100</v>
      </c>
      <c r="V26" s="714" t="s">
        <v>21</v>
      </c>
      <c r="W26" s="715">
        <f t="shared" si="14"/>
        <v>100</v>
      </c>
      <c r="X26" s="1508"/>
      <c r="Y26" s="3487"/>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4"/>
      <c r="M27" s="2915"/>
      <c r="N27" s="2915"/>
      <c r="O27" s="2915"/>
      <c r="P27" s="3560"/>
      <c r="Q27" s="1496">
        <f t="shared" si="11"/>
        <v>111</v>
      </c>
      <c r="R27" s="710" t="s">
        <v>21</v>
      </c>
      <c r="S27" s="711">
        <f t="shared" si="12"/>
        <v>100</v>
      </c>
      <c r="T27" s="710" t="s">
        <v>21</v>
      </c>
      <c r="U27" s="711">
        <f t="shared" si="13"/>
        <v>100</v>
      </c>
      <c r="V27" s="710" t="s">
        <v>21</v>
      </c>
      <c r="W27" s="711">
        <f t="shared" si="14"/>
        <v>100</v>
      </c>
      <c r="X27" s="712"/>
      <c r="Y27" s="3487"/>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19"/>
      <c r="M28" s="2913"/>
      <c r="N28" s="2913"/>
      <c r="O28" s="2913"/>
      <c r="P28" s="3560"/>
      <c r="Q28" s="1505">
        <f t="shared" si="11"/>
        <v>111</v>
      </c>
      <c r="R28" s="714" t="s">
        <v>21</v>
      </c>
      <c r="S28" s="715">
        <f t="shared" si="12"/>
        <v>100</v>
      </c>
      <c r="T28" s="714" t="s">
        <v>21</v>
      </c>
      <c r="U28" s="715">
        <f t="shared" si="13"/>
        <v>100</v>
      </c>
      <c r="V28" s="714" t="s">
        <v>21</v>
      </c>
      <c r="W28" s="715">
        <f t="shared" si="14"/>
        <v>100</v>
      </c>
      <c r="X28" s="1508"/>
      <c r="Y28" s="3487"/>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19"/>
      <c r="M29" s="2913"/>
      <c r="N29" s="2913"/>
      <c r="O29" s="2913"/>
      <c r="P29" s="3560"/>
      <c r="Q29" s="1505">
        <f t="shared" si="11"/>
        <v>111</v>
      </c>
      <c r="R29" s="714" t="s">
        <v>21</v>
      </c>
      <c r="S29" s="715">
        <f t="shared" si="12"/>
        <v>100</v>
      </c>
      <c r="T29" s="714" t="s">
        <v>21</v>
      </c>
      <c r="U29" s="715">
        <f t="shared" si="13"/>
        <v>100</v>
      </c>
      <c r="V29" s="714" t="s">
        <v>21</v>
      </c>
      <c r="W29" s="715">
        <f t="shared" si="14"/>
        <v>100</v>
      </c>
      <c r="X29" s="1508"/>
      <c r="Y29" s="3487"/>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19"/>
      <c r="M30" s="2913"/>
      <c r="N30" s="2913"/>
      <c r="O30" s="2913"/>
      <c r="P30" s="3560"/>
      <c r="Q30" s="1505">
        <f t="shared" si="11"/>
        <v>111</v>
      </c>
      <c r="R30" s="714" t="s">
        <v>21</v>
      </c>
      <c r="S30" s="715">
        <f t="shared" si="12"/>
        <v>100</v>
      </c>
      <c r="T30" s="714" t="s">
        <v>21</v>
      </c>
      <c r="U30" s="715">
        <f t="shared" si="13"/>
        <v>100</v>
      </c>
      <c r="V30" s="714" t="s">
        <v>21</v>
      </c>
      <c r="W30" s="715">
        <f t="shared" si="14"/>
        <v>100</v>
      </c>
      <c r="X30" s="1508"/>
      <c r="Y30" s="3487"/>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19"/>
      <c r="M31" s="2913"/>
      <c r="N31" s="2913"/>
      <c r="O31" s="2913"/>
      <c r="P31" s="3560"/>
      <c r="Q31" s="1505">
        <f t="shared" si="11"/>
        <v>111</v>
      </c>
      <c r="R31" s="714" t="s">
        <v>21</v>
      </c>
      <c r="S31" s="715">
        <f t="shared" si="12"/>
        <v>100</v>
      </c>
      <c r="T31" s="714" t="s">
        <v>21</v>
      </c>
      <c r="U31" s="715">
        <f t="shared" si="13"/>
        <v>100</v>
      </c>
      <c r="V31" s="714" t="s">
        <v>21</v>
      </c>
      <c r="W31" s="715">
        <f t="shared" si="14"/>
        <v>100</v>
      </c>
      <c r="X31" s="1508"/>
      <c r="Y31" s="3487"/>
      <c r="Z31" s="1509">
        <f t="shared" si="18"/>
        <v>111</v>
      </c>
      <c r="AA31" s="1506">
        <f t="shared" si="15"/>
        <v>1</v>
      </c>
      <c r="AB31" s="1506">
        <f t="shared" si="16"/>
        <v>1</v>
      </c>
      <c r="AC31" s="1506">
        <f t="shared" si="17"/>
        <v>1</v>
      </c>
    </row>
    <row r="32" spans="1:29" ht="15">
      <c r="A32" s="399" t="s">
        <v>2323</v>
      </c>
      <c r="B32" s="67" t="s">
        <v>2324</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19"/>
      <c r="M32" s="2913"/>
      <c r="N32" s="2913"/>
      <c r="O32" s="2913"/>
      <c r="P32" s="3555" t="s">
        <v>2325</v>
      </c>
      <c r="Q32" s="1505" t="str">
        <f t="shared" si="11"/>
        <v>建筑类型</v>
      </c>
      <c r="R32" s="714" t="s">
        <v>21</v>
      </c>
      <c r="S32" s="715">
        <f t="shared" si="12"/>
        <v>100</v>
      </c>
      <c r="T32" s="714" t="s">
        <v>21</v>
      </c>
      <c r="U32" s="715">
        <f t="shared" si="13"/>
        <v>100</v>
      </c>
      <c r="V32" s="714" t="s">
        <v>21</v>
      </c>
      <c r="W32" s="715">
        <f t="shared" si="14"/>
        <v>100</v>
      </c>
      <c r="X32" s="1508"/>
      <c r="Y32" s="3489" t="s">
        <v>2325</v>
      </c>
      <c r="Z32" s="1509" t="str">
        <f t="shared" si="18"/>
        <v>建筑类型</v>
      </c>
      <c r="AA32" s="1506">
        <f t="shared" si="15"/>
        <v>1</v>
      </c>
      <c r="AB32" s="1506">
        <f t="shared" si="16"/>
        <v>1</v>
      </c>
      <c r="AC32" s="1506">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8"/>
      <c r="M33" s="2920"/>
      <c r="N33" s="2920"/>
      <c r="O33" s="2920"/>
      <c r="P33" s="3556"/>
      <c r="Q33" s="716" t="str">
        <f t="shared" si="11"/>
        <v>项目建筑规模</v>
      </c>
      <c r="R33" s="717" t="s">
        <v>21</v>
      </c>
      <c r="S33" s="718" t="e">
        <f t="shared" si="12"/>
        <v>#N/A</v>
      </c>
      <c r="T33" s="717" t="s">
        <v>21</v>
      </c>
      <c r="U33" s="718" t="e">
        <f t="shared" si="13"/>
        <v>#N/A</v>
      </c>
      <c r="V33" s="717" t="s">
        <v>21</v>
      </c>
      <c r="W33" s="718" t="e">
        <f t="shared" si="14"/>
        <v>#N/A</v>
      </c>
      <c r="X33" s="719"/>
      <c r="Y33" s="3489"/>
      <c r="Z33" s="720" t="str">
        <f t="shared" si="18"/>
        <v>项目建筑规模</v>
      </c>
      <c r="AA33" s="1506" t="e">
        <f t="shared" si="15"/>
        <v>#N/A</v>
      </c>
      <c r="AB33" s="1506" t="e">
        <f t="shared" si="16"/>
        <v>#N/A</v>
      </c>
      <c r="AC33" s="1506" t="e">
        <f t="shared" si="17"/>
        <v>#N/A</v>
      </c>
    </row>
    <row r="34" spans="1:29" ht="15">
      <c r="A34" s="431"/>
      <c r="B34" s="381" t="s">
        <v>2327</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19"/>
      <c r="M34" s="2913"/>
      <c r="N34" s="2913"/>
      <c r="O34" s="2913"/>
      <c r="P34" s="3556"/>
      <c r="Q34" s="1505" t="str">
        <f t="shared" si="11"/>
        <v>建筑结构</v>
      </c>
      <c r="R34" s="714" t="s">
        <v>21</v>
      </c>
      <c r="S34" s="715">
        <f t="shared" si="12"/>
        <v>100</v>
      </c>
      <c r="T34" s="714" t="s">
        <v>21</v>
      </c>
      <c r="U34" s="715">
        <f t="shared" si="13"/>
        <v>100</v>
      </c>
      <c r="V34" s="714" t="s">
        <v>21</v>
      </c>
      <c r="W34" s="715">
        <f t="shared" si="14"/>
        <v>100</v>
      </c>
      <c r="X34" s="1508"/>
      <c r="Y34" s="3489"/>
      <c r="Z34" s="1509" t="str">
        <f t="shared" si="18"/>
        <v>建筑结构</v>
      </c>
      <c r="AA34" s="1506">
        <f t="shared" si="15"/>
        <v>1</v>
      </c>
      <c r="AB34" s="1506">
        <f t="shared" si="16"/>
        <v>1</v>
      </c>
      <c r="AC34" s="1506">
        <f t="shared" si="17"/>
        <v>1</v>
      </c>
    </row>
    <row r="35" spans="1:29" ht="15">
      <c r="A35" s="431"/>
      <c r="B35" s="381" t="s">
        <v>2328</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19"/>
      <c r="M35" s="2913"/>
      <c r="N35" s="2913"/>
      <c r="O35" s="2913"/>
      <c r="P35" s="3556"/>
      <c r="Q35" s="1505" t="str">
        <f t="shared" si="11"/>
        <v>建筑品质</v>
      </c>
      <c r="R35" s="714" t="s">
        <v>21</v>
      </c>
      <c r="S35" s="715">
        <f t="shared" si="12"/>
        <v>100</v>
      </c>
      <c r="T35" s="714" t="s">
        <v>21</v>
      </c>
      <c r="U35" s="715">
        <f t="shared" si="13"/>
        <v>100</v>
      </c>
      <c r="V35" s="714" t="s">
        <v>21</v>
      </c>
      <c r="W35" s="715">
        <f t="shared" si="14"/>
        <v>100</v>
      </c>
      <c r="X35" s="1508"/>
      <c r="Y35" s="3489"/>
      <c r="Z35" s="1509" t="str">
        <f t="shared" si="18"/>
        <v>建筑品质</v>
      </c>
      <c r="AA35" s="1506">
        <f t="shared" si="15"/>
        <v>1</v>
      </c>
      <c r="AB35" s="1506">
        <f t="shared" si="16"/>
        <v>1</v>
      </c>
      <c r="AC35" s="1506">
        <f t="shared" si="17"/>
        <v>1</v>
      </c>
    </row>
    <row r="36" spans="1:29" ht="15">
      <c r="A36" s="431"/>
      <c r="B36" s="381" t="s">
        <v>2329</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19"/>
      <c r="M36" s="2913"/>
      <c r="N36" s="2913"/>
      <c r="O36" s="2913"/>
      <c r="P36" s="3556"/>
      <c r="Q36" s="1505" t="str">
        <f t="shared" si="11"/>
        <v>公共部分装修</v>
      </c>
      <c r="R36" s="714" t="s">
        <v>21</v>
      </c>
      <c r="S36" s="715">
        <f t="shared" si="12"/>
        <v>100</v>
      </c>
      <c r="T36" s="714" t="s">
        <v>21</v>
      </c>
      <c r="U36" s="715">
        <f t="shared" si="13"/>
        <v>100</v>
      </c>
      <c r="V36" s="714" t="s">
        <v>21</v>
      </c>
      <c r="W36" s="715">
        <f t="shared" si="14"/>
        <v>100</v>
      </c>
      <c r="X36" s="1508"/>
      <c r="Y36" s="3489"/>
      <c r="Z36" s="1509" t="str">
        <f t="shared" si="18"/>
        <v>公共部分装修</v>
      </c>
      <c r="AA36" s="1506">
        <f t="shared" si="15"/>
        <v>1</v>
      </c>
      <c r="AB36" s="1506">
        <f t="shared" si="16"/>
        <v>1</v>
      </c>
      <c r="AC36" s="1506">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556"/>
      <c r="Q37" s="1496" t="str">
        <f t="shared" si="11"/>
        <v>成新度</v>
      </c>
      <c r="R37" s="710" t="s">
        <v>21</v>
      </c>
      <c r="S37" s="711" t="e">
        <f t="shared" si="12"/>
        <v>#N/A</v>
      </c>
      <c r="T37" s="710" t="s">
        <v>21</v>
      </c>
      <c r="U37" s="711" t="e">
        <f t="shared" si="13"/>
        <v>#N/A</v>
      </c>
      <c r="V37" s="710" t="s">
        <v>21</v>
      </c>
      <c r="W37" s="711" t="e">
        <f t="shared" si="14"/>
        <v>#N/A</v>
      </c>
      <c r="X37" s="712"/>
      <c r="Y37" s="3489"/>
      <c r="Z37" s="55" t="str">
        <f t="shared" si="18"/>
        <v>成新度</v>
      </c>
      <c r="AA37" s="713" t="e">
        <f t="shared" si="15"/>
        <v>#N/A</v>
      </c>
      <c r="AB37" s="713" t="e">
        <f t="shared" si="16"/>
        <v>#N/A</v>
      </c>
      <c r="AC37" s="713" t="e">
        <f t="shared" si="17"/>
        <v>#N/A</v>
      </c>
    </row>
    <row r="38" spans="1:29" ht="15">
      <c r="A38" s="431"/>
      <c r="B38" s="381" t="s">
        <v>2331</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19"/>
      <c r="M38" s="2913"/>
      <c r="N38" s="2913"/>
      <c r="O38" s="2913"/>
      <c r="P38" s="3556" t="s">
        <v>2325</v>
      </c>
      <c r="Q38" s="1505" t="str">
        <f t="shared" si="11"/>
        <v>物业管理</v>
      </c>
      <c r="R38" s="714" t="s">
        <v>21</v>
      </c>
      <c r="S38" s="715">
        <f t="shared" si="12"/>
        <v>100</v>
      </c>
      <c r="T38" s="714" t="s">
        <v>21</v>
      </c>
      <c r="U38" s="715">
        <f t="shared" si="13"/>
        <v>100</v>
      </c>
      <c r="V38" s="714" t="s">
        <v>21</v>
      </c>
      <c r="W38" s="715">
        <f t="shared" si="14"/>
        <v>100</v>
      </c>
      <c r="X38" s="1508"/>
      <c r="Y38" s="3489" t="s">
        <v>2325</v>
      </c>
      <c r="Z38" s="1509" t="str">
        <f t="shared" si="18"/>
        <v>物业管理</v>
      </c>
      <c r="AA38" s="1506">
        <f t="shared" si="15"/>
        <v>1</v>
      </c>
      <c r="AB38" s="1506">
        <f t="shared" si="16"/>
        <v>1</v>
      </c>
      <c r="AC38" s="1506">
        <f t="shared" si="17"/>
        <v>1</v>
      </c>
    </row>
    <row r="39" spans="1:29" ht="15">
      <c r="A39" s="431"/>
      <c r="B39" s="381" t="s">
        <v>2332</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19"/>
      <c r="M39" s="2913"/>
      <c r="N39" s="2913"/>
      <c r="O39" s="2913"/>
      <c r="P39" s="3556"/>
      <c r="Q39" s="1505" t="str">
        <f t="shared" si="11"/>
        <v>市政基础设施</v>
      </c>
      <c r="R39" s="714" t="s">
        <v>21</v>
      </c>
      <c r="S39" s="715">
        <f t="shared" si="12"/>
        <v>100</v>
      </c>
      <c r="T39" s="714" t="s">
        <v>21</v>
      </c>
      <c r="U39" s="715">
        <f t="shared" si="13"/>
        <v>100</v>
      </c>
      <c r="V39" s="714" t="s">
        <v>21</v>
      </c>
      <c r="W39" s="715">
        <f t="shared" si="14"/>
        <v>100</v>
      </c>
      <c r="X39" s="1508"/>
      <c r="Y39" s="3489"/>
      <c r="Z39" s="1509" t="str">
        <f t="shared" si="18"/>
        <v>市政基础设施</v>
      </c>
      <c r="AA39" s="1506">
        <f t="shared" si="15"/>
        <v>1</v>
      </c>
      <c r="AB39" s="1506">
        <f t="shared" si="16"/>
        <v>1</v>
      </c>
      <c r="AC39" s="1506">
        <f t="shared" si="17"/>
        <v>1</v>
      </c>
    </row>
    <row r="40" spans="1:29" ht="15">
      <c r="A40" s="431"/>
      <c r="B40" s="381" t="s">
        <v>2333</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19"/>
      <c r="M40" s="2913"/>
      <c r="N40" s="2913"/>
      <c r="O40" s="2913"/>
      <c r="P40" s="3556"/>
      <c r="Q40" s="1505" t="str">
        <f t="shared" si="11"/>
        <v>房型</v>
      </c>
      <c r="R40" s="714" t="s">
        <v>21</v>
      </c>
      <c r="S40" s="715">
        <f t="shared" si="12"/>
        <v>100</v>
      </c>
      <c r="T40" s="714" t="s">
        <v>21</v>
      </c>
      <c r="U40" s="715">
        <f t="shared" si="13"/>
        <v>100</v>
      </c>
      <c r="V40" s="714" t="s">
        <v>21</v>
      </c>
      <c r="W40" s="715">
        <f t="shared" si="14"/>
        <v>100</v>
      </c>
      <c r="X40" s="1508"/>
      <c r="Y40" s="3489"/>
      <c r="Z40" s="1509" t="str">
        <f t="shared" si="18"/>
        <v>房型</v>
      </c>
      <c r="AA40" s="1506">
        <f t="shared" si="15"/>
        <v>1</v>
      </c>
      <c r="AB40" s="1506">
        <f t="shared" si="16"/>
        <v>1</v>
      </c>
      <c r="AC40" s="1506">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8"/>
      <c r="M41" s="2920"/>
      <c r="N41" s="2920"/>
      <c r="O41" s="2920"/>
      <c r="P41" s="3556"/>
      <c r="Q41" s="716" t="str">
        <f t="shared" si="11"/>
        <v>单套/主力户型建筑面积</v>
      </c>
      <c r="R41" s="717" t="s">
        <v>21</v>
      </c>
      <c r="S41" s="718">
        <f t="shared" si="12"/>
        <v>100</v>
      </c>
      <c r="T41" s="717" t="s">
        <v>21</v>
      </c>
      <c r="U41" s="718">
        <f t="shared" si="13"/>
        <v>100</v>
      </c>
      <c r="V41" s="717" t="s">
        <v>21</v>
      </c>
      <c r="W41" s="718">
        <f t="shared" si="14"/>
        <v>100</v>
      </c>
      <c r="X41" s="719"/>
      <c r="Y41" s="3489"/>
      <c r="Z41" s="720" t="str">
        <f t="shared" si="18"/>
        <v>单套/主力户型建筑面积</v>
      </c>
      <c r="AA41" s="1506">
        <f t="shared" si="15"/>
        <v>1</v>
      </c>
      <c r="AB41" s="1506">
        <f t="shared" si="16"/>
        <v>1</v>
      </c>
      <c r="AC41" s="1506">
        <f t="shared" si="17"/>
        <v>1</v>
      </c>
    </row>
    <row r="42" spans="1:29" ht="15">
      <c r="A42" s="431"/>
      <c r="B42" s="381" t="s">
        <v>2335</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19"/>
      <c r="M42" s="2913"/>
      <c r="N42" s="2913"/>
      <c r="O42" s="2913"/>
      <c r="P42" s="3556"/>
      <c r="Q42" s="1505" t="str">
        <f t="shared" si="11"/>
        <v>内部装修</v>
      </c>
      <c r="R42" s="714" t="s">
        <v>21</v>
      </c>
      <c r="S42" s="715">
        <f t="shared" si="12"/>
        <v>100</v>
      </c>
      <c r="T42" s="714" t="s">
        <v>21</v>
      </c>
      <c r="U42" s="715">
        <f t="shared" si="13"/>
        <v>100</v>
      </c>
      <c r="V42" s="714" t="s">
        <v>21</v>
      </c>
      <c r="W42" s="715">
        <f t="shared" si="14"/>
        <v>100</v>
      </c>
      <c r="X42" s="1508"/>
      <c r="Y42" s="3489"/>
      <c r="Z42" s="1509" t="str">
        <f t="shared" si="18"/>
        <v>内部装修</v>
      </c>
      <c r="AA42" s="1506">
        <f t="shared" si="15"/>
        <v>1</v>
      </c>
      <c r="AB42" s="1506">
        <f t="shared" si="16"/>
        <v>1</v>
      </c>
      <c r="AC42" s="1506">
        <f t="shared" si="17"/>
        <v>1</v>
      </c>
    </row>
    <row r="43" spans="1:29" ht="15">
      <c r="A43" s="431"/>
      <c r="B43" s="381" t="s">
        <v>2336</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19"/>
      <c r="M43" s="2913"/>
      <c r="N43" s="2913"/>
      <c r="O43" s="2913"/>
      <c r="P43" s="3556"/>
      <c r="Q43" s="1505" t="str">
        <f t="shared" si="11"/>
        <v>内部装修维护情况</v>
      </c>
      <c r="R43" s="714" t="s">
        <v>21</v>
      </c>
      <c r="S43" s="715">
        <f t="shared" si="12"/>
        <v>100</v>
      </c>
      <c r="T43" s="714" t="s">
        <v>21</v>
      </c>
      <c r="U43" s="715">
        <f t="shared" si="13"/>
        <v>100</v>
      </c>
      <c r="V43" s="714" t="s">
        <v>21</v>
      </c>
      <c r="W43" s="715">
        <f t="shared" si="14"/>
        <v>100</v>
      </c>
      <c r="X43" s="1508"/>
      <c r="Y43" s="3489"/>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4"/>
      <c r="M44" s="2915"/>
      <c r="N44" s="2915"/>
      <c r="O44" s="2915"/>
      <c r="P44" s="3556"/>
      <c r="Q44" s="1496">
        <f t="shared" si="11"/>
        <v>111</v>
      </c>
      <c r="R44" s="710" t="s">
        <v>21</v>
      </c>
      <c r="S44" s="711">
        <f t="shared" si="12"/>
        <v>100</v>
      </c>
      <c r="T44" s="710" t="s">
        <v>21</v>
      </c>
      <c r="U44" s="711">
        <f t="shared" si="13"/>
        <v>100</v>
      </c>
      <c r="V44" s="710" t="s">
        <v>21</v>
      </c>
      <c r="W44" s="711">
        <f t="shared" si="14"/>
        <v>100</v>
      </c>
      <c r="X44" s="712"/>
      <c r="Y44" s="348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19"/>
      <c r="M45" s="2913"/>
      <c r="N45" s="2913"/>
      <c r="O45" s="2913"/>
      <c r="P45" s="3556"/>
      <c r="Q45" s="1505">
        <f t="shared" si="11"/>
        <v>111</v>
      </c>
      <c r="R45" s="714" t="s">
        <v>21</v>
      </c>
      <c r="S45" s="715">
        <f t="shared" si="12"/>
        <v>100</v>
      </c>
      <c r="T45" s="714" t="s">
        <v>21</v>
      </c>
      <c r="U45" s="715">
        <f t="shared" si="13"/>
        <v>100</v>
      </c>
      <c r="V45" s="714" t="s">
        <v>21</v>
      </c>
      <c r="W45" s="715">
        <f t="shared" si="14"/>
        <v>100</v>
      </c>
      <c r="X45" s="1508"/>
      <c r="Y45" s="3489"/>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19"/>
      <c r="M46" s="2913"/>
      <c r="N46" s="2913"/>
      <c r="O46" s="2913"/>
      <c r="P46" s="3557"/>
      <c r="Q46" s="1505">
        <f t="shared" si="11"/>
        <v>111</v>
      </c>
      <c r="R46" s="714" t="s">
        <v>20</v>
      </c>
      <c r="S46" s="715">
        <f t="shared" si="12"/>
        <v>100</v>
      </c>
      <c r="T46" s="714" t="s">
        <v>20</v>
      </c>
      <c r="U46" s="715">
        <f t="shared" si="13"/>
        <v>100</v>
      </c>
      <c r="V46" s="714" t="s">
        <v>20</v>
      </c>
      <c r="W46" s="715">
        <f t="shared" si="14"/>
        <v>100</v>
      </c>
      <c r="X46" s="1508"/>
      <c r="Y46" s="3558"/>
      <c r="Z46" s="1509">
        <f t="shared" si="18"/>
        <v>111</v>
      </c>
      <c r="AA46" s="1506">
        <f t="shared" si="15"/>
        <v>1</v>
      </c>
      <c r="AB46" s="1506">
        <f t="shared" si="16"/>
        <v>1</v>
      </c>
      <c r="AC46" s="1506">
        <f t="shared" si="17"/>
        <v>1</v>
      </c>
    </row>
    <row r="47" spans="1:29" ht="15">
      <c r="A47" s="438" t="s">
        <v>2337</v>
      </c>
      <c r="B47" s="439"/>
      <c r="C47" s="1288" t="s">
        <v>19</v>
      </c>
      <c r="D47" s="1289"/>
      <c r="E47" s="1290"/>
      <c r="F47" s="1291"/>
      <c r="G47" s="1292"/>
      <c r="H47" s="1293"/>
      <c r="I47" s="1290"/>
      <c r="J47" s="1293"/>
      <c r="K47" s="2069"/>
      <c r="L47" s="2921"/>
      <c r="M47" s="2922"/>
      <c r="N47" s="2913"/>
      <c r="O47" s="2922"/>
      <c r="P47" s="3483" t="str">
        <f>A47</f>
        <v>成交单价（元/平方米）</v>
      </c>
      <c r="Q47" s="3483"/>
      <c r="R47" s="3554">
        <f>E47</f>
        <v>0</v>
      </c>
      <c r="S47" s="3554"/>
      <c r="T47" s="3554">
        <f>G47</f>
        <v>0</v>
      </c>
      <c r="U47" s="3554"/>
      <c r="V47" s="3554">
        <f>I47</f>
        <v>0</v>
      </c>
      <c r="W47" s="3554"/>
      <c r="X47" s="699"/>
      <c r="Y47" s="721"/>
      <c r="Z47" s="699"/>
      <c r="AA47" s="699"/>
      <c r="AB47" s="699"/>
      <c r="AC47" s="699"/>
    </row>
    <row r="48" spans="1:29" ht="15.75" thickBot="1">
      <c r="A48" s="445" t="s">
        <v>2338</v>
      </c>
      <c r="B48" s="446"/>
      <c r="C48" s="1294" t="e">
        <f>R49</f>
        <v>#DIV/0!</v>
      </c>
      <c r="D48" s="2507" t="s">
        <v>2817</v>
      </c>
      <c r="E48" s="1295" t="e">
        <f>R48</f>
        <v>#DIV/0!</v>
      </c>
      <c r="F48" s="2508"/>
      <c r="G48" s="1294" t="e">
        <f>T48</f>
        <v>#DIV/0!</v>
      </c>
      <c r="H48" s="2508"/>
      <c r="I48" s="1295" t="e">
        <f>V48</f>
        <v>#DIV/0!</v>
      </c>
      <c r="J48" s="2508"/>
      <c r="K48" s="2509">
        <f>F48+H48+J48</f>
        <v>0</v>
      </c>
      <c r="L48" s="2921"/>
      <c r="M48" s="2922"/>
      <c r="N48" s="2922"/>
      <c r="O48" s="2922"/>
      <c r="P48" s="3483" t="str">
        <f>A48</f>
        <v>比较价值（元/平方米）</v>
      </c>
      <c r="Q48" s="348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0"/>
      <c r="L49" s="2921"/>
      <c r="M49" s="2922"/>
      <c r="N49" s="2922"/>
      <c r="O49" s="2922"/>
      <c r="P49" s="3480" t="str">
        <f>A49</f>
        <v>估价对象XX用房的比较价值（楼面单价，元/平方米）</v>
      </c>
      <c r="Q49" s="3481"/>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2"/>
    </row>
    <row r="55" spans="1:29" s="459" customFormat="1">
      <c r="A55" s="2925"/>
      <c r="B55" s="2928"/>
      <c r="C55" s="2929"/>
      <c r="D55" s="2925"/>
      <c r="E55" s="2925"/>
      <c r="F55" s="2925"/>
      <c r="G55" s="2925"/>
      <c r="H55" s="2925"/>
      <c r="I55" s="2925"/>
      <c r="J55" s="2925"/>
      <c r="K55" s="2930"/>
      <c r="L55" s="2924"/>
      <c r="M55" s="2925"/>
      <c r="N55" s="2925"/>
      <c r="O55" s="2925"/>
      <c r="P55" s="2072"/>
    </row>
    <row r="56" spans="1:29">
      <c r="A56" s="2922"/>
      <c r="B56" s="2928"/>
      <c r="C56" s="2929"/>
      <c r="D56" s="2922"/>
      <c r="E56" s="2922"/>
      <c r="F56" s="2922"/>
      <c r="G56" s="2922"/>
      <c r="H56" s="2922"/>
      <c r="I56" s="2922"/>
      <c r="J56" s="2922"/>
      <c r="K56" s="2927"/>
      <c r="L56" s="2923"/>
      <c r="M56" s="2922"/>
      <c r="N56" s="2922"/>
      <c r="O56" s="2922"/>
    </row>
    <row r="57" spans="1:29" ht="21.75" thickBot="1">
      <c r="A57" s="703" t="s">
        <v>2343</v>
      </c>
      <c r="B57" s="699"/>
      <c r="C57" s="704"/>
      <c r="D57" s="704"/>
      <c r="E57" s="704"/>
      <c r="F57" s="705"/>
      <c r="G57" s="705"/>
      <c r="H57" s="704"/>
      <c r="I57" s="704"/>
      <c r="J57" s="704"/>
      <c r="K57" s="1072"/>
      <c r="L57" s="1073"/>
      <c r="M57" s="1071"/>
      <c r="N57" s="1071"/>
      <c r="O57" s="1071"/>
      <c r="P57" s="2073"/>
      <c r="Q57" s="461"/>
    </row>
    <row r="58" spans="1:29" s="465" customFormat="1" ht="15">
      <c r="A58" s="462" t="s">
        <v>2344</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2345</v>
      </c>
      <c r="B60" s="473"/>
      <c r="C60" s="474"/>
      <c r="D60" s="475"/>
      <c r="E60" s="475"/>
      <c r="F60" s="475"/>
      <c r="G60" s="475"/>
      <c r="H60" s="475"/>
      <c r="I60" s="475"/>
      <c r="J60" s="475"/>
      <c r="K60" s="475"/>
      <c r="L60" s="475"/>
      <c r="M60" s="476"/>
      <c r="N60" s="475"/>
      <c r="O60" s="476"/>
      <c r="P60" s="2075"/>
      <c r="Q60" s="461"/>
    </row>
    <row r="61" spans="1:29" s="113" customFormat="1" ht="15">
      <c r="A61" s="478" t="s">
        <v>2346</v>
      </c>
      <c r="B61" s="467"/>
      <c r="C61" s="479" t="s">
        <v>2347</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2348</v>
      </c>
      <c r="B63" s="485" t="s">
        <v>2314</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2364</v>
      </c>
      <c r="D82" s="496" t="s">
        <v>2365</v>
      </c>
      <c r="E82" s="496" t="s">
        <v>2366</v>
      </c>
      <c r="F82" s="496" t="s">
        <v>2367</v>
      </c>
      <c r="G82" s="496" t="s">
        <v>2368</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2370</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2371</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2323</v>
      </c>
      <c r="B100" s="485" t="s">
        <v>2372</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2374</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2375</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2376</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2377</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2378</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2379</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2380</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2382</v>
      </c>
    </row>
    <row r="137" spans="1:17" ht="15">
      <c r="B137" s="2085" t="s">
        <v>2383</v>
      </c>
      <c r="C137" s="2086"/>
      <c r="D137" s="2086"/>
      <c r="E137" s="2086"/>
      <c r="F137" s="2086"/>
      <c r="G137" s="2087"/>
      <c r="H137" s="2088"/>
      <c r="I137" s="2089" t="s">
        <v>2384</v>
      </c>
      <c r="J137" s="2086"/>
      <c r="K137" s="2090"/>
    </row>
    <row r="138" spans="1:17" ht="15">
      <c r="B138" s="2091"/>
      <c r="C138" s="142" t="s">
        <v>2385</v>
      </c>
      <c r="D138" s="142" t="s">
        <v>2386</v>
      </c>
      <c r="E138" s="2092" t="s">
        <v>2387</v>
      </c>
      <c r="F138" s="2093" t="s">
        <v>2388</v>
      </c>
      <c r="G138" s="142" t="s">
        <v>2386</v>
      </c>
      <c r="H138" s="143" t="s">
        <v>2387</v>
      </c>
      <c r="I138" s="2094"/>
      <c r="J138" s="142" t="s">
        <v>2389</v>
      </c>
      <c r="K138" s="143" t="s">
        <v>2390</v>
      </c>
    </row>
    <row r="139" spans="1:17" ht="15">
      <c r="B139" s="998">
        <v>6</v>
      </c>
      <c r="C139" s="999">
        <v>96</v>
      </c>
      <c r="D139" s="2095" t="s">
        <v>2391</v>
      </c>
      <c r="E139" s="1000">
        <v>100</v>
      </c>
      <c r="F139" s="1001">
        <v>102.5</v>
      </c>
      <c r="G139" s="2095" t="s">
        <v>2391</v>
      </c>
      <c r="H139" s="1002">
        <v>105</v>
      </c>
      <c r="I139" s="2096" t="s">
        <v>2392</v>
      </c>
      <c r="J139" s="999">
        <v>20</v>
      </c>
      <c r="K139" s="1003">
        <f>C145/(J139-2)</f>
        <v>4.0555555555555553E-3</v>
      </c>
    </row>
    <row r="140" spans="1:17" ht="15">
      <c r="B140" s="1004">
        <v>5</v>
      </c>
      <c r="C140" s="1005">
        <v>100</v>
      </c>
      <c r="D140" s="1005"/>
      <c r="E140" s="1006"/>
      <c r="F140" s="1007">
        <v>102</v>
      </c>
      <c r="G140" s="1005"/>
      <c r="H140" s="1008"/>
      <c r="I140" s="2097" t="s">
        <v>2393</v>
      </c>
      <c r="J140" s="277">
        <f>ROUNDUP((J139-1)/2,0)</f>
        <v>10</v>
      </c>
      <c r="K140" s="1009">
        <v>100</v>
      </c>
    </row>
    <row r="141" spans="1:17" ht="15">
      <c r="B141" s="1004">
        <v>4</v>
      </c>
      <c r="C141" s="1005">
        <v>102</v>
      </c>
      <c r="D141" s="1005"/>
      <c r="E141" s="1006"/>
      <c r="F141" s="1007">
        <v>101.5</v>
      </c>
      <c r="G141" s="1005"/>
      <c r="H141" s="1008"/>
      <c r="I141" s="2097" t="s">
        <v>2394</v>
      </c>
      <c r="J141" s="277">
        <v>1</v>
      </c>
      <c r="K141" s="1010">
        <f>ROUND(100+(J141-J140)*K139*100,1)</f>
        <v>96.4</v>
      </c>
    </row>
    <row r="142" spans="1:17" ht="15">
      <c r="B142" s="1004">
        <v>3</v>
      </c>
      <c r="C142" s="1005">
        <v>103</v>
      </c>
      <c r="D142" s="1005"/>
      <c r="E142" s="1006"/>
      <c r="F142" s="1007">
        <v>101</v>
      </c>
      <c r="G142" s="1005"/>
      <c r="H142" s="1008"/>
      <c r="I142" s="2097" t="s">
        <v>2395</v>
      </c>
      <c r="J142" s="277">
        <f>J139</f>
        <v>20</v>
      </c>
      <c r="K142" s="1011">
        <v>95</v>
      </c>
    </row>
    <row r="143" spans="1:17" ht="15">
      <c r="B143" s="1004">
        <v>2</v>
      </c>
      <c r="C143" s="1005">
        <v>100</v>
      </c>
      <c r="D143" s="1005"/>
      <c r="E143" s="1006"/>
      <c r="F143" s="1007">
        <v>100.5</v>
      </c>
      <c r="G143" s="1005"/>
      <c r="H143" s="1008"/>
      <c r="I143" s="2097" t="s">
        <v>2396</v>
      </c>
      <c r="J143" s="1005">
        <v>15</v>
      </c>
      <c r="K143" s="1010">
        <f>ROUND(100+(J143-J140)*K139*100,1)</f>
        <v>102</v>
      </c>
    </row>
    <row r="144" spans="1:17" ht="15">
      <c r="B144" s="1004">
        <v>1</v>
      </c>
      <c r="C144" s="1005">
        <v>98</v>
      </c>
      <c r="D144" s="2098" t="s">
        <v>2397</v>
      </c>
      <c r="E144" s="1006">
        <v>102</v>
      </c>
      <c r="F144" s="1012">
        <v>100</v>
      </c>
      <c r="G144" s="2098" t="s">
        <v>2397</v>
      </c>
      <c r="H144" s="1008">
        <v>105</v>
      </c>
      <c r="I144" s="2097" t="s">
        <v>2396</v>
      </c>
      <c r="J144" s="1005">
        <v>18</v>
      </c>
      <c r="K144" s="1010">
        <f>ROUND(100+(J144-J140)*K139*100,1)</f>
        <v>103.2</v>
      </c>
    </row>
    <row r="145" spans="2:11" ht="15.75" thickBot="1">
      <c r="B145" s="2099" t="s">
        <v>2398</v>
      </c>
      <c r="C145" s="1013">
        <f>ROUND(MAX(C139:C144)/MIN(C139:C144)-1,3)</f>
        <v>7.2999999999999995E-2</v>
      </c>
      <c r="D145" s="1014"/>
      <c r="E145" s="1014"/>
      <c r="F145" s="2100" t="s">
        <v>2399</v>
      </c>
      <c r="G145" s="2101"/>
      <c r="H145" s="2102"/>
      <c r="I145" s="2103" t="s">
        <v>2396</v>
      </c>
      <c r="J145" s="1015">
        <v>8</v>
      </c>
      <c r="K145" s="1016">
        <f>ROUND(100+(J145-J140)*K139*100,1)</f>
        <v>99.2</v>
      </c>
    </row>
    <row r="147" spans="2:11">
      <c r="B147" s="2084" t="s">
        <v>2400</v>
      </c>
    </row>
    <row r="148" spans="2:11">
      <c r="B148" s="2084" t="s">
        <v>2401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033" t="s">
        <v>2402</v>
      </c>
      <c r="C1" s="1377" t="s">
        <v>2290</v>
      </c>
      <c r="D1" s="1364"/>
      <c r="E1" s="2512"/>
      <c r="F1" s="2034"/>
      <c r="G1" s="1374" t="s">
        <v>2403</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2087</v>
      </c>
      <c r="B2" s="1298" t="e">
        <f ca="1">IF(C2="——",ROUND(C49*D3/10000,0),ROUND(C49*D3/10000,0)-D2)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2107"/>
      <c r="Q2" s="1043"/>
      <c r="R2" s="1043"/>
      <c r="S2" s="1043"/>
      <c r="T2" s="1043"/>
      <c r="U2" s="1043"/>
      <c r="V2" s="1043"/>
      <c r="W2" s="1043"/>
      <c r="X2" s="1043"/>
      <c r="Y2" s="1043"/>
      <c r="Z2" s="1043"/>
      <c r="AA2" s="1043"/>
      <c r="AB2" s="1043"/>
      <c r="AC2" s="2108"/>
    </row>
    <row r="3" spans="1:29" s="358" customFormat="1" ht="28.5" customHeight="1" thickBot="1">
      <c r="A3" s="209" t="s">
        <v>2089</v>
      </c>
      <c r="B3" s="566" t="e">
        <f ca="1">IF(C2="——",C49,ROUND(B2*10000/D3,0))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2107"/>
      <c r="Q3" s="1043"/>
      <c r="R3" s="1043"/>
      <c r="S3" s="1043"/>
      <c r="T3" s="1043"/>
      <c r="U3" s="1043"/>
      <c r="V3" s="1043"/>
      <c r="W3" s="1043"/>
      <c r="X3" s="1043"/>
      <c r="Y3" s="1043"/>
      <c r="Z3" s="1043"/>
      <c r="AA3" s="1043"/>
      <c r="AB3" s="1043"/>
      <c r="AC3" s="2109"/>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85"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85"/>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85"/>
      <c r="AC6" s="3492"/>
    </row>
    <row r="7" spans="1:29" s="113" customFormat="1" ht="15.75" thickBot="1">
      <c r="A7" s="368" t="s">
        <v>2308</v>
      </c>
      <c r="B7" s="369"/>
      <c r="C7" s="370">
        <f>'数据-取费表'!B2</f>
        <v>44607</v>
      </c>
      <c r="D7" s="371">
        <v>100</v>
      </c>
      <c r="E7" s="372"/>
      <c r="F7" s="373">
        <f>SUMIF(58:58,YEAR(E7)&amp;"-"&amp;MONTH(E7),59:59)</f>
        <v>0</v>
      </c>
      <c r="G7" s="372"/>
      <c r="H7" s="371">
        <f>SUMIF(58:58,YEAR(G7)&amp;"-"&amp;MONTH(G7),59:59)</f>
        <v>0</v>
      </c>
      <c r="I7" s="372"/>
      <c r="J7" s="371">
        <f>SUMIF(58:58,YEAR(I7)&amp;"-"&amp;MONTH(I7),59:59)</f>
        <v>0</v>
      </c>
      <c r="K7" s="568"/>
      <c r="L7" s="2914"/>
      <c r="M7" s="2915"/>
      <c r="N7" s="2915"/>
      <c r="O7" s="2915"/>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508"/>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508"/>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508"/>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508"/>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71.25">
      <c r="A15" s="399" t="s">
        <v>2319</v>
      </c>
      <c r="B15" s="65" t="s">
        <v>2413</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559" t="s">
        <v>2320</v>
      </c>
      <c r="Q15" s="1505" t="str">
        <f t="shared" si="6"/>
        <v>商业繁华度</v>
      </c>
      <c r="R15" s="714" t="s">
        <v>17</v>
      </c>
      <c r="S15" s="715">
        <f t="shared" si="0"/>
        <v>100</v>
      </c>
      <c r="T15" s="714" t="s">
        <v>17</v>
      </c>
      <c r="U15" s="715">
        <f t="shared" si="1"/>
        <v>100</v>
      </c>
      <c r="V15" s="714" t="s">
        <v>17</v>
      </c>
      <c r="W15" s="715">
        <f t="shared" si="2"/>
        <v>100</v>
      </c>
      <c r="X15" s="1508"/>
      <c r="Y15" s="3486" t="s">
        <v>2320</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19"/>
      <c r="M16" s="2913"/>
      <c r="N16" s="2913"/>
      <c r="O16" s="2913"/>
      <c r="P16" s="3560"/>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560"/>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19"/>
      <c r="M18" s="2913"/>
      <c r="N18" s="2913"/>
      <c r="O18" s="2913"/>
      <c r="P18" s="3560"/>
      <c r="Q18" s="1505"/>
      <c r="R18" s="714"/>
      <c r="S18" s="715"/>
      <c r="T18" s="714"/>
      <c r="U18" s="715"/>
      <c r="V18" s="714"/>
      <c r="W18" s="715"/>
      <c r="X18" s="1508"/>
      <c r="Y18" s="3487"/>
      <c r="Z18" s="1509"/>
      <c r="AA18" s="1506">
        <v>1</v>
      </c>
      <c r="AB18" s="1506">
        <v>1</v>
      </c>
      <c r="AC18" s="1506">
        <v>1</v>
      </c>
    </row>
    <row r="19" spans="1:29" ht="42.75">
      <c r="A19" s="387"/>
      <c r="B19" s="410" t="s">
        <v>2414</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560"/>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19"/>
      <c r="M20" s="2913"/>
      <c r="N20" s="2913"/>
      <c r="O20" s="2913"/>
      <c r="P20" s="3560"/>
      <c r="Q20" s="1505"/>
      <c r="R20" s="714"/>
      <c r="S20" s="715"/>
      <c r="T20" s="714"/>
      <c r="U20" s="715"/>
      <c r="V20" s="714"/>
      <c r="W20" s="715"/>
      <c r="X20" s="1508"/>
      <c r="Y20" s="3487"/>
      <c r="Z20" s="1509"/>
      <c r="AA20" s="1506">
        <v>1</v>
      </c>
      <c r="AB20" s="1506">
        <v>1</v>
      </c>
      <c r="AC20" s="1506">
        <v>1</v>
      </c>
    </row>
    <row r="21" spans="1:29" ht="28.5">
      <c r="A21" s="387"/>
      <c r="B21" s="1265" t="s">
        <v>2415</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19"/>
      <c r="M22" s="2913"/>
      <c r="N22" s="2913"/>
      <c r="O22" s="2913"/>
      <c r="P22" s="3560"/>
      <c r="Q22" s="1505"/>
      <c r="R22" s="714"/>
      <c r="S22" s="715"/>
      <c r="T22" s="714"/>
      <c r="U22" s="715"/>
      <c r="V22" s="714"/>
      <c r="W22" s="715"/>
      <c r="X22" s="1508"/>
      <c r="Y22" s="3487"/>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560"/>
      <c r="Q23" s="1505" t="str">
        <f>B23</f>
        <v>自然及人文环境</v>
      </c>
      <c r="R23" s="714" t="s">
        <v>17</v>
      </c>
      <c r="S23" s="715">
        <f>F23</f>
        <v>100</v>
      </c>
      <c r="T23" s="714" t="s">
        <v>17</v>
      </c>
      <c r="U23" s="715">
        <f>H23</f>
        <v>100</v>
      </c>
      <c r="V23" s="714" t="s">
        <v>17</v>
      </c>
      <c r="W23" s="715">
        <f>J23</f>
        <v>100</v>
      </c>
      <c r="X23" s="1508"/>
      <c r="Y23" s="3487"/>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19"/>
      <c r="M24" s="2913"/>
      <c r="N24" s="2913"/>
      <c r="O24" s="2913"/>
      <c r="P24" s="3560"/>
      <c r="Q24" s="1505"/>
      <c r="R24" s="714"/>
      <c r="S24" s="715"/>
      <c r="T24" s="714"/>
      <c r="U24" s="715"/>
      <c r="V24" s="714"/>
      <c r="W24" s="715"/>
      <c r="X24" s="1508"/>
      <c r="Y24" s="3487"/>
      <c r="Z24" s="1509"/>
      <c r="AA24" s="1506">
        <v>1</v>
      </c>
      <c r="AB24" s="1506">
        <v>1</v>
      </c>
      <c r="AC24" s="1506">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560"/>
      <c r="Q25" s="1505" t="str">
        <f t="shared" ref="Q25:Q46" si="11">B25</f>
        <v>临街状况</v>
      </c>
      <c r="R25" s="714" t="s">
        <v>17</v>
      </c>
      <c r="S25" s="715">
        <f>F25</f>
        <v>100</v>
      </c>
      <c r="T25" s="714" t="s">
        <v>17</v>
      </c>
      <c r="U25" s="715">
        <f>H25</f>
        <v>100</v>
      </c>
      <c r="V25" s="714" t="s">
        <v>17</v>
      </c>
      <c r="W25" s="715">
        <f>J25</f>
        <v>100</v>
      </c>
      <c r="X25" s="1508"/>
      <c r="Y25" s="3487"/>
      <c r="Z25" s="1509" t="str">
        <f>Q25</f>
        <v>临街状况</v>
      </c>
      <c r="AA25" s="1506">
        <f t="shared" si="3"/>
        <v>1</v>
      </c>
      <c r="AB25" s="1506">
        <f t="shared" si="4"/>
        <v>1</v>
      </c>
      <c r="AC25" s="1506">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560"/>
      <c r="Q26" s="1505" t="str">
        <f t="shared" si="11"/>
        <v>平面位置/可视性</v>
      </c>
      <c r="R26" s="714" t="s">
        <v>17</v>
      </c>
      <c r="S26" s="715">
        <f>F26</f>
        <v>100</v>
      </c>
      <c r="T26" s="714" t="s">
        <v>17</v>
      </c>
      <c r="U26" s="715">
        <f>H26</f>
        <v>100</v>
      </c>
      <c r="V26" s="714" t="s">
        <v>17</v>
      </c>
      <c r="W26" s="715">
        <f>J26</f>
        <v>100</v>
      </c>
      <c r="X26" s="1508"/>
      <c r="Y26" s="3487"/>
      <c r="Z26" s="1509" t="str">
        <f>Q26</f>
        <v>平面位置/可视性</v>
      </c>
      <c r="AA26" s="1506">
        <f t="shared" si="3"/>
        <v>1</v>
      </c>
      <c r="AB26" s="1506">
        <f t="shared" si="4"/>
        <v>1</v>
      </c>
      <c r="AC26" s="1506">
        <f t="shared" si="5"/>
        <v>1</v>
      </c>
    </row>
    <row r="27" spans="1:29" s="113" customFormat="1" ht="15">
      <c r="A27" s="390"/>
      <c r="B27" s="410" t="s">
        <v>2418</v>
      </c>
      <c r="C27" s="2111"/>
      <c r="D27" s="421">
        <v>100</v>
      </c>
      <c r="E27" s="2111"/>
      <c r="F27" s="423">
        <f>SUMIF(90:90,E27,91:91)-SUMIF(90:90,C27,91:91)+100</f>
        <v>100</v>
      </c>
      <c r="G27" s="2111"/>
      <c r="H27" s="421">
        <f>SUMIF(90:90,G27,91:91)-SUMIF(90:90,C27,91:91)+100</f>
        <v>100</v>
      </c>
      <c r="I27" s="2111"/>
      <c r="J27" s="421">
        <f>SUMIF(90:90,I27,91:91)-SUMIF(90:90,C27,91:91)+100</f>
        <v>100</v>
      </c>
      <c r="K27" s="569"/>
      <c r="L27" s="2914"/>
      <c r="M27" s="2915"/>
      <c r="N27" s="2915"/>
      <c r="O27" s="2915"/>
      <c r="P27" s="3560"/>
      <c r="Q27" s="1496" t="str">
        <f t="shared" si="11"/>
        <v>人流量</v>
      </c>
      <c r="R27" s="710" t="s">
        <v>17</v>
      </c>
      <c r="S27" s="711">
        <f>F27</f>
        <v>100</v>
      </c>
      <c r="T27" s="710" t="s">
        <v>17</v>
      </c>
      <c r="U27" s="711">
        <f>H27</f>
        <v>100</v>
      </c>
      <c r="V27" s="710" t="s">
        <v>17</v>
      </c>
      <c r="W27" s="711">
        <f>J27</f>
        <v>100</v>
      </c>
      <c r="X27" s="712"/>
      <c r="Y27" s="3487"/>
      <c r="Z27" s="55" t="str">
        <f>Q27</f>
        <v>人流量</v>
      </c>
      <c r="AA27" s="1506">
        <f>D27/F27</f>
        <v>1</v>
      </c>
      <c r="AB27" s="1506">
        <f>D27/H27</f>
        <v>1</v>
      </c>
      <c r="AC27" s="1506">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560"/>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487"/>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560"/>
      <c r="Q29" s="1505">
        <f t="shared" si="11"/>
        <v>111</v>
      </c>
      <c r="R29" s="714" t="s">
        <v>17</v>
      </c>
      <c r="S29" s="715">
        <f t="shared" si="12"/>
        <v>100</v>
      </c>
      <c r="T29" s="714" t="s">
        <v>17</v>
      </c>
      <c r="U29" s="715">
        <f t="shared" si="13"/>
        <v>100</v>
      </c>
      <c r="V29" s="714" t="s">
        <v>17</v>
      </c>
      <c r="W29" s="715">
        <f t="shared" si="14"/>
        <v>100</v>
      </c>
      <c r="X29" s="1508"/>
      <c r="Y29" s="3487"/>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560"/>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560"/>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1506">
        <f t="shared" si="5"/>
        <v>1</v>
      </c>
    </row>
    <row r="32" spans="1:29" ht="15">
      <c r="A32" s="399" t="s">
        <v>2323</v>
      </c>
      <c r="B32" s="67" t="s">
        <v>2420</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19"/>
      <c r="M32" s="2913"/>
      <c r="N32" s="2913"/>
      <c r="O32" s="2913"/>
      <c r="P32" s="3555" t="s">
        <v>2325</v>
      </c>
      <c r="Q32" s="1505" t="str">
        <f t="shared" si="11"/>
        <v>商业类型</v>
      </c>
      <c r="R32" s="714" t="s">
        <v>17</v>
      </c>
      <c r="S32" s="715">
        <f t="shared" si="12"/>
        <v>100</v>
      </c>
      <c r="T32" s="714" t="s">
        <v>17</v>
      </c>
      <c r="U32" s="715">
        <f t="shared" si="13"/>
        <v>100</v>
      </c>
      <c r="V32" s="714" t="s">
        <v>17</v>
      </c>
      <c r="W32" s="715">
        <f t="shared" si="14"/>
        <v>100</v>
      </c>
      <c r="X32" s="1508"/>
      <c r="Y32" s="3489" t="s">
        <v>2325</v>
      </c>
      <c r="Z32" s="1509" t="str">
        <f t="shared" si="15"/>
        <v>商业类型</v>
      </c>
      <c r="AA32" s="1506">
        <f t="shared" si="3"/>
        <v>1</v>
      </c>
      <c r="AB32" s="1506">
        <f t="shared" si="4"/>
        <v>1</v>
      </c>
      <c r="AC32" s="1506">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556"/>
      <c r="Q33" s="716" t="str">
        <f t="shared" si="11"/>
        <v>项目建筑规模</v>
      </c>
      <c r="R33" s="717" t="s">
        <v>17</v>
      </c>
      <c r="S33" s="718" t="e">
        <f t="shared" si="12"/>
        <v>#N/A</v>
      </c>
      <c r="T33" s="717" t="s">
        <v>17</v>
      </c>
      <c r="U33" s="718" t="e">
        <f t="shared" si="13"/>
        <v>#N/A</v>
      </c>
      <c r="V33" s="717" t="s">
        <v>17</v>
      </c>
      <c r="W33" s="718" t="e">
        <f t="shared" si="14"/>
        <v>#N/A</v>
      </c>
      <c r="X33" s="719"/>
      <c r="Y33" s="3489"/>
      <c r="Z33" s="720" t="str">
        <f t="shared" si="15"/>
        <v>项目建筑规模</v>
      </c>
      <c r="AA33" s="1506" t="e">
        <f t="shared" si="3"/>
        <v>#N/A</v>
      </c>
      <c r="AB33" s="1506" t="e">
        <f t="shared" si="4"/>
        <v>#N/A</v>
      </c>
      <c r="AC33" s="1506" t="e">
        <f t="shared" si="5"/>
        <v>#N/A</v>
      </c>
    </row>
    <row r="34" spans="1:29" ht="15">
      <c r="A34" s="431"/>
      <c r="B34" s="381" t="s">
        <v>2327</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19"/>
      <c r="M34" s="2913"/>
      <c r="N34" s="2913"/>
      <c r="O34" s="2913"/>
      <c r="P34" s="3556"/>
      <c r="Q34" s="1505" t="str">
        <f t="shared" si="11"/>
        <v>建筑结构</v>
      </c>
      <c r="R34" s="714" t="s">
        <v>17</v>
      </c>
      <c r="S34" s="715">
        <f t="shared" si="12"/>
        <v>100</v>
      </c>
      <c r="T34" s="714" t="s">
        <v>17</v>
      </c>
      <c r="U34" s="715">
        <f t="shared" si="13"/>
        <v>100</v>
      </c>
      <c r="V34" s="714" t="s">
        <v>17</v>
      </c>
      <c r="W34" s="715">
        <f t="shared" si="14"/>
        <v>100</v>
      </c>
      <c r="X34" s="1508"/>
      <c r="Y34" s="3489"/>
      <c r="Z34" s="1509" t="str">
        <f t="shared" si="15"/>
        <v>建筑结构</v>
      </c>
      <c r="AA34" s="1506">
        <f t="shared" si="3"/>
        <v>1</v>
      </c>
      <c r="AB34" s="1506">
        <f t="shared" si="4"/>
        <v>1</v>
      </c>
      <c r="AC34" s="1506">
        <f t="shared" si="5"/>
        <v>1</v>
      </c>
    </row>
    <row r="35" spans="1:29" ht="15">
      <c r="A35" s="431"/>
      <c r="B35" s="381" t="s">
        <v>2421</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19"/>
      <c r="M35" s="2913"/>
      <c r="N35" s="2913"/>
      <c r="O35" s="2913"/>
      <c r="P35" s="3556"/>
      <c r="Q35" s="1505" t="str">
        <f t="shared" si="11"/>
        <v>公共部分装修</v>
      </c>
      <c r="R35" s="714" t="s">
        <v>17</v>
      </c>
      <c r="S35" s="715">
        <f t="shared" si="12"/>
        <v>100</v>
      </c>
      <c r="T35" s="714" t="s">
        <v>17</v>
      </c>
      <c r="U35" s="715">
        <f t="shared" si="13"/>
        <v>100</v>
      </c>
      <c r="V35" s="714" t="s">
        <v>17</v>
      </c>
      <c r="W35" s="715">
        <f t="shared" si="14"/>
        <v>100</v>
      </c>
      <c r="X35" s="1508"/>
      <c r="Y35" s="3489"/>
      <c r="Z35" s="1509" t="str">
        <f t="shared" si="15"/>
        <v>公共部分装修</v>
      </c>
      <c r="AA35" s="1506">
        <f t="shared" si="3"/>
        <v>1</v>
      </c>
      <c r="AB35" s="1506">
        <f t="shared" si="4"/>
        <v>1</v>
      </c>
      <c r="AC35" s="1506">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556"/>
      <c r="Q36" s="1505" t="str">
        <f t="shared" si="11"/>
        <v>成新度</v>
      </c>
      <c r="R36" s="714" t="s">
        <v>17</v>
      </c>
      <c r="S36" s="715" t="e">
        <f t="shared" si="12"/>
        <v>#N/A</v>
      </c>
      <c r="T36" s="714" t="s">
        <v>17</v>
      </c>
      <c r="U36" s="715" t="e">
        <f t="shared" si="13"/>
        <v>#N/A</v>
      </c>
      <c r="V36" s="714" t="s">
        <v>17</v>
      </c>
      <c r="W36" s="715" t="e">
        <f t="shared" si="14"/>
        <v>#N/A</v>
      </c>
      <c r="X36" s="1508"/>
      <c r="Y36" s="3489"/>
      <c r="Z36" s="1509" t="str">
        <f t="shared" si="15"/>
        <v>成新度</v>
      </c>
      <c r="AA36" s="1506" t="e">
        <f t="shared" si="3"/>
        <v>#N/A</v>
      </c>
      <c r="AB36" s="1506" t="e">
        <f t="shared" si="4"/>
        <v>#N/A</v>
      </c>
      <c r="AC36" s="1506" t="e">
        <f t="shared" si="5"/>
        <v>#N/A</v>
      </c>
    </row>
    <row r="37" spans="1:29" s="113" customFormat="1" ht="15">
      <c r="A37" s="432"/>
      <c r="B37" s="381" t="s">
        <v>2423</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4"/>
      <c r="M37" s="2915"/>
      <c r="N37" s="2915"/>
      <c r="O37" s="2915"/>
      <c r="P37" s="3556"/>
      <c r="Q37" s="1496" t="str">
        <f t="shared" si="11"/>
        <v>市政基础设施</v>
      </c>
      <c r="R37" s="710" t="s">
        <v>17</v>
      </c>
      <c r="S37" s="711">
        <f t="shared" si="12"/>
        <v>100</v>
      </c>
      <c r="T37" s="710" t="s">
        <v>17</v>
      </c>
      <c r="U37" s="711">
        <f t="shared" si="13"/>
        <v>100</v>
      </c>
      <c r="V37" s="710" t="s">
        <v>17</v>
      </c>
      <c r="W37" s="711">
        <f t="shared" si="14"/>
        <v>100</v>
      </c>
      <c r="X37" s="712"/>
      <c r="Y37" s="3489"/>
      <c r="Z37" s="55" t="str">
        <f t="shared" si="15"/>
        <v>市政基础设施</v>
      </c>
      <c r="AA37" s="713">
        <f t="shared" si="3"/>
        <v>1</v>
      </c>
      <c r="AB37" s="713">
        <f t="shared" si="4"/>
        <v>1</v>
      </c>
      <c r="AC37" s="713">
        <f t="shared" si="5"/>
        <v>1</v>
      </c>
    </row>
    <row r="38" spans="1:29" ht="15">
      <c r="A38" s="431"/>
      <c r="B38" s="381" t="s">
        <v>2424</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19"/>
      <c r="M38" s="2913"/>
      <c r="N38" s="2913"/>
      <c r="O38" s="2913"/>
      <c r="P38" s="3556" t="s">
        <v>2325</v>
      </c>
      <c r="Q38" s="1505" t="str">
        <f t="shared" si="11"/>
        <v>业态</v>
      </c>
      <c r="R38" s="714" t="s">
        <v>17</v>
      </c>
      <c r="S38" s="715">
        <f t="shared" si="12"/>
        <v>100</v>
      </c>
      <c r="T38" s="714" t="s">
        <v>17</v>
      </c>
      <c r="U38" s="715">
        <f t="shared" si="13"/>
        <v>100</v>
      </c>
      <c r="V38" s="714" t="s">
        <v>17</v>
      </c>
      <c r="W38" s="715">
        <f t="shared" si="14"/>
        <v>100</v>
      </c>
      <c r="X38" s="1508"/>
      <c r="Y38" s="3489" t="s">
        <v>2325</v>
      </c>
      <c r="Z38" s="1509" t="str">
        <f t="shared" si="15"/>
        <v>业态</v>
      </c>
      <c r="AA38" s="1506">
        <f t="shared" si="3"/>
        <v>1</v>
      </c>
      <c r="AB38" s="1506">
        <f t="shared" si="4"/>
        <v>1</v>
      </c>
      <c r="AC38" s="1506">
        <f t="shared" si="5"/>
        <v>1</v>
      </c>
    </row>
    <row r="39" spans="1:29" ht="15">
      <c r="A39" s="431"/>
      <c r="B39" s="381" t="s">
        <v>2425</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19"/>
      <c r="M39" s="2913"/>
      <c r="N39" s="2913"/>
      <c r="O39" s="2913"/>
      <c r="P39" s="3556"/>
      <c r="Q39" s="1505" t="str">
        <f t="shared" si="11"/>
        <v>层高</v>
      </c>
      <c r="R39" s="714" t="s">
        <v>17</v>
      </c>
      <c r="S39" s="715">
        <f t="shared" si="12"/>
        <v>100</v>
      </c>
      <c r="T39" s="714" t="s">
        <v>17</v>
      </c>
      <c r="U39" s="715">
        <f t="shared" si="13"/>
        <v>100</v>
      </c>
      <c r="V39" s="714" t="s">
        <v>17</v>
      </c>
      <c r="W39" s="715">
        <f t="shared" si="14"/>
        <v>100</v>
      </c>
      <c r="X39" s="1508"/>
      <c r="Y39" s="3489"/>
      <c r="Z39" s="1509" t="str">
        <f t="shared" si="15"/>
        <v>层高</v>
      </c>
      <c r="AA39" s="1506">
        <f t="shared" si="3"/>
        <v>1</v>
      </c>
      <c r="AB39" s="1506">
        <f t="shared" si="4"/>
        <v>1</v>
      </c>
      <c r="AC39" s="1506">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556"/>
      <c r="Q40" s="1505" t="str">
        <f t="shared" si="11"/>
        <v>单套建筑面积</v>
      </c>
      <c r="R40" s="714" t="s">
        <v>17</v>
      </c>
      <c r="S40" s="715">
        <f t="shared" si="12"/>
        <v>100</v>
      </c>
      <c r="T40" s="714" t="s">
        <v>17</v>
      </c>
      <c r="U40" s="715">
        <f t="shared" si="13"/>
        <v>100</v>
      </c>
      <c r="V40" s="714" t="s">
        <v>17</v>
      </c>
      <c r="W40" s="715">
        <f t="shared" si="14"/>
        <v>100</v>
      </c>
      <c r="X40" s="1508"/>
      <c r="Y40" s="3489"/>
      <c r="Z40" s="1509" t="str">
        <f t="shared" si="15"/>
        <v>单套建筑面积</v>
      </c>
      <c r="AA40" s="1506">
        <f t="shared" si="3"/>
        <v>1</v>
      </c>
      <c r="AB40" s="1506">
        <f t="shared" si="4"/>
        <v>1</v>
      </c>
      <c r="AC40" s="1506">
        <f t="shared" si="5"/>
        <v>1</v>
      </c>
    </row>
    <row r="41" spans="1:29" s="430" customFormat="1" ht="15">
      <c r="A41" s="427"/>
      <c r="B41" s="1507"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556"/>
      <c r="Q41" s="716" t="str">
        <f t="shared" si="11"/>
        <v>进深比</v>
      </c>
      <c r="R41" s="717" t="s">
        <v>17</v>
      </c>
      <c r="S41" s="718">
        <f t="shared" si="12"/>
        <v>100</v>
      </c>
      <c r="T41" s="717" t="s">
        <v>17</v>
      </c>
      <c r="U41" s="718">
        <f t="shared" si="13"/>
        <v>100</v>
      </c>
      <c r="V41" s="717" t="s">
        <v>17</v>
      </c>
      <c r="W41" s="718">
        <f t="shared" si="14"/>
        <v>100</v>
      </c>
      <c r="X41" s="719"/>
      <c r="Y41" s="3489"/>
      <c r="Z41" s="720" t="str">
        <f t="shared" si="15"/>
        <v>进深比</v>
      </c>
      <c r="AA41" s="1506">
        <f t="shared" si="3"/>
        <v>1</v>
      </c>
      <c r="AB41" s="1506">
        <f t="shared" si="4"/>
        <v>1</v>
      </c>
      <c r="AC41" s="1506">
        <f t="shared" si="5"/>
        <v>1</v>
      </c>
    </row>
    <row r="42" spans="1:29" ht="15">
      <c r="A42" s="431"/>
      <c r="B42" s="381" t="s">
        <v>2428</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19"/>
      <c r="M42" s="2913"/>
      <c r="N42" s="2913"/>
      <c r="O42" s="2913"/>
      <c r="P42" s="3556"/>
      <c r="Q42" s="1505" t="str">
        <f t="shared" si="11"/>
        <v>内部装修</v>
      </c>
      <c r="R42" s="714" t="s">
        <v>17</v>
      </c>
      <c r="S42" s="715">
        <f t="shared" si="12"/>
        <v>100</v>
      </c>
      <c r="T42" s="714" t="s">
        <v>17</v>
      </c>
      <c r="U42" s="715">
        <f t="shared" si="13"/>
        <v>100</v>
      </c>
      <c r="V42" s="714" t="s">
        <v>17</v>
      </c>
      <c r="W42" s="715">
        <f t="shared" si="14"/>
        <v>100</v>
      </c>
      <c r="X42" s="1508"/>
      <c r="Y42" s="3489"/>
      <c r="Z42" s="1509" t="str">
        <f t="shared" si="15"/>
        <v>内部装修</v>
      </c>
      <c r="AA42" s="1506">
        <f t="shared" si="3"/>
        <v>1</v>
      </c>
      <c r="AB42" s="1506">
        <f t="shared" si="4"/>
        <v>1</v>
      </c>
      <c r="AC42" s="1506">
        <f t="shared" si="5"/>
        <v>1</v>
      </c>
    </row>
    <row r="43" spans="1:29" ht="15">
      <c r="A43" s="431"/>
      <c r="B43" s="381" t="s">
        <v>2336</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19"/>
      <c r="M43" s="2913"/>
      <c r="N43" s="2913"/>
      <c r="O43" s="2913"/>
      <c r="P43" s="3556"/>
      <c r="Q43" s="1505" t="str">
        <f t="shared" si="11"/>
        <v>内部装修维护情况</v>
      </c>
      <c r="R43" s="714" t="s">
        <v>17</v>
      </c>
      <c r="S43" s="715">
        <f t="shared" si="12"/>
        <v>100</v>
      </c>
      <c r="T43" s="714" t="s">
        <v>17</v>
      </c>
      <c r="U43" s="715">
        <f t="shared" si="13"/>
        <v>100</v>
      </c>
      <c r="V43" s="714" t="s">
        <v>17</v>
      </c>
      <c r="W43" s="715">
        <f t="shared" si="14"/>
        <v>100</v>
      </c>
      <c r="X43" s="1508"/>
      <c r="Y43" s="3489"/>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556"/>
      <c r="Q44" s="1496">
        <f t="shared" si="11"/>
        <v>111</v>
      </c>
      <c r="R44" s="710" t="s">
        <v>17</v>
      </c>
      <c r="S44" s="711">
        <f t="shared" si="12"/>
        <v>100</v>
      </c>
      <c r="T44" s="710" t="s">
        <v>17</v>
      </c>
      <c r="U44" s="711">
        <f t="shared" si="13"/>
        <v>100</v>
      </c>
      <c r="V44" s="710" t="s">
        <v>17</v>
      </c>
      <c r="W44" s="711">
        <f t="shared" si="14"/>
        <v>100</v>
      </c>
      <c r="X44" s="712"/>
      <c r="Y44" s="348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556"/>
      <c r="Q45" s="1505">
        <f t="shared" si="11"/>
        <v>111</v>
      </c>
      <c r="R45" s="714" t="s">
        <v>17</v>
      </c>
      <c r="S45" s="715">
        <f t="shared" si="12"/>
        <v>100</v>
      </c>
      <c r="T45" s="714" t="s">
        <v>17</v>
      </c>
      <c r="U45" s="715">
        <f t="shared" si="13"/>
        <v>100</v>
      </c>
      <c r="V45" s="714" t="s">
        <v>17</v>
      </c>
      <c r="W45" s="715">
        <f t="shared" si="14"/>
        <v>100</v>
      </c>
      <c r="X45" s="1508"/>
      <c r="Y45" s="3489"/>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557"/>
      <c r="Q46" s="1505">
        <f t="shared" si="11"/>
        <v>111</v>
      </c>
      <c r="R46" s="714" t="s">
        <v>17</v>
      </c>
      <c r="S46" s="715">
        <f t="shared" si="12"/>
        <v>100</v>
      </c>
      <c r="T46" s="714" t="s">
        <v>17</v>
      </c>
      <c r="U46" s="715">
        <f t="shared" si="13"/>
        <v>100</v>
      </c>
      <c r="V46" s="714" t="s">
        <v>17</v>
      </c>
      <c r="W46" s="715">
        <f t="shared" si="14"/>
        <v>100</v>
      </c>
      <c r="X46" s="1508"/>
      <c r="Y46" s="3558"/>
      <c r="Z46" s="1509">
        <f t="shared" si="15"/>
        <v>111</v>
      </c>
      <c r="AA46" s="1506">
        <f t="shared" si="3"/>
        <v>1</v>
      </c>
      <c r="AB46" s="1506">
        <f t="shared" si="4"/>
        <v>1</v>
      </c>
      <c r="AC46" s="1506">
        <f t="shared" si="5"/>
        <v>1</v>
      </c>
    </row>
    <row r="47" spans="1:29" ht="15">
      <c r="A47" s="438" t="s">
        <v>2337</v>
      </c>
      <c r="B47" s="439"/>
      <c r="C47" s="1288" t="s">
        <v>1</v>
      </c>
      <c r="D47" s="1289"/>
      <c r="E47" s="1290"/>
      <c r="F47" s="1291"/>
      <c r="G47" s="1292"/>
      <c r="H47" s="1293"/>
      <c r="I47" s="1290"/>
      <c r="J47" s="1293"/>
      <c r="K47" s="723"/>
      <c r="L47" s="2921"/>
      <c r="M47" s="2922"/>
      <c r="N47" s="2913"/>
      <c r="O47" s="2922"/>
      <c r="P47" s="3483" t="str">
        <f>A47</f>
        <v>成交单价（元/平方米）</v>
      </c>
      <c r="Q47" s="3483"/>
      <c r="R47" s="3485">
        <f>E47</f>
        <v>0</v>
      </c>
      <c r="S47" s="3485"/>
      <c r="T47" s="3485">
        <f>G47</f>
        <v>0</v>
      </c>
      <c r="U47" s="3485"/>
      <c r="V47" s="3485">
        <f>I47</f>
        <v>0</v>
      </c>
      <c r="W47" s="3485"/>
      <c r="X47" s="699"/>
      <c r="Y47" s="721"/>
      <c r="Z47" s="699"/>
      <c r="AA47" s="699"/>
      <c r="AB47" s="699"/>
      <c r="AC47" s="699"/>
    </row>
    <row r="48" spans="1:29" ht="15.75" thickBot="1">
      <c r="A48" s="445" t="s">
        <v>2429</v>
      </c>
      <c r="B48" s="446"/>
      <c r="C48" s="1294" t="e">
        <f>R49</f>
        <v>#DIV/0!</v>
      </c>
      <c r="D48" s="2507" t="s">
        <v>2817</v>
      </c>
      <c r="E48" s="1295" t="e">
        <f>R48</f>
        <v>#DIV/0!</v>
      </c>
      <c r="F48" s="2508"/>
      <c r="G48" s="1294" t="e">
        <f>T48</f>
        <v>#DIV/0!</v>
      </c>
      <c r="H48" s="2508"/>
      <c r="I48" s="1295" t="e">
        <f>V48</f>
        <v>#DIV/0!</v>
      </c>
      <c r="J48" s="2508"/>
      <c r="K48" s="2510">
        <f>F48+H48+J48</f>
        <v>0</v>
      </c>
      <c r="L48" s="2921"/>
      <c r="M48" s="2922"/>
      <c r="N48" s="2913"/>
      <c r="O48" s="2922"/>
      <c r="P48" s="3483" t="str">
        <f>A48</f>
        <v>比较价值（元/平方米）</v>
      </c>
      <c r="Q48" s="348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1"/>
      <c r="M49" s="2922"/>
      <c r="N49" s="2913"/>
      <c r="O49" s="2922"/>
      <c r="P49" s="3480" t="str">
        <f>A49</f>
        <v>估价对象XX用房的比较价值（楼面单价，元/平方米）</v>
      </c>
      <c r="Q49" s="3481"/>
      <c r="R49" s="3553" t="e">
        <f>IF(F1="售价",ROUND(IF(D48="简单平均",AVERAGE(R48:V48),R48*F48+T48*H48+V48*J48),0),ROUND(IF(D48="简单平均",AVERAGE(R48:V48),R48*F48+T48*H48+V48*J48),1))</f>
        <v>#DIV/0!</v>
      </c>
      <c r="S49" s="3553"/>
      <c r="T49" s="3553"/>
      <c r="U49" s="3553"/>
      <c r="V49" s="3553"/>
      <c r="W49" s="355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2434</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2308</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7"/>
      <c r="Q58" s="2938"/>
      <c r="R58" s="2938"/>
      <c r="S58" s="2938"/>
      <c r="T58" s="2938"/>
      <c r="U58" s="2938"/>
      <c r="V58" s="2938"/>
      <c r="W58" s="2938"/>
      <c r="X58" s="2938"/>
      <c r="Y58" s="2938"/>
      <c r="Z58" s="2938"/>
      <c r="AA58" s="2938"/>
      <c r="AB58" s="2938"/>
      <c r="AC58" s="2938"/>
    </row>
    <row r="59" spans="1:29" s="113" customFormat="1" ht="15">
      <c r="A59" s="466"/>
      <c r="B59" s="467"/>
      <c r="C59" s="1316">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2345</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2310</v>
      </c>
      <c r="B61" s="467"/>
      <c r="C61" s="479" t="s">
        <v>2412</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2348</v>
      </c>
      <c r="B63" s="485" t="s">
        <v>2314</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2319</v>
      </c>
      <c r="B76" s="485" t="s">
        <v>2356</v>
      </c>
      <c r="C76" s="530" t="s">
        <v>2357</v>
      </c>
      <c r="D76" s="530" t="s">
        <v>2358</v>
      </c>
      <c r="E76" s="530" t="s">
        <v>2359</v>
      </c>
      <c r="F76" s="530" t="s">
        <v>2360</v>
      </c>
      <c r="G76" s="530" t="s">
        <v>2361</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2362</v>
      </c>
      <c r="C78" s="535" t="s">
        <v>2357</v>
      </c>
      <c r="D78" s="535" t="s">
        <v>2358</v>
      </c>
      <c r="E78" s="535" t="s">
        <v>2359</v>
      </c>
      <c r="F78" s="535" t="s">
        <v>2360</v>
      </c>
      <c r="G78" s="535" t="s">
        <v>2361</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2363</v>
      </c>
      <c r="C80" s="535" t="s">
        <v>2357</v>
      </c>
      <c r="D80" s="535" t="s">
        <v>2358</v>
      </c>
      <c r="E80" s="535" t="s">
        <v>2359</v>
      </c>
      <c r="F80" s="535" t="s">
        <v>2360</v>
      </c>
      <c r="G80" s="535" t="s">
        <v>2361</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2415</v>
      </c>
      <c r="C82" s="616" t="s">
        <v>2435</v>
      </c>
      <c r="D82" s="616" t="s">
        <v>2436</v>
      </c>
      <c r="E82" s="616" t="s">
        <v>2437</v>
      </c>
      <c r="F82" s="616" t="s">
        <v>2438</v>
      </c>
      <c r="G82" s="616" t="s">
        <v>2439</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2369</v>
      </c>
      <c r="C84" s="535" t="s">
        <v>2357</v>
      </c>
      <c r="D84" s="535" t="s">
        <v>2358</v>
      </c>
      <c r="E84" s="535" t="s">
        <v>2359</v>
      </c>
      <c r="F84" s="535" t="s">
        <v>2360</v>
      </c>
      <c r="G84" s="535" t="s">
        <v>2361</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2440</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2"/>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3"/>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2323</v>
      </c>
      <c r="B100" s="485" t="s">
        <v>2441</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2374</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2376</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2378</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2442</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2443</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2444</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2445</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2380</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3"/>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2446</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IF(C2="——",ROUND(C50*D3/10000,0),ROUND(C50*D3/10000,0)-D2)</f>
        <v>#DIV/0!</v>
      </c>
      <c r="C2" s="2036"/>
      <c r="D2" s="1247" t="e">
        <f ca="1">SUMIF(INDIRECT("'"&amp;F2&amp;"'"&amp;"!A:A"),"承租人权益价值",INDIRECT("'"&amp;F2&amp;"'"&amp;"!c:c"))</f>
        <v>#REF!</v>
      </c>
      <c r="E2" s="2037" t="s">
        <v>2088</v>
      </c>
      <c r="F2" s="2038"/>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4052</v>
      </c>
      <c r="E3" s="2109"/>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567" t="s">
        <v>2411</v>
      </c>
      <c r="Q4" s="3568"/>
      <c r="R4" s="3562" t="s">
        <v>2407</v>
      </c>
      <c r="S4" s="3563"/>
      <c r="T4" s="3562" t="s">
        <v>2408</v>
      </c>
      <c r="U4" s="3563"/>
      <c r="V4" s="3571" t="s">
        <v>2409</v>
      </c>
      <c r="W4" s="3571"/>
      <c r="X4" s="2113"/>
      <c r="Y4" s="3562" t="s">
        <v>2411</v>
      </c>
      <c r="Z4" s="3563"/>
      <c r="AA4" s="3561" t="s">
        <v>2407</v>
      </c>
      <c r="AB4" s="3561" t="s">
        <v>2408</v>
      </c>
      <c r="AC4" s="3564" t="s">
        <v>2409</v>
      </c>
    </row>
    <row r="5" spans="1:29" ht="15">
      <c r="A5" s="364"/>
      <c r="B5" s="365"/>
      <c r="C5" s="3514" t="s">
        <v>2302</v>
      </c>
      <c r="D5" s="3515"/>
      <c r="E5" s="3503" t="s">
        <v>2303</v>
      </c>
      <c r="F5" s="3504"/>
      <c r="G5" s="3514" t="s">
        <v>2304</v>
      </c>
      <c r="H5" s="3515"/>
      <c r="I5" s="3514" t="s">
        <v>2305</v>
      </c>
      <c r="J5" s="3515"/>
      <c r="K5" s="567"/>
      <c r="L5" s="2912"/>
      <c r="M5" s="2913"/>
      <c r="N5" s="2913"/>
      <c r="O5" s="2913"/>
      <c r="P5" s="3569"/>
      <c r="Q5" s="3500"/>
      <c r="R5" s="3512"/>
      <c r="S5" s="3513"/>
      <c r="T5" s="3512"/>
      <c r="U5" s="3513"/>
      <c r="V5" s="3485"/>
      <c r="W5" s="3485"/>
      <c r="X5" s="1508"/>
      <c r="Y5" s="3512"/>
      <c r="Z5" s="3513"/>
      <c r="AA5" s="3491"/>
      <c r="AB5" s="3491"/>
      <c r="AC5" s="3565"/>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70"/>
      <c r="Q6" s="3502"/>
      <c r="R6" s="3512"/>
      <c r="S6" s="3513"/>
      <c r="T6" s="3521"/>
      <c r="U6" s="3522"/>
      <c r="V6" s="3485"/>
      <c r="W6" s="3485"/>
      <c r="X6" s="1508"/>
      <c r="Y6" s="3521"/>
      <c r="Z6" s="3522"/>
      <c r="AA6" s="3492"/>
      <c r="AB6" s="3492"/>
      <c r="AC6" s="3566"/>
    </row>
    <row r="7" spans="1:29" s="113" customFormat="1" ht="15.75" thickBot="1">
      <c r="A7" s="368" t="s">
        <v>2308</v>
      </c>
      <c r="B7" s="369"/>
      <c r="C7" s="370">
        <f>'数据-取费表'!B2</f>
        <v>44607</v>
      </c>
      <c r="D7" s="371">
        <v>100</v>
      </c>
      <c r="E7" s="372"/>
      <c r="F7" s="373">
        <f>SUMIF(59:59,YEAR(E7)&amp;"-"&amp;MONTH(E7),60:60)</f>
        <v>0</v>
      </c>
      <c r="G7" s="372"/>
      <c r="H7" s="371">
        <f>SUMIF(59:59,YEAR(G7)&amp;"-"&amp;MONTH(G7),60:60)</f>
        <v>0</v>
      </c>
      <c r="I7" s="372"/>
      <c r="J7" s="371">
        <f>SUMIF(59:59,YEAR(I7)&amp;"-"&amp;MONTH(I7),60:60)</f>
        <v>0</v>
      </c>
      <c r="K7" s="568"/>
      <c r="L7" s="2914"/>
      <c r="M7" s="2915"/>
      <c r="N7" s="2915"/>
      <c r="O7" s="2915"/>
      <c r="P7" s="3572"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2114"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572" t="s">
        <v>2312</v>
      </c>
      <c r="Q8" s="3506"/>
      <c r="R8" s="710" t="s">
        <v>17</v>
      </c>
      <c r="S8" s="711">
        <f t="shared" si="0"/>
        <v>0</v>
      </c>
      <c r="T8" s="710" t="s">
        <v>17</v>
      </c>
      <c r="U8" s="711">
        <f t="shared" si="1"/>
        <v>0</v>
      </c>
      <c r="V8" s="710" t="s">
        <v>17</v>
      </c>
      <c r="W8" s="711">
        <f t="shared" si="2"/>
        <v>0</v>
      </c>
      <c r="X8" s="712"/>
      <c r="Y8" s="3505" t="s">
        <v>2312</v>
      </c>
      <c r="Z8" s="3506"/>
      <c r="AA8" s="713" t="e">
        <f t="shared" ref="AA8:AA47" si="3">D8/F8</f>
        <v>#DIV/0!</v>
      </c>
      <c r="AB8" s="713" t="e">
        <f t="shared" ref="AB8:AB47" si="4">D8/H8</f>
        <v>#DIV/0!</v>
      </c>
      <c r="AC8" s="2114"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508"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2114">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508"/>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2114">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508"/>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4"/>
      <c r="M12" s="2915"/>
      <c r="N12" s="2915"/>
      <c r="O12" s="2915"/>
      <c r="P12" s="3508"/>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19"/>
      <c r="M13" s="2913"/>
      <c r="N13" s="2913"/>
      <c r="O13" s="2913"/>
      <c r="P13" s="3508"/>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19"/>
      <c r="M14" s="2913"/>
      <c r="N14" s="2913"/>
      <c r="O14" s="2913"/>
      <c r="P14" s="3508"/>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2114">
        <f t="shared" si="5"/>
        <v>1</v>
      </c>
    </row>
    <row r="15" spans="1:29" ht="71.25">
      <c r="A15" s="399" t="s">
        <v>2319</v>
      </c>
      <c r="B15" s="585" t="s">
        <v>2447</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559" t="s">
        <v>2320</v>
      </c>
      <c r="Q15" s="1505" t="str">
        <f t="shared" si="6"/>
        <v>办公集聚程度</v>
      </c>
      <c r="R15" s="714" t="s">
        <v>17</v>
      </c>
      <c r="S15" s="715">
        <f t="shared" si="0"/>
        <v>100</v>
      </c>
      <c r="T15" s="714" t="s">
        <v>17</v>
      </c>
      <c r="U15" s="715">
        <f t="shared" si="1"/>
        <v>100</v>
      </c>
      <c r="V15" s="714" t="s">
        <v>17</v>
      </c>
      <c r="W15" s="715">
        <f t="shared" si="2"/>
        <v>100</v>
      </c>
      <c r="X15" s="1508"/>
      <c r="Y15" s="3486" t="s">
        <v>2320</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19"/>
      <c r="M16" s="2913"/>
      <c r="N16" s="2913"/>
      <c r="O16" s="2913"/>
      <c r="P16" s="3560"/>
      <c r="Q16" s="1505"/>
      <c r="R16" s="714"/>
      <c r="S16" s="715"/>
      <c r="T16" s="714"/>
      <c r="U16" s="715"/>
      <c r="V16" s="714"/>
      <c r="W16" s="715"/>
      <c r="X16" s="1508"/>
      <c r="Y16" s="3487"/>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560"/>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19"/>
      <c r="M18" s="2913"/>
      <c r="N18" s="2913"/>
      <c r="O18" s="2913"/>
      <c r="P18" s="3560"/>
      <c r="Q18" s="1505"/>
      <c r="R18" s="714"/>
      <c r="S18" s="715"/>
      <c r="T18" s="714"/>
      <c r="U18" s="715"/>
      <c r="V18" s="714"/>
      <c r="W18" s="715"/>
      <c r="X18" s="1508"/>
      <c r="Y18" s="3487"/>
      <c r="Z18" s="1509"/>
      <c r="AA18" s="1506">
        <v>1</v>
      </c>
      <c r="AB18" s="1506">
        <v>1</v>
      </c>
      <c r="AC18" s="2117">
        <v>1</v>
      </c>
    </row>
    <row r="19" spans="1:29" ht="42.75">
      <c r="A19" s="387"/>
      <c r="B19" s="587" t="s">
        <v>2448</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560"/>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19"/>
      <c r="M20" s="2913"/>
      <c r="N20" s="2913"/>
      <c r="O20" s="2913"/>
      <c r="P20" s="3560"/>
      <c r="Q20" s="1505"/>
      <c r="R20" s="714"/>
      <c r="S20" s="715"/>
      <c r="T20" s="714"/>
      <c r="U20" s="715"/>
      <c r="V20" s="714"/>
      <c r="W20" s="715"/>
      <c r="X20" s="1508"/>
      <c r="Y20" s="3487"/>
      <c r="Z20" s="1509"/>
      <c r="AA20" s="1506">
        <v>1</v>
      </c>
      <c r="AB20" s="1506">
        <v>1</v>
      </c>
      <c r="AC20" s="2117">
        <v>1</v>
      </c>
    </row>
    <row r="21" spans="1:29" ht="28.5">
      <c r="A21" s="387"/>
      <c r="B21" s="589" t="s">
        <v>2449</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560"/>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19"/>
      <c r="M22" s="2913"/>
      <c r="N22" s="2913"/>
      <c r="O22" s="2913"/>
      <c r="P22" s="3560"/>
      <c r="Q22" s="1505"/>
      <c r="R22" s="714"/>
      <c r="S22" s="715"/>
      <c r="T22" s="714"/>
      <c r="U22" s="715"/>
      <c r="V22" s="714"/>
      <c r="W22" s="715"/>
      <c r="X22" s="1508"/>
      <c r="Y22" s="3487"/>
      <c r="Z22" s="1509"/>
      <c r="AA22" s="1506">
        <v>1</v>
      </c>
      <c r="AB22" s="1506">
        <v>1</v>
      </c>
      <c r="AC22" s="2117">
        <v>1</v>
      </c>
    </row>
    <row r="23" spans="1:29" ht="42.75">
      <c r="A23" s="387"/>
      <c r="B23" s="587" t="s">
        <v>2450</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560"/>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19"/>
      <c r="M24" s="2913"/>
      <c r="N24" s="2913"/>
      <c r="O24" s="2913"/>
      <c r="P24" s="3560"/>
      <c r="Q24" s="1505"/>
      <c r="R24" s="714"/>
      <c r="S24" s="715"/>
      <c r="T24" s="714"/>
      <c r="U24" s="715"/>
      <c r="V24" s="714"/>
      <c r="W24" s="715"/>
      <c r="X24" s="1508"/>
      <c r="Y24" s="3487"/>
      <c r="Z24" s="1509"/>
      <c r="AA24" s="1506">
        <v>1</v>
      </c>
      <c r="AB24" s="1506">
        <v>1</v>
      </c>
      <c r="AC24" s="2117">
        <v>1</v>
      </c>
    </row>
    <row r="25" spans="1:29" ht="27">
      <c r="A25" s="364"/>
      <c r="B25" s="587" t="s">
        <v>2451</v>
      </c>
      <c r="C25" s="2063"/>
      <c r="D25" s="394">
        <v>100</v>
      </c>
      <c r="E25" s="393"/>
      <c r="F25" s="394">
        <f>SUMIF(87:87,E26,88:88)-SUMIF(87:87,C26,88:88)+100</f>
        <v>100</v>
      </c>
      <c r="G25" s="2063"/>
      <c r="H25" s="394">
        <f>SUMIF(87:87,G26,88:88)-SUMIF(87:87,C26,88:88)+100</f>
        <v>100</v>
      </c>
      <c r="I25" s="393"/>
      <c r="J25" s="394">
        <f>SUMIF(87:87,I26,88:88)-SUMIF(87:87,C26,88:88)+100</f>
        <v>100</v>
      </c>
      <c r="K25" s="571"/>
      <c r="L25" s="2919"/>
      <c r="M25" s="2913"/>
      <c r="N25" s="2913"/>
      <c r="O25" s="2913"/>
      <c r="P25" s="3560"/>
      <c r="Q25" s="1505" t="str">
        <f>B25</f>
        <v>毗邻道路的类型与等级</v>
      </c>
      <c r="R25" s="714" t="s">
        <v>17</v>
      </c>
      <c r="S25" s="715">
        <f>F25</f>
        <v>100</v>
      </c>
      <c r="T25" s="714" t="s">
        <v>17</v>
      </c>
      <c r="U25" s="715">
        <f>H25</f>
        <v>100</v>
      </c>
      <c r="V25" s="714" t="s">
        <v>17</v>
      </c>
      <c r="W25" s="715">
        <f>J25</f>
        <v>100</v>
      </c>
      <c r="X25" s="1508"/>
      <c r="Y25" s="3487"/>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19"/>
      <c r="M26" s="2913"/>
      <c r="N26" s="2913"/>
      <c r="O26" s="2913"/>
      <c r="P26" s="3560"/>
      <c r="Q26" s="1505"/>
      <c r="R26" s="714"/>
      <c r="S26" s="715"/>
      <c r="T26" s="714"/>
      <c r="U26" s="715"/>
      <c r="V26" s="714"/>
      <c r="W26" s="715"/>
      <c r="X26" s="1508"/>
      <c r="Y26" s="3487"/>
      <c r="Z26" s="1509"/>
      <c r="AA26" s="1506">
        <v>1</v>
      </c>
      <c r="AB26" s="1506">
        <v>1</v>
      </c>
      <c r="AC26" s="2117">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560"/>
      <c r="Q27" s="1505" t="str">
        <f t="shared" ref="Q27:Q47" si="11">B27</f>
        <v>楼层</v>
      </c>
      <c r="R27" s="714" t="s">
        <v>17</v>
      </c>
      <c r="S27" s="715">
        <f>F27</f>
        <v>100</v>
      </c>
      <c r="T27" s="714" t="s">
        <v>17</v>
      </c>
      <c r="U27" s="715">
        <f>H27</f>
        <v>100</v>
      </c>
      <c r="V27" s="714" t="s">
        <v>17</v>
      </c>
      <c r="W27" s="715">
        <f>J27</f>
        <v>100</v>
      </c>
      <c r="X27" s="1508"/>
      <c r="Y27" s="3487"/>
      <c r="Z27" s="1509" t="str">
        <f>Q27</f>
        <v>楼层</v>
      </c>
      <c r="AA27" s="1506">
        <f t="shared" si="3"/>
        <v>1</v>
      </c>
      <c r="AB27" s="1506">
        <f t="shared" si="4"/>
        <v>1</v>
      </c>
      <c r="AC27" s="2117">
        <f t="shared" si="5"/>
        <v>1</v>
      </c>
    </row>
    <row r="28" spans="1:29" s="113" customFormat="1" ht="15">
      <c r="A28" s="390"/>
      <c r="B28" s="587" t="s">
        <v>2452</v>
      </c>
      <c r="C28" s="2120"/>
      <c r="D28" s="421">
        <v>100</v>
      </c>
      <c r="E28" s="2111"/>
      <c r="F28" s="421">
        <f>SUMIF(91:91,E28,92:92)-SUMIF(91:91,C28,92:92)+100</f>
        <v>100</v>
      </c>
      <c r="G28" s="2120"/>
      <c r="H28" s="421">
        <f>SUMIF(91:91,G28,92:92)-SUMIF(91:91,C28,92:92)+100</f>
        <v>100</v>
      </c>
      <c r="I28" s="2111"/>
      <c r="J28" s="421">
        <f>SUMIF(91:91,I28,92:92)-SUMIF(91:91,C28,92:92)+100</f>
        <v>100</v>
      </c>
      <c r="K28" s="569"/>
      <c r="L28" s="2914"/>
      <c r="M28" s="2915"/>
      <c r="N28" s="2915"/>
      <c r="O28" s="2915"/>
      <c r="P28" s="3560"/>
      <c r="Q28" s="1496" t="str">
        <f t="shared" si="11"/>
        <v>朝向</v>
      </c>
      <c r="R28" s="710" t="s">
        <v>17</v>
      </c>
      <c r="S28" s="711">
        <f>F28</f>
        <v>100</v>
      </c>
      <c r="T28" s="710" t="s">
        <v>17</v>
      </c>
      <c r="U28" s="711">
        <f>H28</f>
        <v>100</v>
      </c>
      <c r="V28" s="710" t="s">
        <v>17</v>
      </c>
      <c r="W28" s="711">
        <f>J28</f>
        <v>100</v>
      </c>
      <c r="X28" s="712"/>
      <c r="Y28" s="3487"/>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19"/>
      <c r="M29" s="2913"/>
      <c r="N29" s="2913"/>
      <c r="O29" s="2913"/>
      <c r="P29" s="3560"/>
      <c r="Q29" s="1505">
        <f t="shared" si="11"/>
        <v>111</v>
      </c>
      <c r="R29" s="714" t="s">
        <v>17</v>
      </c>
      <c r="S29" s="715">
        <f t="shared" ref="S29:S47" si="12">F29</f>
        <v>100</v>
      </c>
      <c r="T29" s="714" t="s">
        <v>17</v>
      </c>
      <c r="U29" s="715">
        <f t="shared" ref="U29:U47" si="13">H29</f>
        <v>100</v>
      </c>
      <c r="V29" s="714" t="s">
        <v>17</v>
      </c>
      <c r="W29" s="715">
        <f t="shared" ref="W29:W47" si="14">J29</f>
        <v>100</v>
      </c>
      <c r="X29" s="1508"/>
      <c r="Y29" s="3487"/>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19"/>
      <c r="M30" s="2913"/>
      <c r="N30" s="2913"/>
      <c r="O30" s="2913"/>
      <c r="P30" s="3560"/>
      <c r="Q30" s="1505">
        <f t="shared" si="11"/>
        <v>111</v>
      </c>
      <c r="R30" s="714" t="s">
        <v>17</v>
      </c>
      <c r="S30" s="715">
        <f t="shared" si="12"/>
        <v>100</v>
      </c>
      <c r="T30" s="714" t="s">
        <v>17</v>
      </c>
      <c r="U30" s="715">
        <f t="shared" si="13"/>
        <v>100</v>
      </c>
      <c r="V30" s="714" t="s">
        <v>17</v>
      </c>
      <c r="W30" s="715">
        <f t="shared" si="14"/>
        <v>100</v>
      </c>
      <c r="X30" s="1508"/>
      <c r="Y30" s="3487"/>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19"/>
      <c r="M31" s="2913"/>
      <c r="N31" s="2913"/>
      <c r="O31" s="2913"/>
      <c r="P31" s="3560"/>
      <c r="Q31" s="1505">
        <f t="shared" si="11"/>
        <v>111</v>
      </c>
      <c r="R31" s="714" t="s">
        <v>17</v>
      </c>
      <c r="S31" s="715">
        <f t="shared" si="12"/>
        <v>100</v>
      </c>
      <c r="T31" s="714" t="s">
        <v>17</v>
      </c>
      <c r="U31" s="715">
        <f t="shared" si="13"/>
        <v>100</v>
      </c>
      <c r="V31" s="714" t="s">
        <v>17</v>
      </c>
      <c r="W31" s="715">
        <f t="shared" si="14"/>
        <v>100</v>
      </c>
      <c r="X31" s="1508"/>
      <c r="Y31" s="3487"/>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19"/>
      <c r="M32" s="2913"/>
      <c r="N32" s="2913"/>
      <c r="O32" s="2913"/>
      <c r="P32" s="3560"/>
      <c r="Q32" s="1505">
        <f t="shared" si="11"/>
        <v>111</v>
      </c>
      <c r="R32" s="714" t="s">
        <v>17</v>
      </c>
      <c r="S32" s="715">
        <f t="shared" si="12"/>
        <v>100</v>
      </c>
      <c r="T32" s="714" t="s">
        <v>17</v>
      </c>
      <c r="U32" s="715">
        <f t="shared" si="13"/>
        <v>100</v>
      </c>
      <c r="V32" s="714" t="s">
        <v>17</v>
      </c>
      <c r="W32" s="715">
        <f t="shared" si="14"/>
        <v>100</v>
      </c>
      <c r="X32" s="1508"/>
      <c r="Y32" s="3487"/>
      <c r="Z32" s="1509">
        <f t="shared" si="15"/>
        <v>111</v>
      </c>
      <c r="AA32" s="1506">
        <f t="shared" si="3"/>
        <v>1</v>
      </c>
      <c r="AB32" s="1506">
        <f t="shared" si="4"/>
        <v>1</v>
      </c>
      <c r="AC32" s="2117">
        <f t="shared" si="5"/>
        <v>1</v>
      </c>
    </row>
    <row r="33" spans="1:29" ht="15">
      <c r="A33" s="399" t="s">
        <v>2323</v>
      </c>
      <c r="B33" s="67" t="s">
        <v>2453</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19"/>
      <c r="M33" s="2913"/>
      <c r="N33" s="2913"/>
      <c r="O33" s="2913"/>
      <c r="P33" s="3555" t="s">
        <v>2325</v>
      </c>
      <c r="Q33" s="1505" t="str">
        <f t="shared" si="11"/>
        <v>建筑类型</v>
      </c>
      <c r="R33" s="714" t="s">
        <v>17</v>
      </c>
      <c r="S33" s="715">
        <f t="shared" si="12"/>
        <v>100</v>
      </c>
      <c r="T33" s="714" t="s">
        <v>17</v>
      </c>
      <c r="U33" s="715">
        <f t="shared" si="13"/>
        <v>100</v>
      </c>
      <c r="V33" s="714" t="s">
        <v>17</v>
      </c>
      <c r="W33" s="715">
        <f t="shared" si="14"/>
        <v>100</v>
      </c>
      <c r="X33" s="1508"/>
      <c r="Y33" s="3489" t="s">
        <v>2325</v>
      </c>
      <c r="Z33" s="1509" t="str">
        <f t="shared" si="15"/>
        <v>建筑类型</v>
      </c>
      <c r="AA33" s="1506">
        <f t="shared" si="3"/>
        <v>1</v>
      </c>
      <c r="AB33" s="1506">
        <f t="shared" si="4"/>
        <v>1</v>
      </c>
      <c r="AC33" s="2117">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556"/>
      <c r="Q34" s="716" t="str">
        <f t="shared" si="11"/>
        <v>项目建筑规模</v>
      </c>
      <c r="R34" s="717" t="s">
        <v>17</v>
      </c>
      <c r="S34" s="718" t="e">
        <f t="shared" si="12"/>
        <v>#N/A</v>
      </c>
      <c r="T34" s="717" t="s">
        <v>17</v>
      </c>
      <c r="U34" s="718" t="e">
        <f t="shared" si="13"/>
        <v>#N/A</v>
      </c>
      <c r="V34" s="717" t="s">
        <v>17</v>
      </c>
      <c r="W34" s="718" t="e">
        <f t="shared" si="14"/>
        <v>#N/A</v>
      </c>
      <c r="X34" s="719"/>
      <c r="Y34" s="3489"/>
      <c r="Z34" s="720" t="str">
        <f t="shared" si="15"/>
        <v>项目建筑规模</v>
      </c>
      <c r="AA34" s="1506" t="e">
        <f t="shared" si="3"/>
        <v>#N/A</v>
      </c>
      <c r="AB34" s="1506" t="e">
        <f t="shared" si="4"/>
        <v>#N/A</v>
      </c>
      <c r="AC34" s="2117"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556"/>
      <c r="Q35" s="1505" t="str">
        <f t="shared" si="11"/>
        <v>建筑结构</v>
      </c>
      <c r="R35" s="714" t="s">
        <v>17</v>
      </c>
      <c r="S35" s="715">
        <f t="shared" si="12"/>
        <v>100</v>
      </c>
      <c r="T35" s="714" t="s">
        <v>17</v>
      </c>
      <c r="U35" s="715">
        <f t="shared" si="13"/>
        <v>100</v>
      </c>
      <c r="V35" s="714" t="s">
        <v>17</v>
      </c>
      <c r="W35" s="715">
        <f t="shared" si="14"/>
        <v>100</v>
      </c>
      <c r="X35" s="1508"/>
      <c r="Y35" s="3489"/>
      <c r="Z35" s="1509" t="str">
        <f t="shared" si="15"/>
        <v>建筑结构</v>
      </c>
      <c r="AA35" s="1506">
        <f t="shared" si="3"/>
        <v>1</v>
      </c>
      <c r="AB35" s="1506">
        <f t="shared" si="4"/>
        <v>1</v>
      </c>
      <c r="AC35" s="2117">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556"/>
      <c r="Q36" s="1505" t="str">
        <f t="shared" si="11"/>
        <v>公共部分装修</v>
      </c>
      <c r="R36" s="714" t="s">
        <v>17</v>
      </c>
      <c r="S36" s="715">
        <f t="shared" si="12"/>
        <v>100</v>
      </c>
      <c r="T36" s="714" t="s">
        <v>17</v>
      </c>
      <c r="U36" s="715">
        <f t="shared" si="13"/>
        <v>100</v>
      </c>
      <c r="V36" s="714" t="s">
        <v>17</v>
      </c>
      <c r="W36" s="715">
        <f t="shared" si="14"/>
        <v>100</v>
      </c>
      <c r="X36" s="1508"/>
      <c r="Y36" s="3489"/>
      <c r="Z36" s="1509" t="str">
        <f t="shared" si="15"/>
        <v>公共部分装修</v>
      </c>
      <c r="AA36" s="1506">
        <f t="shared" si="3"/>
        <v>1</v>
      </c>
      <c r="AB36" s="1506">
        <f t="shared" si="4"/>
        <v>1</v>
      </c>
      <c r="AC36" s="2117">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556"/>
      <c r="Q37" s="1505" t="str">
        <f t="shared" si="11"/>
        <v>成新度</v>
      </c>
      <c r="R37" s="714" t="s">
        <v>17</v>
      </c>
      <c r="S37" s="715" t="e">
        <f t="shared" si="12"/>
        <v>#N/A</v>
      </c>
      <c r="T37" s="714" t="s">
        <v>17</v>
      </c>
      <c r="U37" s="715" t="e">
        <f t="shared" si="13"/>
        <v>#N/A</v>
      </c>
      <c r="V37" s="714" t="s">
        <v>17</v>
      </c>
      <c r="W37" s="715" t="e">
        <f t="shared" si="14"/>
        <v>#N/A</v>
      </c>
      <c r="X37" s="1508"/>
      <c r="Y37" s="3489"/>
      <c r="Z37" s="1509" t="str">
        <f t="shared" si="15"/>
        <v>成新度</v>
      </c>
      <c r="AA37" s="1506" t="e">
        <f t="shared" si="3"/>
        <v>#N/A</v>
      </c>
      <c r="AB37" s="1506" t="e">
        <f t="shared" si="4"/>
        <v>#N/A</v>
      </c>
      <c r="AC37" s="2117"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556"/>
      <c r="Q38" s="1496" t="str">
        <f t="shared" si="11"/>
        <v>写字楼等级</v>
      </c>
      <c r="R38" s="710" t="s">
        <v>17</v>
      </c>
      <c r="S38" s="711">
        <f t="shared" si="12"/>
        <v>100</v>
      </c>
      <c r="T38" s="710" t="s">
        <v>17</v>
      </c>
      <c r="U38" s="711">
        <f t="shared" si="13"/>
        <v>100</v>
      </c>
      <c r="V38" s="710" t="s">
        <v>17</v>
      </c>
      <c r="W38" s="711">
        <f t="shared" si="14"/>
        <v>100</v>
      </c>
      <c r="X38" s="712"/>
      <c r="Y38" s="3489"/>
      <c r="Z38" s="55" t="str">
        <f t="shared" si="15"/>
        <v>写字楼等级</v>
      </c>
      <c r="AA38" s="713">
        <f t="shared" si="3"/>
        <v>1</v>
      </c>
      <c r="AB38" s="713">
        <f t="shared" si="4"/>
        <v>1</v>
      </c>
      <c r="AC38" s="2114">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556" t="s">
        <v>2325</v>
      </c>
      <c r="Q39" s="1505" t="str">
        <f t="shared" si="11"/>
        <v>物业管理</v>
      </c>
      <c r="R39" s="714" t="s">
        <v>17</v>
      </c>
      <c r="S39" s="715">
        <f t="shared" si="12"/>
        <v>100</v>
      </c>
      <c r="T39" s="714" t="s">
        <v>17</v>
      </c>
      <c r="U39" s="715">
        <f t="shared" si="13"/>
        <v>100</v>
      </c>
      <c r="V39" s="714" t="s">
        <v>17</v>
      </c>
      <c r="W39" s="715">
        <f t="shared" si="14"/>
        <v>100</v>
      </c>
      <c r="X39" s="1508"/>
      <c r="Y39" s="3489" t="s">
        <v>2325</v>
      </c>
      <c r="Z39" s="1509" t="str">
        <f t="shared" si="15"/>
        <v>物业管理</v>
      </c>
      <c r="AA39" s="1506">
        <f t="shared" si="3"/>
        <v>1</v>
      </c>
      <c r="AB39" s="1506">
        <f t="shared" si="4"/>
        <v>1</v>
      </c>
      <c r="AC39" s="2117">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556"/>
      <c r="Q40" s="1505" t="str">
        <f t="shared" si="11"/>
        <v>市政基础设施</v>
      </c>
      <c r="R40" s="714" t="s">
        <v>17</v>
      </c>
      <c r="S40" s="715">
        <f t="shared" si="12"/>
        <v>100</v>
      </c>
      <c r="T40" s="714" t="s">
        <v>17</v>
      </c>
      <c r="U40" s="715">
        <f t="shared" si="13"/>
        <v>100</v>
      </c>
      <c r="V40" s="714" t="s">
        <v>17</v>
      </c>
      <c r="W40" s="715">
        <f t="shared" si="14"/>
        <v>100</v>
      </c>
      <c r="X40" s="1508"/>
      <c r="Y40" s="3489"/>
      <c r="Z40" s="1509" t="str">
        <f t="shared" si="15"/>
        <v>市政基础设施</v>
      </c>
      <c r="AA40" s="1506">
        <f t="shared" si="3"/>
        <v>1</v>
      </c>
      <c r="AB40" s="1506">
        <f t="shared" si="4"/>
        <v>1</v>
      </c>
      <c r="AC40" s="2117">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556"/>
      <c r="Q41" s="1505" t="str">
        <f t="shared" si="11"/>
        <v>层高</v>
      </c>
      <c r="R41" s="714" t="s">
        <v>17</v>
      </c>
      <c r="S41" s="715">
        <f t="shared" si="12"/>
        <v>100</v>
      </c>
      <c r="T41" s="714" t="s">
        <v>17</v>
      </c>
      <c r="U41" s="715">
        <f t="shared" si="13"/>
        <v>100</v>
      </c>
      <c r="V41" s="714" t="s">
        <v>17</v>
      </c>
      <c r="W41" s="715">
        <f t="shared" si="14"/>
        <v>100</v>
      </c>
      <c r="X41" s="1508"/>
      <c r="Y41" s="3489"/>
      <c r="Z41" s="1509" t="str">
        <f t="shared" si="15"/>
        <v>层高</v>
      </c>
      <c r="AA41" s="1506">
        <f t="shared" si="3"/>
        <v>1</v>
      </c>
      <c r="AB41" s="1506">
        <f t="shared" si="4"/>
        <v>1</v>
      </c>
      <c r="AC41" s="2117">
        <f t="shared" si="5"/>
        <v>1</v>
      </c>
    </row>
    <row r="42" spans="1:29" s="430" customFormat="1" ht="15">
      <c r="A42" s="427"/>
      <c r="B42" s="1507"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556"/>
      <c r="Q42" s="716" t="str">
        <f t="shared" si="11"/>
        <v>单套建筑面积</v>
      </c>
      <c r="R42" s="717" t="s">
        <v>17</v>
      </c>
      <c r="S42" s="718">
        <f t="shared" si="12"/>
        <v>100</v>
      </c>
      <c r="T42" s="717" t="s">
        <v>17</v>
      </c>
      <c r="U42" s="718">
        <f t="shared" si="13"/>
        <v>100</v>
      </c>
      <c r="V42" s="717" t="s">
        <v>17</v>
      </c>
      <c r="W42" s="718">
        <f t="shared" si="14"/>
        <v>100</v>
      </c>
      <c r="X42" s="719"/>
      <c r="Y42" s="3489"/>
      <c r="Z42" s="720" t="str">
        <f t="shared" si="15"/>
        <v>单套建筑面积</v>
      </c>
      <c r="AA42" s="1506">
        <f t="shared" si="3"/>
        <v>1</v>
      </c>
      <c r="AB42" s="1506">
        <f t="shared" si="4"/>
        <v>1</v>
      </c>
      <c r="AC42" s="2117">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556"/>
      <c r="Q43" s="1505" t="str">
        <f t="shared" si="11"/>
        <v>内部装修</v>
      </c>
      <c r="R43" s="714" t="s">
        <v>17</v>
      </c>
      <c r="S43" s="715">
        <f t="shared" si="12"/>
        <v>100</v>
      </c>
      <c r="T43" s="714" t="s">
        <v>17</v>
      </c>
      <c r="U43" s="715">
        <f t="shared" si="13"/>
        <v>100</v>
      </c>
      <c r="V43" s="714" t="s">
        <v>17</v>
      </c>
      <c r="W43" s="715">
        <f t="shared" si="14"/>
        <v>100</v>
      </c>
      <c r="X43" s="1508"/>
      <c r="Y43" s="3489"/>
      <c r="Z43" s="1509" t="str">
        <f t="shared" si="15"/>
        <v>内部装修</v>
      </c>
      <c r="AA43" s="1506">
        <f t="shared" si="3"/>
        <v>1</v>
      </c>
      <c r="AB43" s="1506">
        <f t="shared" si="4"/>
        <v>1</v>
      </c>
      <c r="AC43" s="2117">
        <f t="shared" si="5"/>
        <v>1</v>
      </c>
    </row>
    <row r="44" spans="1:29" ht="15">
      <c r="A44" s="431"/>
      <c r="B44" s="381" t="s">
        <v>2336</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19"/>
      <c r="M44" s="2913"/>
      <c r="N44" s="2913"/>
      <c r="O44" s="2913"/>
      <c r="P44" s="3556"/>
      <c r="Q44" s="1505" t="str">
        <f t="shared" si="11"/>
        <v>内部装修维护情况</v>
      </c>
      <c r="R44" s="714" t="s">
        <v>17</v>
      </c>
      <c r="S44" s="715">
        <f t="shared" si="12"/>
        <v>100</v>
      </c>
      <c r="T44" s="714" t="s">
        <v>17</v>
      </c>
      <c r="U44" s="715">
        <f t="shared" si="13"/>
        <v>100</v>
      </c>
      <c r="V44" s="714" t="s">
        <v>17</v>
      </c>
      <c r="W44" s="715">
        <f t="shared" si="14"/>
        <v>100</v>
      </c>
      <c r="X44" s="1508"/>
      <c r="Y44" s="3489"/>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556"/>
      <c r="Q45" s="1496">
        <f t="shared" si="11"/>
        <v>111</v>
      </c>
      <c r="R45" s="710" t="s">
        <v>17</v>
      </c>
      <c r="S45" s="711">
        <f t="shared" si="12"/>
        <v>100</v>
      </c>
      <c r="T45" s="710" t="s">
        <v>17</v>
      </c>
      <c r="U45" s="711">
        <f t="shared" si="13"/>
        <v>100</v>
      </c>
      <c r="V45" s="710" t="s">
        <v>17</v>
      </c>
      <c r="W45" s="711">
        <f t="shared" si="14"/>
        <v>100</v>
      </c>
      <c r="X45" s="712"/>
      <c r="Y45" s="3489"/>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556"/>
      <c r="Q46" s="1505">
        <f t="shared" si="11"/>
        <v>111</v>
      </c>
      <c r="R46" s="714" t="s">
        <v>17</v>
      </c>
      <c r="S46" s="715">
        <f t="shared" si="12"/>
        <v>100</v>
      </c>
      <c r="T46" s="714" t="s">
        <v>17</v>
      </c>
      <c r="U46" s="715">
        <f t="shared" si="13"/>
        <v>100</v>
      </c>
      <c r="V46" s="714" t="s">
        <v>17</v>
      </c>
      <c r="W46" s="715">
        <f t="shared" si="14"/>
        <v>100</v>
      </c>
      <c r="X46" s="1508"/>
      <c r="Y46" s="3489"/>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557"/>
      <c r="Q47" s="1505">
        <f t="shared" si="11"/>
        <v>111</v>
      </c>
      <c r="R47" s="714" t="s">
        <v>17</v>
      </c>
      <c r="S47" s="715">
        <f t="shared" si="12"/>
        <v>100</v>
      </c>
      <c r="T47" s="714" t="s">
        <v>17</v>
      </c>
      <c r="U47" s="715">
        <f t="shared" si="13"/>
        <v>100</v>
      </c>
      <c r="V47" s="714" t="s">
        <v>17</v>
      </c>
      <c r="W47" s="715">
        <f t="shared" si="14"/>
        <v>100</v>
      </c>
      <c r="X47" s="1508"/>
      <c r="Y47" s="3558"/>
      <c r="Z47" s="1509">
        <f t="shared" si="15"/>
        <v>111</v>
      </c>
      <c r="AA47" s="1506">
        <f t="shared" si="3"/>
        <v>1</v>
      </c>
      <c r="AB47" s="1506">
        <f t="shared" si="4"/>
        <v>1</v>
      </c>
      <c r="AC47" s="2117">
        <f t="shared" si="5"/>
        <v>1</v>
      </c>
    </row>
    <row r="48" spans="1:29" ht="15">
      <c r="A48" s="438" t="s">
        <v>2337</v>
      </c>
      <c r="B48" s="439"/>
      <c r="C48" s="1288" t="s">
        <v>1</v>
      </c>
      <c r="D48" s="1289"/>
      <c r="E48" s="1290"/>
      <c r="F48" s="1291"/>
      <c r="G48" s="1292"/>
      <c r="H48" s="1293"/>
      <c r="I48" s="1290"/>
      <c r="J48" s="444"/>
      <c r="K48" s="723"/>
      <c r="L48" s="2921"/>
      <c r="M48" s="2913"/>
      <c r="N48" s="2913"/>
      <c r="O48" s="2913"/>
      <c r="P48" s="3508" t="str">
        <f>A48</f>
        <v>成交单价（元/平方米）</v>
      </c>
      <c r="Q48" s="3483"/>
      <c r="R48" s="3554">
        <f>E48</f>
        <v>0</v>
      </c>
      <c r="S48" s="3554"/>
      <c r="T48" s="3554">
        <f>G48</f>
        <v>0</v>
      </c>
      <c r="U48" s="3554"/>
      <c r="V48" s="3554">
        <f>I48</f>
        <v>0</v>
      </c>
      <c r="W48" s="3554"/>
      <c r="X48" s="405"/>
      <c r="Y48" s="721"/>
      <c r="Z48" s="405"/>
      <c r="AA48" s="405"/>
      <c r="AB48" s="405"/>
      <c r="AC48" s="586"/>
    </row>
    <row r="49" spans="1:29" ht="15.75" thickBot="1">
      <c r="A49" s="445" t="s">
        <v>2429</v>
      </c>
      <c r="B49" s="446"/>
      <c r="C49" s="1294" t="e">
        <f>R50</f>
        <v>#DIV/0!</v>
      </c>
      <c r="D49" s="2507" t="s">
        <v>2817</v>
      </c>
      <c r="E49" s="1295" t="e">
        <f>R49</f>
        <v>#DIV/0!</v>
      </c>
      <c r="F49" s="2508"/>
      <c r="G49" s="1294" t="e">
        <f>T49</f>
        <v>#DIV/0!</v>
      </c>
      <c r="H49" s="2508"/>
      <c r="I49" s="1295" t="e">
        <f>V49</f>
        <v>#DIV/0!</v>
      </c>
      <c r="J49" s="2508"/>
      <c r="K49" s="2510">
        <f>F49+H49+J49</f>
        <v>0</v>
      </c>
      <c r="L49" s="2921"/>
      <c r="M49" s="2913"/>
      <c r="N49" s="2913"/>
      <c r="O49" s="2913"/>
      <c r="P49" s="3508" t="str">
        <f>A49</f>
        <v>比较价值（元/平方米）</v>
      </c>
      <c r="Q49" s="3483"/>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1"/>
      <c r="M50" s="2913"/>
      <c r="N50" s="2913"/>
      <c r="O50" s="2913"/>
      <c r="P50" s="3573" t="str">
        <f>A50</f>
        <v>估价对象XX用房的比较价值（楼面单价，元/平方米）</v>
      </c>
      <c r="Q50" s="3574"/>
      <c r="R50" s="3575" t="e">
        <f>IF(F1="售价",ROUND(IF(D49="简单平均",AVERAGE(R49:V49),R49*F49+T49*H49+V49*J49),0),ROUND(IF(D49="简单平均",AVERAGE(R49:V49),R49*F49+T49*H49+V49*J49),1))</f>
        <v>#DIV/0!</v>
      </c>
      <c r="S50" s="3575"/>
      <c r="T50" s="3575"/>
      <c r="U50" s="3575"/>
      <c r="V50" s="3575"/>
      <c r="W50" s="3575"/>
      <c r="X50" s="2101"/>
      <c r="Y50" s="2101"/>
      <c r="Z50" s="2101"/>
      <c r="AA50" s="2101"/>
      <c r="AB50" s="2101"/>
      <c r="AC50" s="2102"/>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2434</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2308</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6"/>
      <c r="Q59" s="2938"/>
      <c r="R59" s="2938"/>
      <c r="S59" s="2938"/>
      <c r="T59" s="2938"/>
      <c r="U59" s="2938"/>
      <c r="V59" s="2938"/>
      <c r="W59" s="2938"/>
      <c r="X59" s="2938"/>
      <c r="Y59" s="2938"/>
      <c r="Z59" s="2938"/>
      <c r="AA59" s="2938"/>
      <c r="AB59" s="2938"/>
      <c r="AC59" s="2938"/>
    </row>
    <row r="60" spans="1:29" s="113" customFormat="1" ht="15">
      <c r="A60" s="466"/>
      <c r="B60" s="467"/>
      <c r="C60" s="1316">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2345</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2310</v>
      </c>
      <c r="B62" s="467"/>
      <c r="C62" s="479" t="s">
        <v>2412</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2348</v>
      </c>
      <c r="B64" s="485" t="s">
        <v>2314</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2319</v>
      </c>
      <c r="B77" s="485" t="s">
        <v>2457</v>
      </c>
      <c r="C77" s="530" t="s">
        <v>2357</v>
      </c>
      <c r="D77" s="530" t="s">
        <v>2358</v>
      </c>
      <c r="E77" s="530" t="s">
        <v>2359</v>
      </c>
      <c r="F77" s="530" t="s">
        <v>2360</v>
      </c>
      <c r="G77" s="530" t="s">
        <v>2361</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2362</v>
      </c>
      <c r="C79" s="535" t="s">
        <v>2357</v>
      </c>
      <c r="D79" s="535" t="s">
        <v>2358</v>
      </c>
      <c r="E79" s="535" t="s">
        <v>2359</v>
      </c>
      <c r="F79" s="535" t="s">
        <v>2360</v>
      </c>
      <c r="G79" s="535" t="s">
        <v>2361</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2363</v>
      </c>
      <c r="C81" s="535" t="s">
        <v>2357</v>
      </c>
      <c r="D81" s="535" t="s">
        <v>2358</v>
      </c>
      <c r="E81" s="535" t="s">
        <v>2359</v>
      </c>
      <c r="F81" s="535" t="s">
        <v>2360</v>
      </c>
      <c r="G81" s="535" t="s">
        <v>2361</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2449</v>
      </c>
      <c r="C83" s="616" t="s">
        <v>2435</v>
      </c>
      <c r="D83" s="616" t="s">
        <v>2436</v>
      </c>
      <c r="E83" s="616" t="s">
        <v>2437</v>
      </c>
      <c r="F83" s="616" t="s">
        <v>2438</v>
      </c>
      <c r="G83" s="616" t="s">
        <v>2439</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2458</v>
      </c>
      <c r="C85" s="535" t="s">
        <v>2357</v>
      </c>
      <c r="D85" s="535" t="s">
        <v>2358</v>
      </c>
      <c r="E85" s="535" t="s">
        <v>2359</v>
      </c>
      <c r="F85" s="535" t="s">
        <v>2360</v>
      </c>
      <c r="G85" s="535" t="s">
        <v>2361</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2459</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2"/>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3"/>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2323</v>
      </c>
      <c r="B101" s="485" t="s">
        <v>2372</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2374</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2376</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2460</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2377</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2378</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2461</v>
      </c>
      <c r="C119" s="540"/>
      <c r="D119" s="540"/>
      <c r="E119" s="540"/>
      <c r="F119" s="540"/>
      <c r="G119" s="540"/>
      <c r="H119" s="540"/>
      <c r="I119" s="540"/>
      <c r="J119" s="540"/>
      <c r="K119" s="540"/>
      <c r="L119" s="2123"/>
      <c r="M119" s="2124"/>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2444</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2380</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3"/>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估价对象为北京市房地产，为所有。根据《国有土地使用证》[]，估价对象（分摊）出让国有建设用地使用权面积为19466.48平方米，建筑面积为4052平方米。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估价对象为北京市房地产,属开发建设的，该项目尚在开发建设中。根据《国有土地使用证》[]，估价对象（分摊）出让国有建设用地使用权面积为19466.48平方米，规划建筑面积为4052平方米。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2022年2月15日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15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2288</v>
      </c>
      <c r="B1" s="2112" t="s">
        <v>2462</v>
      </c>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IF(C2="——",ROUND(C43*D3/10000,0),ROUND(C43*D3/10000,0)-D2)</f>
        <v>#DIV/0!</v>
      </c>
      <c r="C2" s="2036"/>
      <c r="D2" s="1038" t="e">
        <f ca="1">SUMIF(INDIRECT("'"&amp;F2&amp;"'"&amp;"!A:A"),"承租人权益价值",INDIRECT("'"&amp;F2&amp;"'"&amp;"!c:c"))</f>
        <v>#REF!</v>
      </c>
      <c r="E2" s="2037" t="s">
        <v>2088</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4052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1044"/>
      <c r="M4" s="1045"/>
      <c r="N4" s="1045"/>
      <c r="O4" s="1045"/>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1044"/>
      <c r="M5" s="1045"/>
      <c r="N5" s="1045"/>
      <c r="O5" s="1045"/>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1044"/>
      <c r="M6" s="1045"/>
      <c r="N6" s="1045"/>
      <c r="O6" s="1045"/>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505" t="s">
        <v>2312</v>
      </c>
      <c r="Q8" s="3506"/>
      <c r="R8" s="710" t="s">
        <v>17</v>
      </c>
      <c r="S8" s="711">
        <f t="shared" si="0"/>
        <v>0</v>
      </c>
      <c r="T8" s="710" t="s">
        <v>17</v>
      </c>
      <c r="U8" s="711">
        <f t="shared" si="1"/>
        <v>0</v>
      </c>
      <c r="V8" s="710" t="s">
        <v>17</v>
      </c>
      <c r="W8" s="711">
        <f t="shared" si="2"/>
        <v>0</v>
      </c>
      <c r="X8" s="712"/>
      <c r="Y8" s="3505" t="s">
        <v>2312</v>
      </c>
      <c r="Z8" s="3506"/>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83"/>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 t="shared" si="3"/>
        <v>1</v>
      </c>
      <c r="AB14" s="713">
        <f t="shared" si="4"/>
        <v>1</v>
      </c>
      <c r="AC14" s="713">
        <f t="shared" si="5"/>
        <v>1</v>
      </c>
    </row>
    <row r="15" spans="1:29" ht="57">
      <c r="A15" s="399" t="s">
        <v>2319</v>
      </c>
      <c r="B15" s="65" t="s">
        <v>2463</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86" t="s">
        <v>2320</v>
      </c>
      <c r="Q15" s="1505" t="str">
        <f t="shared" si="6"/>
        <v>产业集聚程度</v>
      </c>
      <c r="R15" s="714" t="s">
        <v>17</v>
      </c>
      <c r="S15" s="715">
        <f t="shared" si="0"/>
        <v>100</v>
      </c>
      <c r="T15" s="714" t="s">
        <v>17</v>
      </c>
      <c r="U15" s="715">
        <f t="shared" si="1"/>
        <v>100</v>
      </c>
      <c r="V15" s="714" t="s">
        <v>17</v>
      </c>
      <c r="W15" s="715">
        <f t="shared" si="2"/>
        <v>100</v>
      </c>
      <c r="X15" s="1508"/>
      <c r="Y15" s="3486" t="s">
        <v>2320</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487"/>
      <c r="Q16" s="1505"/>
      <c r="R16" s="714"/>
      <c r="S16" s="715"/>
      <c r="T16" s="714"/>
      <c r="U16" s="715"/>
      <c r="V16" s="714"/>
      <c r="W16" s="715"/>
      <c r="X16" s="1508"/>
      <c r="Y16" s="3487"/>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87"/>
      <c r="Q17" s="1505" t="str">
        <f>B17</f>
        <v>交通便捷度</v>
      </c>
      <c r="R17" s="714" t="s">
        <v>17</v>
      </c>
      <c r="S17" s="715">
        <f>F17</f>
        <v>100</v>
      </c>
      <c r="T17" s="714" t="s">
        <v>17</v>
      </c>
      <c r="U17" s="715">
        <f>H17</f>
        <v>100</v>
      </c>
      <c r="V17" s="714" t="s">
        <v>17</v>
      </c>
      <c r="W17" s="715">
        <f>J17</f>
        <v>100</v>
      </c>
      <c r="X17" s="1508"/>
      <c r="Y17" s="3487"/>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487"/>
      <c r="Q18" s="1505"/>
      <c r="R18" s="714"/>
      <c r="S18" s="715"/>
      <c r="T18" s="714"/>
      <c r="U18" s="715"/>
      <c r="V18" s="714"/>
      <c r="W18" s="715"/>
      <c r="X18" s="1508"/>
      <c r="Y18" s="3487"/>
      <c r="Z18" s="1509"/>
      <c r="AA18" s="1506">
        <v>1</v>
      </c>
      <c r="AB18" s="1506">
        <v>1</v>
      </c>
      <c r="AC18" s="1506">
        <v>1</v>
      </c>
    </row>
    <row r="19" spans="1:29" ht="42.75">
      <c r="A19" s="387"/>
      <c r="B19" s="410" t="s">
        <v>2448</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87"/>
      <c r="Q19" s="1505" t="str">
        <f>B19</f>
        <v>公共配套设施</v>
      </c>
      <c r="R19" s="714" t="s">
        <v>17</v>
      </c>
      <c r="S19" s="715">
        <f>F19</f>
        <v>100</v>
      </c>
      <c r="T19" s="714" t="s">
        <v>17</v>
      </c>
      <c r="U19" s="715">
        <f>H19</f>
        <v>100</v>
      </c>
      <c r="V19" s="714" t="s">
        <v>17</v>
      </c>
      <c r="W19" s="715">
        <f>J19</f>
        <v>100</v>
      </c>
      <c r="X19" s="1508"/>
      <c r="Y19" s="3487"/>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487"/>
      <c r="Q20" s="1505"/>
      <c r="R20" s="714"/>
      <c r="S20" s="715"/>
      <c r="T20" s="714"/>
      <c r="U20" s="715"/>
      <c r="V20" s="714"/>
      <c r="W20" s="715"/>
      <c r="X20" s="1508"/>
      <c r="Y20" s="3487"/>
      <c r="Z20" s="1509"/>
      <c r="AA20" s="1506">
        <v>1</v>
      </c>
      <c r="AB20" s="1506">
        <v>1</v>
      </c>
      <c r="AC20" s="1506">
        <v>1</v>
      </c>
    </row>
    <row r="21" spans="1:29" ht="28.5">
      <c r="A21" s="387"/>
      <c r="B21" s="1265" t="s">
        <v>2449</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87"/>
      <c r="Q21" s="1505" t="str">
        <f>B21</f>
        <v>基础设施水平</v>
      </c>
      <c r="R21" s="714" t="s">
        <v>17</v>
      </c>
      <c r="S21" s="715">
        <f>F21</f>
        <v>100</v>
      </c>
      <c r="T21" s="714" t="s">
        <v>17</v>
      </c>
      <c r="U21" s="715">
        <f>H21</f>
        <v>100</v>
      </c>
      <c r="V21" s="714" t="s">
        <v>17</v>
      </c>
      <c r="W21" s="715">
        <f>J21</f>
        <v>100</v>
      </c>
      <c r="X21" s="1508"/>
      <c r="Y21" s="3487"/>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487"/>
      <c r="Q22" s="1505"/>
      <c r="R22" s="714"/>
      <c r="S22" s="715"/>
      <c r="T22" s="714"/>
      <c r="U22" s="715"/>
      <c r="V22" s="714"/>
      <c r="W22" s="715"/>
      <c r="X22" s="1508"/>
      <c r="Y22" s="3487"/>
      <c r="Z22" s="1509"/>
      <c r="AA22" s="1506">
        <v>1</v>
      </c>
      <c r="AB22" s="1506">
        <v>1</v>
      </c>
      <c r="AC22" s="1506">
        <v>1</v>
      </c>
    </row>
    <row r="23" spans="1:29" ht="71.25">
      <c r="A23" s="387"/>
      <c r="B23" s="410" t="s">
        <v>2450</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87"/>
      <c r="Q23" s="1505" t="str">
        <f>B23</f>
        <v>环境质量</v>
      </c>
      <c r="R23" s="714" t="s">
        <v>17</v>
      </c>
      <c r="S23" s="715">
        <f>F23</f>
        <v>100</v>
      </c>
      <c r="T23" s="714" t="s">
        <v>17</v>
      </c>
      <c r="U23" s="715">
        <f>H23</f>
        <v>100</v>
      </c>
      <c r="V23" s="714" t="s">
        <v>17</v>
      </c>
      <c r="W23" s="715">
        <f>J23</f>
        <v>100</v>
      </c>
      <c r="X23" s="1508"/>
      <c r="Y23" s="3487"/>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487"/>
      <c r="Q24" s="1505"/>
      <c r="R24" s="714"/>
      <c r="S24" s="715"/>
      <c r="T24" s="714"/>
      <c r="U24" s="715"/>
      <c r="V24" s="714"/>
      <c r="W24" s="715"/>
      <c r="X24" s="1508"/>
      <c r="Y24" s="3487"/>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87"/>
      <c r="Q25" s="1505">
        <f>B25</f>
        <v>111</v>
      </c>
      <c r="R25" s="714" t="s">
        <v>17</v>
      </c>
      <c r="S25" s="715">
        <f>F25</f>
        <v>100</v>
      </c>
      <c r="T25" s="714" t="s">
        <v>17</v>
      </c>
      <c r="U25" s="715">
        <f>H25</f>
        <v>100</v>
      </c>
      <c r="V25" s="714" t="s">
        <v>17</v>
      </c>
      <c r="W25" s="715">
        <f>J25</f>
        <v>100</v>
      </c>
      <c r="X25" s="1508"/>
      <c r="Y25" s="3487"/>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87"/>
      <c r="Q26" s="1505">
        <f t="shared" ref="Q26:Q40" si="11">B26</f>
        <v>111</v>
      </c>
      <c r="R26" s="714" t="s">
        <v>17</v>
      </c>
      <c r="S26" s="715">
        <f>F26</f>
        <v>100</v>
      </c>
      <c r="T26" s="714" t="s">
        <v>17</v>
      </c>
      <c r="U26" s="715">
        <f>H26</f>
        <v>100</v>
      </c>
      <c r="V26" s="714" t="s">
        <v>17</v>
      </c>
      <c r="W26" s="715">
        <f>J26</f>
        <v>100</v>
      </c>
      <c r="X26" s="1508"/>
      <c r="Y26" s="3487"/>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87"/>
      <c r="Q27" s="1496">
        <f t="shared" si="11"/>
        <v>111</v>
      </c>
      <c r="R27" s="710" t="s">
        <v>17</v>
      </c>
      <c r="S27" s="711">
        <f>F27</f>
        <v>100</v>
      </c>
      <c r="T27" s="710" t="s">
        <v>17</v>
      </c>
      <c r="U27" s="711">
        <f>H27</f>
        <v>100</v>
      </c>
      <c r="V27" s="710" t="s">
        <v>17</v>
      </c>
      <c r="W27" s="711">
        <f>J27</f>
        <v>100</v>
      </c>
      <c r="X27" s="712"/>
      <c r="Y27" s="3487"/>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87"/>
      <c r="Q28" s="1505">
        <f t="shared" si="11"/>
        <v>111</v>
      </c>
      <c r="R28" s="714" t="s">
        <v>17</v>
      </c>
      <c r="S28" s="715">
        <f t="shared" ref="S28:S40" si="12">F28</f>
        <v>100</v>
      </c>
      <c r="T28" s="714" t="s">
        <v>17</v>
      </c>
      <c r="U28" s="715">
        <f t="shared" ref="U28:U40" si="13">H28</f>
        <v>100</v>
      </c>
      <c r="V28" s="714" t="s">
        <v>17</v>
      </c>
      <c r="W28" s="715">
        <f t="shared" ref="W28:W40" si="14">J28</f>
        <v>100</v>
      </c>
      <c r="X28" s="1508"/>
      <c r="Y28" s="3487"/>
      <c r="Z28" s="1509">
        <f t="shared" ref="Z28:Z40" si="15">Q28</f>
        <v>111</v>
      </c>
      <c r="AA28" s="1506">
        <f t="shared" si="3"/>
        <v>1</v>
      </c>
      <c r="AB28" s="1506">
        <f t="shared" si="4"/>
        <v>1</v>
      </c>
      <c r="AC28" s="1506">
        <f t="shared" si="5"/>
        <v>1</v>
      </c>
    </row>
    <row r="29" spans="1:29" ht="28.5">
      <c r="A29" s="425" t="s">
        <v>2323</v>
      </c>
      <c r="B29" s="67" t="s">
        <v>2453</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488" t="s">
        <v>2325</v>
      </c>
      <c r="Q29" s="1505" t="str">
        <f t="shared" si="11"/>
        <v>建筑类型</v>
      </c>
      <c r="R29" s="714" t="s">
        <v>17</v>
      </c>
      <c r="S29" s="715">
        <f t="shared" si="12"/>
        <v>100</v>
      </c>
      <c r="T29" s="714" t="s">
        <v>17</v>
      </c>
      <c r="U29" s="715">
        <f t="shared" si="13"/>
        <v>100</v>
      </c>
      <c r="V29" s="714" t="s">
        <v>17</v>
      </c>
      <c r="W29" s="715">
        <f t="shared" si="14"/>
        <v>100</v>
      </c>
      <c r="X29" s="1508"/>
      <c r="Y29" s="3489" t="s">
        <v>2325</v>
      </c>
      <c r="Z29" s="1509" t="str">
        <f t="shared" si="15"/>
        <v>建筑类型</v>
      </c>
      <c r="AA29" s="1506">
        <f t="shared" si="3"/>
        <v>1</v>
      </c>
      <c r="AB29" s="1506">
        <f t="shared" si="4"/>
        <v>1</v>
      </c>
      <c r="AC29" s="1506">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89"/>
      <c r="Q30" s="716" t="str">
        <f t="shared" si="11"/>
        <v>项目建筑规模</v>
      </c>
      <c r="R30" s="717" t="s">
        <v>17</v>
      </c>
      <c r="S30" s="718" t="e">
        <f t="shared" si="12"/>
        <v>#N/A</v>
      </c>
      <c r="T30" s="717" t="s">
        <v>17</v>
      </c>
      <c r="U30" s="718" t="e">
        <f t="shared" si="13"/>
        <v>#N/A</v>
      </c>
      <c r="V30" s="717" t="s">
        <v>17</v>
      </c>
      <c r="W30" s="718" t="e">
        <f t="shared" si="14"/>
        <v>#N/A</v>
      </c>
      <c r="X30" s="719"/>
      <c r="Y30" s="3489"/>
      <c r="Z30" s="720" t="str">
        <f t="shared" si="15"/>
        <v>项目建筑规模</v>
      </c>
      <c r="AA30" s="1506" t="e">
        <f t="shared" si="3"/>
        <v>#N/A</v>
      </c>
      <c r="AB30" s="1506" t="e">
        <f t="shared" si="4"/>
        <v>#N/A</v>
      </c>
      <c r="AC30" s="1506"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89"/>
      <c r="Q31" s="1505" t="str">
        <f t="shared" si="11"/>
        <v>建筑结构</v>
      </c>
      <c r="R31" s="714" t="s">
        <v>17</v>
      </c>
      <c r="S31" s="715">
        <f t="shared" si="12"/>
        <v>100</v>
      </c>
      <c r="T31" s="714" t="s">
        <v>17</v>
      </c>
      <c r="U31" s="715">
        <f t="shared" si="13"/>
        <v>100</v>
      </c>
      <c r="V31" s="714" t="s">
        <v>17</v>
      </c>
      <c r="W31" s="715">
        <f t="shared" si="14"/>
        <v>100</v>
      </c>
      <c r="X31" s="1508"/>
      <c r="Y31" s="3489"/>
      <c r="Z31" s="1509" t="str">
        <f t="shared" si="15"/>
        <v>建筑结构</v>
      </c>
      <c r="AA31" s="1506">
        <f t="shared" si="3"/>
        <v>1</v>
      </c>
      <c r="AB31" s="1506">
        <f t="shared" si="4"/>
        <v>1</v>
      </c>
      <c r="AC31" s="1506">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89"/>
      <c r="Q32" s="1505" t="str">
        <f t="shared" si="11"/>
        <v>公共部分装修</v>
      </c>
      <c r="R32" s="714" t="s">
        <v>17</v>
      </c>
      <c r="S32" s="715">
        <f t="shared" si="12"/>
        <v>100</v>
      </c>
      <c r="T32" s="714" t="s">
        <v>17</v>
      </c>
      <c r="U32" s="715">
        <f t="shared" si="13"/>
        <v>100</v>
      </c>
      <c r="V32" s="714" t="s">
        <v>17</v>
      </c>
      <c r="W32" s="715">
        <f t="shared" si="14"/>
        <v>100</v>
      </c>
      <c r="X32" s="1508"/>
      <c r="Y32" s="3489"/>
      <c r="Z32" s="1509" t="str">
        <f t="shared" si="15"/>
        <v>公共部分装修</v>
      </c>
      <c r="AA32" s="1506">
        <f t="shared" si="3"/>
        <v>1</v>
      </c>
      <c r="AB32" s="1506">
        <f t="shared" si="4"/>
        <v>1</v>
      </c>
      <c r="AC32" s="1506">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89"/>
      <c r="Q33" s="1505" t="str">
        <f t="shared" si="11"/>
        <v>成新度</v>
      </c>
      <c r="R33" s="714" t="s">
        <v>17</v>
      </c>
      <c r="S33" s="715" t="e">
        <f t="shared" si="12"/>
        <v>#N/A</v>
      </c>
      <c r="T33" s="714" t="s">
        <v>17</v>
      </c>
      <c r="U33" s="715" t="e">
        <f t="shared" si="13"/>
        <v>#N/A</v>
      </c>
      <c r="V33" s="714" t="s">
        <v>17</v>
      </c>
      <c r="W33" s="715" t="e">
        <f t="shared" si="14"/>
        <v>#N/A</v>
      </c>
      <c r="X33" s="1508"/>
      <c r="Y33" s="3489"/>
      <c r="Z33" s="1509" t="str">
        <f t="shared" si="15"/>
        <v>成新度</v>
      </c>
      <c r="AA33" s="1506" t="e">
        <f t="shared" si="3"/>
        <v>#N/A</v>
      </c>
      <c r="AB33" s="1506" t="e">
        <f t="shared" si="4"/>
        <v>#N/A</v>
      </c>
      <c r="AC33" s="1506"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89"/>
      <c r="Q34" s="1496" t="str">
        <f t="shared" si="11"/>
        <v>物业管理</v>
      </c>
      <c r="R34" s="710" t="s">
        <v>17</v>
      </c>
      <c r="S34" s="711">
        <f t="shared" si="12"/>
        <v>100</v>
      </c>
      <c r="T34" s="710" t="s">
        <v>17</v>
      </c>
      <c r="U34" s="711">
        <f t="shared" si="13"/>
        <v>100</v>
      </c>
      <c r="V34" s="710" t="s">
        <v>17</v>
      </c>
      <c r="W34" s="711">
        <f t="shared" si="14"/>
        <v>100</v>
      </c>
      <c r="X34" s="712"/>
      <c r="Y34" s="3489"/>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89" t="s">
        <v>2325</v>
      </c>
      <c r="Q35" s="1505" t="str">
        <f t="shared" si="11"/>
        <v>市政基础设施</v>
      </c>
      <c r="R35" s="714" t="s">
        <v>17</v>
      </c>
      <c r="S35" s="715">
        <f t="shared" si="12"/>
        <v>100</v>
      </c>
      <c r="T35" s="714" t="s">
        <v>17</v>
      </c>
      <c r="U35" s="715">
        <f t="shared" si="13"/>
        <v>100</v>
      </c>
      <c r="V35" s="714" t="s">
        <v>17</v>
      </c>
      <c r="W35" s="715">
        <f t="shared" si="14"/>
        <v>100</v>
      </c>
      <c r="X35" s="1508"/>
      <c r="Y35" s="3489" t="s">
        <v>2325</v>
      </c>
      <c r="Z35" s="1509" t="str">
        <f t="shared" si="15"/>
        <v>市政基础设施</v>
      </c>
      <c r="AA35" s="1506">
        <f t="shared" si="3"/>
        <v>1</v>
      </c>
      <c r="AB35" s="1506">
        <f t="shared" si="4"/>
        <v>1</v>
      </c>
      <c r="AC35" s="1506">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89"/>
      <c r="Q36" s="1505" t="str">
        <f t="shared" si="11"/>
        <v>内部装修</v>
      </c>
      <c r="R36" s="714" t="s">
        <v>17</v>
      </c>
      <c r="S36" s="715">
        <f t="shared" si="12"/>
        <v>100</v>
      </c>
      <c r="T36" s="714" t="s">
        <v>17</v>
      </c>
      <c r="U36" s="715">
        <f t="shared" si="13"/>
        <v>100</v>
      </c>
      <c r="V36" s="714" t="s">
        <v>17</v>
      </c>
      <c r="W36" s="715">
        <f t="shared" si="14"/>
        <v>100</v>
      </c>
      <c r="X36" s="1508"/>
      <c r="Y36" s="3489"/>
      <c r="Z36" s="1509" t="str">
        <f t="shared" si="15"/>
        <v>内部装修</v>
      </c>
      <c r="AA36" s="1506">
        <f t="shared" si="3"/>
        <v>1</v>
      </c>
      <c r="AB36" s="1506">
        <f t="shared" si="4"/>
        <v>1</v>
      </c>
      <c r="AC36" s="1506">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89"/>
      <c r="Q37" s="1505" t="str">
        <f t="shared" si="11"/>
        <v>内部装修状况</v>
      </c>
      <c r="R37" s="714" t="s">
        <v>17</v>
      </c>
      <c r="S37" s="715">
        <f t="shared" si="12"/>
        <v>100</v>
      </c>
      <c r="T37" s="714" t="s">
        <v>17</v>
      </c>
      <c r="U37" s="715">
        <f t="shared" si="13"/>
        <v>100</v>
      </c>
      <c r="V37" s="714" t="s">
        <v>17</v>
      </c>
      <c r="W37" s="715">
        <f t="shared" si="14"/>
        <v>100</v>
      </c>
      <c r="X37" s="1508"/>
      <c r="Y37" s="3489"/>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89"/>
      <c r="Q38" s="716">
        <f t="shared" si="11"/>
        <v>111</v>
      </c>
      <c r="R38" s="717" t="s">
        <v>17</v>
      </c>
      <c r="S38" s="718">
        <f t="shared" si="12"/>
        <v>100</v>
      </c>
      <c r="T38" s="717" t="s">
        <v>17</v>
      </c>
      <c r="U38" s="718">
        <f t="shared" si="13"/>
        <v>100</v>
      </c>
      <c r="V38" s="717" t="s">
        <v>17</v>
      </c>
      <c r="W38" s="718">
        <f t="shared" si="14"/>
        <v>100</v>
      </c>
      <c r="X38" s="719"/>
      <c r="Y38" s="3489"/>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89"/>
      <c r="Q39" s="1505">
        <f t="shared" si="11"/>
        <v>111</v>
      </c>
      <c r="R39" s="714" t="s">
        <v>17</v>
      </c>
      <c r="S39" s="715">
        <f t="shared" si="12"/>
        <v>100</v>
      </c>
      <c r="T39" s="714" t="s">
        <v>17</v>
      </c>
      <c r="U39" s="715">
        <f t="shared" si="13"/>
        <v>100</v>
      </c>
      <c r="V39" s="714" t="s">
        <v>17</v>
      </c>
      <c r="W39" s="715">
        <f t="shared" si="14"/>
        <v>100</v>
      </c>
      <c r="X39" s="1508"/>
      <c r="Y39" s="3489"/>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58"/>
      <c r="Q40" s="1505">
        <f t="shared" si="11"/>
        <v>111</v>
      </c>
      <c r="R40" s="714" t="s">
        <v>17</v>
      </c>
      <c r="S40" s="715">
        <f t="shared" si="12"/>
        <v>100</v>
      </c>
      <c r="T40" s="714" t="s">
        <v>17</v>
      </c>
      <c r="U40" s="715">
        <f t="shared" si="13"/>
        <v>100</v>
      </c>
      <c r="V40" s="714" t="s">
        <v>17</v>
      </c>
      <c r="W40" s="715">
        <f t="shared" si="14"/>
        <v>100</v>
      </c>
      <c r="X40" s="1508"/>
      <c r="Y40" s="3558"/>
      <c r="Z40" s="1509">
        <f t="shared" si="15"/>
        <v>111</v>
      </c>
      <c r="AA40" s="1506">
        <f t="shared" si="3"/>
        <v>1</v>
      </c>
      <c r="AB40" s="1506">
        <f t="shared" si="4"/>
        <v>1</v>
      </c>
      <c r="AC40" s="1506">
        <f t="shared" si="5"/>
        <v>1</v>
      </c>
    </row>
    <row r="41" spans="1:29" ht="15">
      <c r="A41" s="438" t="s">
        <v>2337</v>
      </c>
      <c r="B41" s="439"/>
      <c r="C41" s="1288" t="s">
        <v>1</v>
      </c>
      <c r="D41" s="1289"/>
      <c r="E41" s="1290"/>
      <c r="F41" s="1291"/>
      <c r="G41" s="1292"/>
      <c r="H41" s="1293"/>
      <c r="I41" s="1290"/>
      <c r="J41" s="1293"/>
      <c r="K41" s="723"/>
      <c r="L41" s="1057"/>
      <c r="M41" s="1058"/>
      <c r="N41" s="1045"/>
      <c r="O41" s="1058"/>
      <c r="P41" s="3483" t="str">
        <f>A41</f>
        <v>成交单价（元/平方米）</v>
      </c>
      <c r="Q41" s="3483"/>
      <c r="R41" s="3554">
        <f>E41</f>
        <v>0</v>
      </c>
      <c r="S41" s="3554"/>
      <c r="T41" s="3554">
        <f>G41</f>
        <v>0</v>
      </c>
      <c r="U41" s="3554"/>
      <c r="V41" s="3554">
        <f>I41</f>
        <v>0</v>
      </c>
      <c r="W41" s="3554"/>
      <c r="X41" s="699"/>
      <c r="Y41" s="721"/>
      <c r="Z41" s="699"/>
      <c r="AA41" s="699"/>
      <c r="AB41" s="699"/>
      <c r="AC41" s="699"/>
    </row>
    <row r="42" spans="1:29" ht="15.75" thickBot="1">
      <c r="A42" s="445" t="s">
        <v>2429</v>
      </c>
      <c r="B42" s="446"/>
      <c r="C42" s="1294" t="e">
        <f>R43</f>
        <v>#DIV/0!</v>
      </c>
      <c r="D42" s="2507" t="s">
        <v>2817</v>
      </c>
      <c r="E42" s="1295" t="e">
        <f>R42</f>
        <v>#DIV/0!</v>
      </c>
      <c r="F42" s="2508"/>
      <c r="G42" s="1294" t="e">
        <f>T42</f>
        <v>#DIV/0!</v>
      </c>
      <c r="H42" s="2508"/>
      <c r="I42" s="1295" t="e">
        <f>V42</f>
        <v>#DIV/0!</v>
      </c>
      <c r="J42" s="2508"/>
      <c r="K42" s="2510">
        <f>F42+H42+J42</f>
        <v>0</v>
      </c>
      <c r="L42" s="1057"/>
      <c r="M42" s="1058"/>
      <c r="N42" s="1045"/>
      <c r="O42" s="1058"/>
      <c r="P42" s="3483" t="str">
        <f>A42</f>
        <v>比较价值（元/平方米）</v>
      </c>
      <c r="Q42" s="348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80" t="str">
        <f>A43</f>
        <v>估价对象XX用房的比较价值（楼面单价，元/平方米）</v>
      </c>
      <c r="Q43" s="3481"/>
      <c r="R43" s="3553" t="e">
        <f>IF(F1="售价",ROUND(IF(D42="简单平均",AVERAGE(R42:V42),R42*F42+T42*H42+V42*J42),0),ROUND(IF(D42="简单平均",AVERAGE(R42:V42),R42*F42+T42*H42+V42*J42),1))</f>
        <v>#DIV/0!</v>
      </c>
      <c r="S43" s="3553"/>
      <c r="T43" s="3553"/>
      <c r="U43" s="3553"/>
      <c r="V43" s="3553"/>
      <c r="W43" s="3553"/>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7"/>
      <c r="O54" s="2968"/>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65"/>
      <c r="F1" s="2034"/>
      <c r="G1" s="1366" t="s">
        <v>2403</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2087</v>
      </c>
      <c r="B2" s="1298" t="e">
        <f ca="1">IF(C2="——",IF(B37="元/平方米",ROUND(C39*D3/10000,0),ROUND(F3*C39/10000,0)),IF(B37="元/平方米",ROUND(C39*D3/10000,0),ROUND(F3*C39/10000,0))-D2)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SUMIF(48:48,YEAR(E7)&amp;"-"&amp;MONTH(E7),49:49)</f>
        <v>0</v>
      </c>
      <c r="G7" s="372"/>
      <c r="H7" s="371">
        <f>SUMIF(48:48,YEAR(G7)&amp;"-"&amp;MONTH(G7),49:49)</f>
        <v>0</v>
      </c>
      <c r="I7" s="372"/>
      <c r="J7" s="371">
        <f>SUMIF(48:48,YEAR(I7)&amp;"-"&amp;MONTH(I7),49:49)</f>
        <v>0</v>
      </c>
      <c r="K7" s="568"/>
      <c r="L7" s="2914"/>
      <c r="M7" s="2915"/>
      <c r="N7" s="2915"/>
      <c r="O7" s="2915"/>
      <c r="P7" s="3505" t="s">
        <v>2309</v>
      </c>
      <c r="Q7" s="3518"/>
      <c r="R7" s="710" t="s">
        <v>17</v>
      </c>
      <c r="S7" s="711">
        <f t="shared" ref="S7:S14" si="0">F7</f>
        <v>0</v>
      </c>
      <c r="T7" s="710" t="s">
        <v>17</v>
      </c>
      <c r="U7" s="711">
        <f t="shared" ref="U7:U14" si="1">H7</f>
        <v>0</v>
      </c>
      <c r="V7" s="710" t="s">
        <v>17</v>
      </c>
      <c r="W7" s="711">
        <f t="shared" ref="W7:W14"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83" t="s">
        <v>2315</v>
      </c>
      <c r="Q9" s="1496" t="str">
        <f t="shared" ref="Q9:Q14" si="6">B9</f>
        <v>用途</v>
      </c>
      <c r="R9" s="710" t="s">
        <v>17</v>
      </c>
      <c r="S9" s="711">
        <f t="shared" si="0"/>
        <v>100</v>
      </c>
      <c r="T9" s="710" t="s">
        <v>17</v>
      </c>
      <c r="U9" s="711">
        <f t="shared" si="1"/>
        <v>100</v>
      </c>
      <c r="V9" s="710" t="s">
        <v>17</v>
      </c>
      <c r="W9" s="711">
        <f t="shared" si="2"/>
        <v>100</v>
      </c>
      <c r="X9" s="712"/>
      <c r="Y9" s="345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83"/>
      <c r="Q11" s="1496">
        <f t="shared" si="6"/>
        <v>111</v>
      </c>
      <c r="R11" s="710" t="s">
        <v>17</v>
      </c>
      <c r="S11" s="711">
        <f t="shared" si="0"/>
        <v>100</v>
      </c>
      <c r="T11" s="710" t="s">
        <v>17</v>
      </c>
      <c r="U11" s="711">
        <f t="shared" si="1"/>
        <v>100</v>
      </c>
      <c r="V11" s="710" t="s">
        <v>17</v>
      </c>
      <c r="W11" s="711">
        <f t="shared" si="2"/>
        <v>100</v>
      </c>
      <c r="X11" s="712"/>
      <c r="Y11" s="34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85.5">
      <c r="A14" s="361" t="s">
        <v>2319</v>
      </c>
      <c r="B14" s="585" t="s">
        <v>2469</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19"/>
      <c r="M15" s="2913"/>
      <c r="N15" s="2913"/>
      <c r="O15" s="2913"/>
      <c r="P15" s="3487"/>
      <c r="Q15" s="1505"/>
      <c r="R15" s="714"/>
      <c r="S15" s="715"/>
      <c r="T15" s="714"/>
      <c r="U15" s="715"/>
      <c r="V15" s="714"/>
      <c r="W15" s="715"/>
      <c r="X15" s="1508"/>
      <c r="Y15" s="3487"/>
      <c r="Z15" s="1509"/>
      <c r="AA15" s="1506">
        <v>1</v>
      </c>
      <c r="AB15" s="1506">
        <v>1</v>
      </c>
      <c r="AC15" s="1506">
        <v>1</v>
      </c>
    </row>
    <row r="16" spans="1:29" ht="42.75">
      <c r="A16" s="364"/>
      <c r="B16" s="587" t="s">
        <v>2448</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19"/>
      <c r="M17" s="2913"/>
      <c r="N17" s="2913"/>
      <c r="O17" s="2913"/>
      <c r="P17" s="3487"/>
      <c r="Q17" s="1505"/>
      <c r="R17" s="714"/>
      <c r="S17" s="715"/>
      <c r="T17" s="714"/>
      <c r="U17" s="715"/>
      <c r="V17" s="714"/>
      <c r="W17" s="715"/>
      <c r="X17" s="1508"/>
      <c r="Y17" s="3487"/>
      <c r="Z17" s="1509"/>
      <c r="AA17" s="1506">
        <v>1</v>
      </c>
      <c r="AB17" s="1506">
        <v>1</v>
      </c>
      <c r="AC17" s="1506">
        <v>1</v>
      </c>
    </row>
    <row r="18" spans="1:29" ht="28.5">
      <c r="A18" s="364"/>
      <c r="B18" s="589" t="s">
        <v>2449</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19"/>
      <c r="M19" s="2913"/>
      <c r="N19" s="2913"/>
      <c r="O19" s="2913"/>
      <c r="P19" s="3487"/>
      <c r="Q19" s="1505"/>
      <c r="R19" s="714"/>
      <c r="S19" s="715"/>
      <c r="T19" s="714"/>
      <c r="U19" s="715"/>
      <c r="V19" s="714"/>
      <c r="W19" s="715"/>
      <c r="X19" s="1508"/>
      <c r="Y19" s="3487"/>
      <c r="Z19" s="1509"/>
      <c r="AA19" s="1506">
        <v>1</v>
      </c>
      <c r="AB19" s="1506">
        <v>1</v>
      </c>
      <c r="AC19" s="1506">
        <v>1</v>
      </c>
    </row>
    <row r="20" spans="1:29" ht="57">
      <c r="A20" s="364"/>
      <c r="B20" s="587" t="s">
        <v>2470</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19"/>
      <c r="M21" s="2913"/>
      <c r="N21" s="2913"/>
      <c r="O21" s="2913"/>
      <c r="P21" s="3487"/>
      <c r="Q21" s="1505"/>
      <c r="R21" s="714"/>
      <c r="S21" s="715"/>
      <c r="T21" s="714"/>
      <c r="U21" s="715"/>
      <c r="V21" s="714"/>
      <c r="W21" s="715"/>
      <c r="X21" s="1508"/>
      <c r="Y21" s="3487"/>
      <c r="Z21" s="1509"/>
      <c r="AA21" s="1506">
        <v>1</v>
      </c>
      <c r="AB21" s="1506">
        <v>1</v>
      </c>
      <c r="AC21" s="1506">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87"/>
      <c r="Q24" s="1505">
        <f t="shared" ref="Q24:Q36"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608" t="s">
        <v>2323</v>
      </c>
      <c r="B26" s="66" t="s">
        <v>2472</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88" t="s">
        <v>2325</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489" t="s">
        <v>2325</v>
      </c>
      <c r="Z26" s="1509" t="str">
        <f t="shared" ref="Z26:Z36" si="15">Q26</f>
        <v>配套类型</v>
      </c>
      <c r="AA26" s="1506">
        <f t="shared" si="3"/>
        <v>1</v>
      </c>
      <c r="AB26" s="1506">
        <f t="shared" si="4"/>
        <v>1</v>
      </c>
      <c r="AC26" s="1506">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89"/>
      <c r="Q27" s="716" t="str">
        <f t="shared" si="11"/>
        <v>项目停车位配比</v>
      </c>
      <c r="R27" s="717" t="s">
        <v>17</v>
      </c>
      <c r="S27" s="718">
        <f t="shared" si="12"/>
        <v>100</v>
      </c>
      <c r="T27" s="717" t="s">
        <v>17</v>
      </c>
      <c r="U27" s="718">
        <f t="shared" si="13"/>
        <v>100</v>
      </c>
      <c r="V27" s="717" t="s">
        <v>17</v>
      </c>
      <c r="W27" s="718">
        <f t="shared" si="14"/>
        <v>100</v>
      </c>
      <c r="X27" s="719"/>
      <c r="Y27" s="3489"/>
      <c r="Z27" s="720" t="str">
        <f t="shared" si="15"/>
        <v>项目停车位配比</v>
      </c>
      <c r="AA27" s="1506">
        <f t="shared" si="3"/>
        <v>1</v>
      </c>
      <c r="AB27" s="1506">
        <f t="shared" si="4"/>
        <v>1</v>
      </c>
      <c r="AC27" s="1506">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89"/>
      <c r="Q28" s="1505" t="str">
        <f t="shared" si="11"/>
        <v>公共部分装修</v>
      </c>
      <c r="R28" s="714" t="s">
        <v>17</v>
      </c>
      <c r="S28" s="715">
        <f t="shared" si="12"/>
        <v>100</v>
      </c>
      <c r="T28" s="714" t="s">
        <v>17</v>
      </c>
      <c r="U28" s="715">
        <f t="shared" si="13"/>
        <v>100</v>
      </c>
      <c r="V28" s="714" t="s">
        <v>17</v>
      </c>
      <c r="W28" s="715">
        <f t="shared" si="14"/>
        <v>100</v>
      </c>
      <c r="X28" s="1508"/>
      <c r="Y28" s="3489"/>
      <c r="Z28" s="1509" t="str">
        <f t="shared" si="15"/>
        <v>公共部分装修</v>
      </c>
      <c r="AA28" s="1506">
        <f t="shared" si="3"/>
        <v>1</v>
      </c>
      <c r="AB28" s="1506">
        <f t="shared" si="4"/>
        <v>1</v>
      </c>
      <c r="AC28" s="1506">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89"/>
      <c r="Q29" s="1505" t="str">
        <f t="shared" si="11"/>
        <v>成新率</v>
      </c>
      <c r="R29" s="714" t="s">
        <v>17</v>
      </c>
      <c r="S29" s="715" t="e">
        <f t="shared" si="12"/>
        <v>#N/A</v>
      </c>
      <c r="T29" s="714" t="s">
        <v>17</v>
      </c>
      <c r="U29" s="715" t="e">
        <f t="shared" si="13"/>
        <v>#N/A</v>
      </c>
      <c r="V29" s="714" t="s">
        <v>17</v>
      </c>
      <c r="W29" s="715" t="e">
        <f t="shared" si="14"/>
        <v>#N/A</v>
      </c>
      <c r="X29" s="1508"/>
      <c r="Y29" s="3489"/>
      <c r="Z29" s="1509" t="str">
        <f t="shared" si="15"/>
        <v>成新率</v>
      </c>
      <c r="AA29" s="1506" t="e">
        <f t="shared" si="3"/>
        <v>#N/A</v>
      </c>
      <c r="AB29" s="1506" t="e">
        <f t="shared" si="4"/>
        <v>#N/A</v>
      </c>
      <c r="AC29" s="1506"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89"/>
      <c r="Q30" s="1505" t="str">
        <f t="shared" si="11"/>
        <v>物业等级</v>
      </c>
      <c r="R30" s="714" t="s">
        <v>17</v>
      </c>
      <c r="S30" s="715">
        <f t="shared" si="12"/>
        <v>100</v>
      </c>
      <c r="T30" s="714" t="s">
        <v>17</v>
      </c>
      <c r="U30" s="715">
        <f t="shared" si="13"/>
        <v>100</v>
      </c>
      <c r="V30" s="714" t="s">
        <v>17</v>
      </c>
      <c r="W30" s="715">
        <f t="shared" si="14"/>
        <v>100</v>
      </c>
      <c r="X30" s="1508"/>
      <c r="Y30" s="3489"/>
      <c r="Z30" s="1509" t="str">
        <f t="shared" si="15"/>
        <v>物业等级</v>
      </c>
      <c r="AA30" s="1506">
        <f t="shared" si="3"/>
        <v>1</v>
      </c>
      <c r="AB30" s="1506">
        <f t="shared" si="4"/>
        <v>1</v>
      </c>
      <c r="AC30" s="1506">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89"/>
      <c r="Q31" s="1496" t="str">
        <f t="shared" si="11"/>
        <v>停车位面积</v>
      </c>
      <c r="R31" s="710" t="s">
        <v>17</v>
      </c>
      <c r="S31" s="711" t="e">
        <f t="shared" si="12"/>
        <v>#N/A</v>
      </c>
      <c r="T31" s="710" t="s">
        <v>17</v>
      </c>
      <c r="U31" s="711" t="e">
        <f t="shared" si="13"/>
        <v>#N/A</v>
      </c>
      <c r="V31" s="710" t="s">
        <v>17</v>
      </c>
      <c r="W31" s="711" t="e">
        <f t="shared" si="14"/>
        <v>#N/A</v>
      </c>
      <c r="X31" s="712"/>
      <c r="Y31" s="3489"/>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89" t="s">
        <v>2325</v>
      </c>
      <c r="Q32" s="1505" t="str">
        <f t="shared" si="11"/>
        <v>车位类型</v>
      </c>
      <c r="R32" s="714" t="s">
        <v>17</v>
      </c>
      <c r="S32" s="715">
        <f t="shared" si="12"/>
        <v>100</v>
      </c>
      <c r="T32" s="714" t="s">
        <v>17</v>
      </c>
      <c r="U32" s="715">
        <f t="shared" si="13"/>
        <v>100</v>
      </c>
      <c r="V32" s="714" t="s">
        <v>17</v>
      </c>
      <c r="W32" s="715">
        <f t="shared" si="14"/>
        <v>100</v>
      </c>
      <c r="X32" s="1508"/>
      <c r="Y32" s="3489" t="s">
        <v>2325</v>
      </c>
      <c r="Z32" s="1509" t="str">
        <f t="shared" si="15"/>
        <v>车位类型</v>
      </c>
      <c r="AA32" s="1506">
        <f t="shared" si="3"/>
        <v>1</v>
      </c>
      <c r="AB32" s="1506">
        <f t="shared" si="4"/>
        <v>1</v>
      </c>
      <c r="AC32" s="1506">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89"/>
      <c r="Q33" s="1505" t="str">
        <f t="shared" si="11"/>
        <v>是否直接入户</v>
      </c>
      <c r="R33" s="714" t="s">
        <v>17</v>
      </c>
      <c r="S33" s="715">
        <f t="shared" si="12"/>
        <v>100</v>
      </c>
      <c r="T33" s="714" t="s">
        <v>17</v>
      </c>
      <c r="U33" s="715">
        <f t="shared" si="13"/>
        <v>100</v>
      </c>
      <c r="V33" s="714" t="s">
        <v>17</v>
      </c>
      <c r="W33" s="715">
        <f t="shared" si="14"/>
        <v>100</v>
      </c>
      <c r="X33" s="1508"/>
      <c r="Y33" s="3489"/>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89"/>
      <c r="Q35" s="716">
        <f t="shared" si="11"/>
        <v>111</v>
      </c>
      <c r="R35" s="717" t="s">
        <v>17</v>
      </c>
      <c r="S35" s="718">
        <f t="shared" si="12"/>
        <v>100</v>
      </c>
      <c r="T35" s="717" t="s">
        <v>17</v>
      </c>
      <c r="U35" s="718">
        <f t="shared" si="13"/>
        <v>100</v>
      </c>
      <c r="V35" s="717" t="s">
        <v>17</v>
      </c>
      <c r="W35" s="718">
        <f t="shared" si="14"/>
        <v>100</v>
      </c>
      <c r="X35" s="719"/>
      <c r="Y35" s="3489"/>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89"/>
      <c r="Q36" s="1505">
        <f t="shared" si="11"/>
        <v>111</v>
      </c>
      <c r="R36" s="714" t="s">
        <v>17</v>
      </c>
      <c r="S36" s="715">
        <f t="shared" si="12"/>
        <v>100</v>
      </c>
      <c r="T36" s="714" t="s">
        <v>17</v>
      </c>
      <c r="U36" s="715">
        <f t="shared" si="13"/>
        <v>100</v>
      </c>
      <c r="V36" s="714" t="s">
        <v>17</v>
      </c>
      <c r="W36" s="715">
        <f t="shared" si="14"/>
        <v>100</v>
      </c>
      <c r="X36" s="1508"/>
      <c r="Y36" s="3489"/>
      <c r="Z36" s="1509">
        <f t="shared" si="15"/>
        <v>111</v>
      </c>
      <c r="AA36" s="1506">
        <f t="shared" si="3"/>
        <v>1</v>
      </c>
      <c r="AB36" s="1506">
        <f t="shared" si="4"/>
        <v>1</v>
      </c>
      <c r="AC36" s="1506">
        <f t="shared" si="5"/>
        <v>1</v>
      </c>
    </row>
    <row r="37" spans="1:29" ht="15">
      <c r="A37" s="438" t="s">
        <v>2480</v>
      </c>
      <c r="B37" s="2128" t="s">
        <v>2481</v>
      </c>
      <c r="C37" s="1288" t="s">
        <v>1</v>
      </c>
      <c r="D37" s="1289"/>
      <c r="E37" s="1290"/>
      <c r="F37" s="1291"/>
      <c r="G37" s="1292"/>
      <c r="H37" s="1293"/>
      <c r="I37" s="1290"/>
      <c r="J37" s="1293"/>
      <c r="K37" s="576"/>
      <c r="L37" s="2921"/>
      <c r="M37" s="2922"/>
      <c r="N37" s="2913"/>
      <c r="O37" s="2922"/>
      <c r="P37" s="3483" t="str">
        <f>A37</f>
        <v>成交单价</v>
      </c>
      <c r="Q37" s="3483"/>
      <c r="R37" s="3554">
        <f>E37</f>
        <v>0</v>
      </c>
      <c r="S37" s="3554"/>
      <c r="T37" s="3554">
        <f>G37</f>
        <v>0</v>
      </c>
      <c r="U37" s="3554"/>
      <c r="V37" s="3554">
        <f>I37</f>
        <v>0</v>
      </c>
      <c r="W37" s="3554"/>
      <c r="X37" s="699"/>
      <c r="Y37" s="721"/>
      <c r="Z37" s="699"/>
      <c r="AA37" s="699"/>
      <c r="AB37" s="699"/>
      <c r="AC37" s="699"/>
    </row>
    <row r="38" spans="1:29" ht="15.75" thickBot="1">
      <c r="A38" s="445" t="s">
        <v>2482</v>
      </c>
      <c r="B38" s="446" t="str">
        <f>B37</f>
        <v>元/车位</v>
      </c>
      <c r="C38" s="1294" t="e">
        <f>R39</f>
        <v>#DIV/0!</v>
      </c>
      <c r="D38" s="2507" t="s">
        <v>2817</v>
      </c>
      <c r="E38" s="1295" t="e">
        <f>R38</f>
        <v>#DIV/0!</v>
      </c>
      <c r="F38" s="2508"/>
      <c r="G38" s="1294" t="e">
        <f>T38</f>
        <v>#DIV/0!</v>
      </c>
      <c r="H38" s="2508"/>
      <c r="I38" s="1295" t="e">
        <f>V38</f>
        <v>#DIV/0!</v>
      </c>
      <c r="J38" s="2508"/>
      <c r="K38" s="2510">
        <f>F38+H38+J38</f>
        <v>0</v>
      </c>
      <c r="L38" s="2921"/>
      <c r="M38" s="2922"/>
      <c r="N38" s="2922"/>
      <c r="O38" s="2922"/>
      <c r="P38" s="3483" t="str">
        <f>A38</f>
        <v>比较价值（元/平方米）</v>
      </c>
      <c r="Q38" s="3483"/>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1"/>
      <c r="M39" s="2922"/>
      <c r="N39" s="2922"/>
      <c r="O39" s="2922"/>
      <c r="P39" s="3480" t="str">
        <f>A39</f>
        <v>估价对象XX用房的比较价值（楼面单价，元/平方米）</v>
      </c>
      <c r="Q39" s="3481"/>
      <c r="R39" s="3576" t="e">
        <f>IF(F1="售价",ROUND(IF(D38="简单平均",AVERAGE(R38:W38),R38*F38+T38*H38+V38*J38),0),ROUND(IF(D38="简单平均",AVERAGE(R38:V38),R38*F38+T38*H38+V38*J38),1))</f>
        <v>#DIV/0!</v>
      </c>
      <c r="S39" s="3576"/>
      <c r="T39" s="3576"/>
      <c r="U39" s="3576"/>
      <c r="V39" s="3576"/>
      <c r="W39" s="3576"/>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2487</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2488</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2345</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2310</v>
      </c>
      <c r="B51" s="467"/>
      <c r="C51" s="479" t="s">
        <v>2412</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2348</v>
      </c>
      <c r="B53" s="485" t="s">
        <v>2314</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2363</v>
      </c>
      <c r="C65" s="535" t="s">
        <v>2357</v>
      </c>
      <c r="D65" s="535" t="s">
        <v>2358</v>
      </c>
      <c r="E65" s="535" t="s">
        <v>2359</v>
      </c>
      <c r="F65" s="535" t="s">
        <v>2360</v>
      </c>
      <c r="G65" s="535" t="s">
        <v>2361</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2449</v>
      </c>
      <c r="C67" s="616" t="s">
        <v>2435</v>
      </c>
      <c r="D67" s="616" t="s">
        <v>2436</v>
      </c>
      <c r="E67" s="616" t="s">
        <v>2437</v>
      </c>
      <c r="F67" s="616" t="s">
        <v>2438</v>
      </c>
      <c r="G67" s="616" t="s">
        <v>2439</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2369</v>
      </c>
      <c r="C69" s="535" t="s">
        <v>2357</v>
      </c>
      <c r="D69" s="535" t="s">
        <v>2358</v>
      </c>
      <c r="E69" s="535" t="s">
        <v>2359</v>
      </c>
      <c r="F69" s="535" t="s">
        <v>2360</v>
      </c>
      <c r="G69" s="535" t="s">
        <v>2361</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2489</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2323</v>
      </c>
      <c r="B79" s="485" t="s">
        <v>2490</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2491</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2376</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2493</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2495</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2496</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2467</v>
      </c>
      <c r="B1" s="1362"/>
      <c r="C1" s="1363" t="s">
        <v>2290</v>
      </c>
      <c r="D1" s="1364"/>
      <c r="E1" s="1373"/>
      <c r="F1" s="2034"/>
      <c r="G1" s="1374" t="s">
        <v>2403</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2087</v>
      </c>
      <c r="B2" s="1298" t="e">
        <f ca="1">IF(C2="——",ROUND(C37*D3/10000,0),ROUND(C37*D3/10000,0)-D2)</f>
        <v>#DIV/0!</v>
      </c>
      <c r="C2" s="2036"/>
      <c r="D2" s="1038" t="e">
        <f ca="1">SUMIF(INDIRECT("'"&amp;F2&amp;"'"&amp;"!A:A"),"承租人权益价值",INDIRECT("'"&amp;F2&amp;"'"&amp;"!c:c"))</f>
        <v>#REF!</v>
      </c>
      <c r="E2" s="2037" t="s">
        <v>2088</v>
      </c>
      <c r="F2" s="2038"/>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29"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29"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29" s="113" customFormat="1" ht="15.75" thickBot="1">
      <c r="A7" s="368" t="s">
        <v>2308</v>
      </c>
      <c r="B7" s="369"/>
      <c r="C7" s="370">
        <f>'数据-取费表'!B2</f>
        <v>44607</v>
      </c>
      <c r="D7" s="371">
        <v>100</v>
      </c>
      <c r="E7" s="372"/>
      <c r="F7" s="373">
        <f>SUMIF(46:46,YEAR(E7)&amp;"-"&amp;MONTH(E7),47:47)</f>
        <v>0</v>
      </c>
      <c r="G7" s="2129"/>
      <c r="H7" s="371">
        <f>SUMIF(46:46,YEAR(G7)&amp;"-"&amp;MONTH(G7),47:47)</f>
        <v>0</v>
      </c>
      <c r="I7" s="372"/>
      <c r="J7" s="371">
        <f>SUMIF(46:46,YEAR(I7)&amp;"-"&amp;MONTH(I7),47:47)</f>
        <v>0</v>
      </c>
      <c r="K7" s="568"/>
      <c r="L7" s="2914"/>
      <c r="M7" s="2915"/>
      <c r="N7" s="2915"/>
      <c r="O7" s="2915"/>
      <c r="P7" s="3505" t="s">
        <v>2309</v>
      </c>
      <c r="Q7" s="3518"/>
      <c r="R7" s="710" t="s">
        <v>17</v>
      </c>
      <c r="S7" s="711">
        <f t="shared" ref="S7:S14" si="0">F7</f>
        <v>0</v>
      </c>
      <c r="T7" s="710" t="s">
        <v>17</v>
      </c>
      <c r="U7" s="711">
        <f t="shared" ref="U7:U14" si="1">H7</f>
        <v>0</v>
      </c>
      <c r="V7" s="710" t="s">
        <v>17</v>
      </c>
      <c r="W7" s="711">
        <f t="shared" ref="W7:W14" si="2">J7</f>
        <v>0</v>
      </c>
      <c r="X7" s="712"/>
      <c r="Y7" s="3505" t="s">
        <v>2309</v>
      </c>
      <c r="Z7" s="3506"/>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83" t="s">
        <v>2315</v>
      </c>
      <c r="Q9" s="1496" t="str">
        <f t="shared" ref="Q9:Q14" si="6">B9</f>
        <v>用途</v>
      </c>
      <c r="R9" s="710" t="s">
        <v>17</v>
      </c>
      <c r="S9" s="711">
        <f t="shared" si="0"/>
        <v>100</v>
      </c>
      <c r="T9" s="710" t="s">
        <v>17</v>
      </c>
      <c r="U9" s="711">
        <f t="shared" si="1"/>
        <v>100</v>
      </c>
      <c r="V9" s="710" t="s">
        <v>17</v>
      </c>
      <c r="W9" s="711">
        <f t="shared" si="2"/>
        <v>100</v>
      </c>
      <c r="X9" s="712"/>
      <c r="Y9" s="345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83"/>
      <c r="Q10" s="1496" t="str">
        <f t="shared" si="6"/>
        <v>土地使用年限（年）</v>
      </c>
      <c r="R10" s="710" t="s">
        <v>17</v>
      </c>
      <c r="S10" s="711">
        <f t="shared" si="0"/>
        <v>100</v>
      </c>
      <c r="T10" s="710" t="s">
        <v>17</v>
      </c>
      <c r="U10" s="711">
        <f t="shared" si="1"/>
        <v>100</v>
      </c>
      <c r="V10" s="710" t="s">
        <v>17</v>
      </c>
      <c r="W10" s="711">
        <f t="shared" si="2"/>
        <v>100</v>
      </c>
      <c r="X10" s="712"/>
      <c r="Y10" s="3453"/>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83"/>
      <c r="Q11" s="1496">
        <f t="shared" si="6"/>
        <v>111</v>
      </c>
      <c r="R11" s="710" t="s">
        <v>17</v>
      </c>
      <c r="S11" s="711">
        <f t="shared" si="0"/>
        <v>100</v>
      </c>
      <c r="T11" s="710" t="s">
        <v>17</v>
      </c>
      <c r="U11" s="711">
        <f t="shared" si="1"/>
        <v>100</v>
      </c>
      <c r="V11" s="710" t="s">
        <v>17</v>
      </c>
      <c r="W11" s="711">
        <f t="shared" si="2"/>
        <v>100</v>
      </c>
      <c r="X11" s="712"/>
      <c r="Y11" s="3453"/>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83"/>
      <c r="Q12" s="1496">
        <f t="shared" si="6"/>
        <v>111</v>
      </c>
      <c r="R12" s="710" t="s">
        <v>17</v>
      </c>
      <c r="S12" s="711">
        <f t="shared" si="0"/>
        <v>100</v>
      </c>
      <c r="T12" s="710" t="s">
        <v>17</v>
      </c>
      <c r="U12" s="711">
        <f t="shared" si="1"/>
        <v>100</v>
      </c>
      <c r="V12" s="710" t="s">
        <v>17</v>
      </c>
      <c r="W12" s="711">
        <f t="shared" si="2"/>
        <v>100</v>
      </c>
      <c r="X12" s="712"/>
      <c r="Y12" s="3453"/>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 t="shared" si="3"/>
        <v>1</v>
      </c>
      <c r="AB13" s="713">
        <f t="shared" si="4"/>
        <v>1</v>
      </c>
      <c r="AC13" s="713">
        <f t="shared" si="5"/>
        <v>1</v>
      </c>
    </row>
    <row r="14" spans="1:29" ht="85.5">
      <c r="A14" s="399" t="s">
        <v>2319</v>
      </c>
      <c r="B14" s="65" t="s">
        <v>2469</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86" t="s">
        <v>2320</v>
      </c>
      <c r="Q14" s="1505" t="str">
        <f t="shared" si="6"/>
        <v>交通便捷度</v>
      </c>
      <c r="R14" s="714" t="s">
        <v>17</v>
      </c>
      <c r="S14" s="715">
        <f t="shared" si="0"/>
        <v>100</v>
      </c>
      <c r="T14" s="714" t="s">
        <v>17</v>
      </c>
      <c r="U14" s="715">
        <f t="shared" si="1"/>
        <v>100</v>
      </c>
      <c r="V14" s="714" t="s">
        <v>17</v>
      </c>
      <c r="W14" s="715">
        <f t="shared" si="2"/>
        <v>100</v>
      </c>
      <c r="X14" s="1508"/>
      <c r="Y14" s="3486" t="s">
        <v>2320</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19"/>
      <c r="M15" s="2913"/>
      <c r="N15" s="2913"/>
      <c r="O15" s="2971"/>
      <c r="P15" s="3487"/>
      <c r="Q15" s="1505"/>
      <c r="R15" s="714"/>
      <c r="S15" s="715"/>
      <c r="T15" s="714"/>
      <c r="U15" s="715"/>
      <c r="V15" s="714"/>
      <c r="W15" s="715"/>
      <c r="X15" s="1508"/>
      <c r="Y15" s="3487"/>
      <c r="Z15" s="1509"/>
      <c r="AA15" s="1506">
        <v>1</v>
      </c>
      <c r="AB15" s="1506">
        <v>1</v>
      </c>
      <c r="AC15" s="1506">
        <v>1</v>
      </c>
    </row>
    <row r="16" spans="1:29" ht="42.75">
      <c r="A16" s="387"/>
      <c r="B16" s="410" t="s">
        <v>2448</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87"/>
      <c r="Q16" s="1505" t="str">
        <f>B16</f>
        <v>公共配套设施</v>
      </c>
      <c r="R16" s="714" t="s">
        <v>17</v>
      </c>
      <c r="S16" s="715">
        <f>F16</f>
        <v>100</v>
      </c>
      <c r="T16" s="714" t="s">
        <v>17</v>
      </c>
      <c r="U16" s="715">
        <f>H16</f>
        <v>100</v>
      </c>
      <c r="V16" s="714" t="s">
        <v>17</v>
      </c>
      <c r="W16" s="715">
        <f>J16</f>
        <v>100</v>
      </c>
      <c r="X16" s="1508"/>
      <c r="Y16" s="3487"/>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19"/>
      <c r="M17" s="2913"/>
      <c r="N17" s="2913"/>
      <c r="O17" s="2971"/>
      <c r="P17" s="3487"/>
      <c r="Q17" s="1505"/>
      <c r="R17" s="714"/>
      <c r="S17" s="715"/>
      <c r="T17" s="714"/>
      <c r="U17" s="715"/>
      <c r="V17" s="714"/>
      <c r="W17" s="715"/>
      <c r="X17" s="1508"/>
      <c r="Y17" s="3487"/>
      <c r="Z17" s="1509"/>
      <c r="AA17" s="1506">
        <v>1</v>
      </c>
      <c r="AB17" s="1506">
        <v>1</v>
      </c>
      <c r="AC17" s="1506">
        <v>1</v>
      </c>
    </row>
    <row r="18" spans="1:29" ht="28.5">
      <c r="A18" s="387"/>
      <c r="B18" s="1265" t="s">
        <v>2449</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87"/>
      <c r="Q18" s="1505" t="str">
        <f>B18</f>
        <v>基础设施水平</v>
      </c>
      <c r="R18" s="714" t="s">
        <v>17</v>
      </c>
      <c r="S18" s="715">
        <f>F18</f>
        <v>100</v>
      </c>
      <c r="T18" s="714" t="s">
        <v>17</v>
      </c>
      <c r="U18" s="715">
        <f>H18</f>
        <v>100</v>
      </c>
      <c r="V18" s="714" t="s">
        <v>17</v>
      </c>
      <c r="W18" s="715">
        <f>J18</f>
        <v>100</v>
      </c>
      <c r="X18" s="1508"/>
      <c r="Y18" s="3487"/>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19"/>
      <c r="M19" s="2913"/>
      <c r="N19" s="2913"/>
      <c r="O19" s="2971"/>
      <c r="P19" s="3487"/>
      <c r="Q19" s="1505"/>
      <c r="R19" s="714"/>
      <c r="S19" s="715"/>
      <c r="T19" s="714"/>
      <c r="U19" s="715"/>
      <c r="V19" s="714"/>
      <c r="W19" s="715"/>
      <c r="X19" s="1508"/>
      <c r="Y19" s="3487"/>
      <c r="Z19" s="1509"/>
      <c r="AA19" s="1506">
        <v>1</v>
      </c>
      <c r="AB19" s="1506">
        <v>1</v>
      </c>
      <c r="AC19" s="1506">
        <v>1</v>
      </c>
    </row>
    <row r="20" spans="1:29" ht="57">
      <c r="A20" s="387"/>
      <c r="B20" s="410" t="s">
        <v>2470</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87"/>
      <c r="Q20" s="1505" t="str">
        <f>B20</f>
        <v>自然及人文环境</v>
      </c>
      <c r="R20" s="714" t="s">
        <v>17</v>
      </c>
      <c r="S20" s="715">
        <f>F20</f>
        <v>100</v>
      </c>
      <c r="T20" s="714" t="s">
        <v>17</v>
      </c>
      <c r="U20" s="715">
        <f>H20</f>
        <v>100</v>
      </c>
      <c r="V20" s="714" t="s">
        <v>17</v>
      </c>
      <c r="W20" s="715">
        <f>J20</f>
        <v>100</v>
      </c>
      <c r="X20" s="1508"/>
      <c r="Y20" s="3487"/>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19"/>
      <c r="M21" s="2913"/>
      <c r="N21" s="2913"/>
      <c r="O21" s="2971"/>
      <c r="P21" s="3487"/>
      <c r="Q21" s="1505"/>
      <c r="R21" s="714"/>
      <c r="S21" s="715"/>
      <c r="T21" s="714"/>
      <c r="U21" s="715"/>
      <c r="V21" s="714"/>
      <c r="W21" s="715"/>
      <c r="X21" s="1508"/>
      <c r="Y21" s="3487"/>
      <c r="Z21" s="1509"/>
      <c r="AA21" s="1506">
        <v>1</v>
      </c>
      <c r="AB21" s="1506">
        <v>1</v>
      </c>
      <c r="AC21" s="1506">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87"/>
      <c r="Q22" s="1505" t="str">
        <f>B22</f>
        <v>楼层</v>
      </c>
      <c r="R22" s="714" t="s">
        <v>17</v>
      </c>
      <c r="S22" s="715">
        <f>F22</f>
        <v>100</v>
      </c>
      <c r="T22" s="714" t="s">
        <v>17</v>
      </c>
      <c r="U22" s="715">
        <f>H22</f>
        <v>100</v>
      </c>
      <c r="V22" s="714" t="s">
        <v>17</v>
      </c>
      <c r="W22" s="715">
        <f>J22</f>
        <v>100</v>
      </c>
      <c r="X22" s="1508"/>
      <c r="Y22" s="3487"/>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87"/>
      <c r="Q23" s="1505">
        <f>B23</f>
        <v>111</v>
      </c>
      <c r="R23" s="714" t="s">
        <v>17</v>
      </c>
      <c r="S23" s="715">
        <f>F23</f>
        <v>100</v>
      </c>
      <c r="T23" s="714" t="s">
        <v>17</v>
      </c>
      <c r="U23" s="715">
        <f>H23</f>
        <v>100</v>
      </c>
      <c r="V23" s="714" t="s">
        <v>17</v>
      </c>
      <c r="W23" s="715">
        <f>J23</f>
        <v>100</v>
      </c>
      <c r="X23" s="1508"/>
      <c r="Y23" s="3487"/>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87"/>
      <c r="Q24" s="1505">
        <f t="shared" ref="Q24:Q34" si="11">B24</f>
        <v>111</v>
      </c>
      <c r="R24" s="714" t="s">
        <v>17</v>
      </c>
      <c r="S24" s="715">
        <f>F24</f>
        <v>100</v>
      </c>
      <c r="T24" s="714" t="s">
        <v>17</v>
      </c>
      <c r="U24" s="715">
        <f>H24</f>
        <v>100</v>
      </c>
      <c r="V24" s="714" t="s">
        <v>17</v>
      </c>
      <c r="W24" s="715">
        <f>J24</f>
        <v>100</v>
      </c>
      <c r="X24" s="1508"/>
      <c r="Y24" s="3487"/>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4"/>
      <c r="M25" s="2915"/>
      <c r="N25" s="2915"/>
      <c r="O25" s="2969"/>
      <c r="P25" s="3487"/>
      <c r="Q25" s="1496">
        <f t="shared" si="11"/>
        <v>111</v>
      </c>
      <c r="R25" s="710" t="s">
        <v>17</v>
      </c>
      <c r="S25" s="711">
        <f>F25</f>
        <v>100</v>
      </c>
      <c r="T25" s="710" t="s">
        <v>17</v>
      </c>
      <c r="U25" s="711">
        <f>H25</f>
        <v>100</v>
      </c>
      <c r="V25" s="710" t="s">
        <v>17</v>
      </c>
      <c r="W25" s="711">
        <f>J25</f>
        <v>100</v>
      </c>
      <c r="X25" s="712"/>
      <c r="Y25" s="3487"/>
      <c r="Z25" s="55">
        <f>Q25</f>
        <v>111</v>
      </c>
      <c r="AA25" s="1506">
        <f>D25/F25</f>
        <v>1</v>
      </c>
      <c r="AB25" s="1506">
        <f>D25/H25</f>
        <v>1</v>
      </c>
      <c r="AC25" s="1506">
        <f>D25/J25</f>
        <v>1</v>
      </c>
    </row>
    <row r="26" spans="1:29" ht="28.5">
      <c r="A26" s="425" t="s">
        <v>2323</v>
      </c>
      <c r="B26" s="67" t="s">
        <v>2474</v>
      </c>
      <c r="C26" s="2122"/>
      <c r="D26" s="426">
        <v>100</v>
      </c>
      <c r="E26" s="2122"/>
      <c r="F26" s="623">
        <f>SUMIF(77:77,E26,78:78)-SUMIF(77:77,C26,78:78)+100</f>
        <v>100</v>
      </c>
      <c r="G26" s="2122"/>
      <c r="H26" s="426">
        <f>SUMIF(77:77,G26,78:78)-SUMIF(77:77,C26,78:78)+100</f>
        <v>100</v>
      </c>
      <c r="I26" s="2122"/>
      <c r="J26" s="426">
        <f>SUMIF(77:77,I26,78:78)-SUMIF(77:77,C26,78:78)+100</f>
        <v>100</v>
      </c>
      <c r="K26" s="569"/>
      <c r="L26" s="2919"/>
      <c r="M26" s="2913"/>
      <c r="N26" s="2913"/>
      <c r="O26" s="2971"/>
      <c r="P26" s="3488" t="s">
        <v>2325</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489" t="s">
        <v>2325</v>
      </c>
      <c r="Z26" s="1509" t="str">
        <f t="shared" ref="Z26:Z34" si="15">Q26</f>
        <v>公共部分装修</v>
      </c>
      <c r="AA26" s="1506">
        <f t="shared" si="3"/>
        <v>1</v>
      </c>
      <c r="AB26" s="1506">
        <f t="shared" si="4"/>
        <v>1</v>
      </c>
      <c r="AC26" s="1506">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89"/>
      <c r="Q27" s="716" t="str">
        <f t="shared" si="11"/>
        <v>成新率</v>
      </c>
      <c r="R27" s="717" t="s">
        <v>17</v>
      </c>
      <c r="S27" s="718" t="e">
        <f t="shared" si="12"/>
        <v>#N/A</v>
      </c>
      <c r="T27" s="717" t="s">
        <v>17</v>
      </c>
      <c r="U27" s="718" t="e">
        <f t="shared" si="13"/>
        <v>#N/A</v>
      </c>
      <c r="V27" s="717" t="s">
        <v>17</v>
      </c>
      <c r="W27" s="718" t="e">
        <f t="shared" si="14"/>
        <v>#N/A</v>
      </c>
      <c r="X27" s="719"/>
      <c r="Y27" s="3489"/>
      <c r="Z27" s="720" t="str">
        <f t="shared" si="15"/>
        <v>成新率</v>
      </c>
      <c r="AA27" s="1506" t="e">
        <f t="shared" si="3"/>
        <v>#N/A</v>
      </c>
      <c r="AB27" s="1506" t="e">
        <f t="shared" si="4"/>
        <v>#N/A</v>
      </c>
      <c r="AC27" s="1506"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89"/>
      <c r="Q28" s="1505" t="str">
        <f t="shared" si="11"/>
        <v>物业等级</v>
      </c>
      <c r="R28" s="714" t="s">
        <v>17</v>
      </c>
      <c r="S28" s="715">
        <f t="shared" si="12"/>
        <v>100</v>
      </c>
      <c r="T28" s="714" t="s">
        <v>17</v>
      </c>
      <c r="U28" s="715">
        <f t="shared" si="13"/>
        <v>100</v>
      </c>
      <c r="V28" s="714" t="s">
        <v>17</v>
      </c>
      <c r="W28" s="715">
        <f t="shared" si="14"/>
        <v>100</v>
      </c>
      <c r="X28" s="1508"/>
      <c r="Y28" s="3489"/>
      <c r="Z28" s="1509" t="str">
        <f t="shared" si="15"/>
        <v>物业等级</v>
      </c>
      <c r="AA28" s="1506">
        <f t="shared" si="3"/>
        <v>1</v>
      </c>
      <c r="AB28" s="1506">
        <f t="shared" si="4"/>
        <v>1</v>
      </c>
      <c r="AC28" s="1506">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89"/>
      <c r="Q29" s="1505" t="str">
        <f t="shared" si="11"/>
        <v>有无电梯</v>
      </c>
      <c r="R29" s="714" t="s">
        <v>17</v>
      </c>
      <c r="S29" s="715">
        <f t="shared" si="12"/>
        <v>100</v>
      </c>
      <c r="T29" s="714" t="s">
        <v>17</v>
      </c>
      <c r="U29" s="715">
        <f t="shared" si="13"/>
        <v>100</v>
      </c>
      <c r="V29" s="714" t="s">
        <v>17</v>
      </c>
      <c r="W29" s="715">
        <f t="shared" si="14"/>
        <v>100</v>
      </c>
      <c r="X29" s="1508"/>
      <c r="Y29" s="3489"/>
      <c r="Z29" s="1509" t="str">
        <f t="shared" si="15"/>
        <v>有无电梯</v>
      </c>
      <c r="AA29" s="1506">
        <f t="shared" si="3"/>
        <v>1</v>
      </c>
      <c r="AB29" s="1506">
        <f t="shared" si="4"/>
        <v>1</v>
      </c>
      <c r="AC29" s="1506">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89"/>
      <c r="Q30" s="1505" t="str">
        <f t="shared" si="11"/>
        <v>建筑面积</v>
      </c>
      <c r="R30" s="714" t="s">
        <v>17</v>
      </c>
      <c r="S30" s="715" t="e">
        <f t="shared" si="12"/>
        <v>#N/A</v>
      </c>
      <c r="T30" s="714" t="s">
        <v>17</v>
      </c>
      <c r="U30" s="715" t="e">
        <f t="shared" si="13"/>
        <v>#N/A</v>
      </c>
      <c r="V30" s="714" t="s">
        <v>17</v>
      </c>
      <c r="W30" s="715" t="e">
        <f t="shared" si="14"/>
        <v>#N/A</v>
      </c>
      <c r="X30" s="1508"/>
      <c r="Y30" s="3489"/>
      <c r="Z30" s="1509" t="str">
        <f t="shared" si="15"/>
        <v>建筑面积</v>
      </c>
      <c r="AA30" s="1506" t="e">
        <f t="shared" si="3"/>
        <v>#N/A</v>
      </c>
      <c r="AB30" s="1506" t="e">
        <f t="shared" si="4"/>
        <v>#N/A</v>
      </c>
      <c r="AC30" s="1506"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89"/>
      <c r="Q31" s="1496" t="str">
        <f t="shared" si="11"/>
        <v>是否封闭</v>
      </c>
      <c r="R31" s="710" t="s">
        <v>17</v>
      </c>
      <c r="S31" s="711">
        <f t="shared" si="12"/>
        <v>100</v>
      </c>
      <c r="T31" s="710" t="s">
        <v>17</v>
      </c>
      <c r="U31" s="711">
        <f t="shared" si="13"/>
        <v>100</v>
      </c>
      <c r="V31" s="710" t="s">
        <v>17</v>
      </c>
      <c r="W31" s="711">
        <f t="shared" si="14"/>
        <v>100</v>
      </c>
      <c r="X31" s="712"/>
      <c r="Y31" s="3489"/>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89" t="s">
        <v>2325</v>
      </c>
      <c r="Q32" s="1505">
        <f t="shared" si="11"/>
        <v>111</v>
      </c>
      <c r="R32" s="714" t="s">
        <v>17</v>
      </c>
      <c r="S32" s="715">
        <f t="shared" si="12"/>
        <v>100</v>
      </c>
      <c r="T32" s="714" t="s">
        <v>17</v>
      </c>
      <c r="U32" s="715">
        <f t="shared" si="13"/>
        <v>100</v>
      </c>
      <c r="V32" s="714" t="s">
        <v>17</v>
      </c>
      <c r="W32" s="715">
        <f t="shared" si="14"/>
        <v>100</v>
      </c>
      <c r="X32" s="1508"/>
      <c r="Y32" s="3489" t="s">
        <v>2325</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89"/>
      <c r="Q33" s="1505">
        <f t="shared" si="11"/>
        <v>111</v>
      </c>
      <c r="R33" s="714" t="s">
        <v>17</v>
      </c>
      <c r="S33" s="715">
        <f t="shared" si="12"/>
        <v>100</v>
      </c>
      <c r="T33" s="714" t="s">
        <v>17</v>
      </c>
      <c r="U33" s="715">
        <f t="shared" si="13"/>
        <v>100</v>
      </c>
      <c r="V33" s="714" t="s">
        <v>17</v>
      </c>
      <c r="W33" s="715">
        <f t="shared" si="14"/>
        <v>100</v>
      </c>
      <c r="X33" s="1508"/>
      <c r="Y33" s="3489"/>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19"/>
      <c r="M34" s="2913"/>
      <c r="N34" s="2913"/>
      <c r="O34" s="2971"/>
      <c r="P34" s="3489"/>
      <c r="Q34" s="1505">
        <f t="shared" si="11"/>
        <v>111</v>
      </c>
      <c r="R34" s="714" t="s">
        <v>17</v>
      </c>
      <c r="S34" s="715">
        <f t="shared" si="12"/>
        <v>100</v>
      </c>
      <c r="T34" s="714" t="s">
        <v>17</v>
      </c>
      <c r="U34" s="715">
        <f t="shared" si="13"/>
        <v>100</v>
      </c>
      <c r="V34" s="714" t="s">
        <v>17</v>
      </c>
      <c r="W34" s="715">
        <f t="shared" si="14"/>
        <v>100</v>
      </c>
      <c r="X34" s="1508"/>
      <c r="Y34" s="3489"/>
      <c r="Z34" s="1509">
        <f t="shared" si="15"/>
        <v>111</v>
      </c>
      <c r="AA34" s="1506">
        <f t="shared" si="3"/>
        <v>1</v>
      </c>
      <c r="AB34" s="1506">
        <f t="shared" si="4"/>
        <v>1</v>
      </c>
      <c r="AC34" s="1506">
        <f t="shared" si="5"/>
        <v>1</v>
      </c>
    </row>
    <row r="35" spans="1:30" ht="15">
      <c r="A35" s="438" t="s">
        <v>2337</v>
      </c>
      <c r="B35" s="439"/>
      <c r="C35" s="1288" t="s">
        <v>1</v>
      </c>
      <c r="D35" s="1289"/>
      <c r="E35" s="1290"/>
      <c r="F35" s="1291"/>
      <c r="G35" s="1292"/>
      <c r="H35" s="1293"/>
      <c r="I35" s="1290"/>
      <c r="J35" s="1293"/>
      <c r="K35" s="723"/>
      <c r="L35" s="2921"/>
      <c r="M35" s="2922"/>
      <c r="N35" s="2913"/>
      <c r="O35" s="2922"/>
      <c r="P35" s="3483" t="str">
        <f>A35</f>
        <v>成交单价（元/平方米）</v>
      </c>
      <c r="Q35" s="3483"/>
      <c r="R35" s="3554">
        <f>E35</f>
        <v>0</v>
      </c>
      <c r="S35" s="3554"/>
      <c r="T35" s="3554">
        <f>G35</f>
        <v>0</v>
      </c>
      <c r="U35" s="3554"/>
      <c r="V35" s="3554">
        <f>I35</f>
        <v>0</v>
      </c>
      <c r="W35" s="3554"/>
      <c r="X35" s="699"/>
      <c r="Y35" s="721"/>
      <c r="Z35" s="699"/>
      <c r="AA35" s="699"/>
      <c r="AB35" s="699"/>
      <c r="AC35" s="699"/>
    </row>
    <row r="36" spans="1:30" ht="15.75" thickBot="1">
      <c r="A36" s="445" t="s">
        <v>2429</v>
      </c>
      <c r="B36" s="446"/>
      <c r="C36" s="1294" t="e">
        <f>R37</f>
        <v>#DIV/0!</v>
      </c>
      <c r="D36" s="2507" t="s">
        <v>2817</v>
      </c>
      <c r="E36" s="1295" t="e">
        <f>R36</f>
        <v>#DIV/0!</v>
      </c>
      <c r="F36" s="2508"/>
      <c r="G36" s="1294" t="e">
        <f>T36</f>
        <v>#DIV/0!</v>
      </c>
      <c r="H36" s="2508"/>
      <c r="I36" s="1295" t="e">
        <f>V36</f>
        <v>#DIV/0!</v>
      </c>
      <c r="J36" s="2508"/>
      <c r="K36" s="2510">
        <f>F36+H36+J36</f>
        <v>0</v>
      </c>
      <c r="L36" s="2921"/>
      <c r="M36" s="2922"/>
      <c r="N36" s="2913"/>
      <c r="O36" s="2922"/>
      <c r="P36" s="3483" t="str">
        <f>A36</f>
        <v>比较价值（元/平方米）</v>
      </c>
      <c r="Q36" s="348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1"/>
      <c r="M37" s="2922"/>
      <c r="N37" s="2922"/>
      <c r="O37" s="2922"/>
      <c r="P37" s="3480" t="str">
        <f>A37</f>
        <v>估价对象XX用房的比较价值（楼面单价，元/平方米）</v>
      </c>
      <c r="Q37" s="3481"/>
      <c r="R37" s="3576" t="e">
        <f>IF(F1="售价",ROUND(IF(D36="简单平均",AVERAGE(R36:W36),R36*F36+T36*H36+V36*J36),0),ROUND(IF(D36="简单平均",AVERAGE(R36:V36),R36*F36+T36*H36+V36*J36),1))</f>
        <v>#DIV/0!</v>
      </c>
      <c r="S37" s="3576"/>
      <c r="T37" s="3576"/>
      <c r="U37" s="3576"/>
      <c r="V37" s="3576"/>
      <c r="W37" s="3576"/>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2434</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2308</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6">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2345</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2310</v>
      </c>
      <c r="B49" s="467"/>
      <c r="C49" s="479" t="s">
        <v>2412</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2348</v>
      </c>
      <c r="B51" s="485" t="s">
        <v>2314</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2500</v>
      </c>
      <c r="C63" s="535" t="s">
        <v>2357</v>
      </c>
      <c r="D63" s="535" t="s">
        <v>2358</v>
      </c>
      <c r="E63" s="535" t="s">
        <v>2359</v>
      </c>
      <c r="F63" s="535" t="s">
        <v>2360</v>
      </c>
      <c r="G63" s="535" t="s">
        <v>2361</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2449</v>
      </c>
      <c r="C65" s="616" t="s">
        <v>2435</v>
      </c>
      <c r="D65" s="616" t="s">
        <v>2436</v>
      </c>
      <c r="E65" s="616" t="s">
        <v>2437</v>
      </c>
      <c r="F65" s="616" t="s">
        <v>2438</v>
      </c>
      <c r="G65" s="616" t="s">
        <v>2439</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2369</v>
      </c>
      <c r="C67" s="535" t="s">
        <v>2357</v>
      </c>
      <c r="D67" s="535" t="s">
        <v>2358</v>
      </c>
      <c r="E67" s="535" t="s">
        <v>2359</v>
      </c>
      <c r="F67" s="535" t="s">
        <v>2360</v>
      </c>
      <c r="G67" s="535" t="s">
        <v>2361</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2489</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2323</v>
      </c>
      <c r="B77" s="485" t="s">
        <v>2376</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2493</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2501</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2503</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6"/>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2405</v>
      </c>
      <c r="B4" s="362"/>
      <c r="C4" s="3493" t="s">
        <v>2406</v>
      </c>
      <c r="D4" s="3494"/>
      <c r="E4" s="3495" t="s">
        <v>2407</v>
      </c>
      <c r="F4" s="3496"/>
      <c r="G4" s="3493" t="s">
        <v>2408</v>
      </c>
      <c r="H4" s="3494"/>
      <c r="I4" s="3493" t="s">
        <v>2409</v>
      </c>
      <c r="J4" s="3494"/>
      <c r="K4" s="567" t="s">
        <v>2410</v>
      </c>
      <c r="L4" s="2912"/>
      <c r="M4" s="2913"/>
      <c r="N4" s="2913"/>
      <c r="O4" s="2913"/>
      <c r="P4" s="3497" t="s">
        <v>2411</v>
      </c>
      <c r="Q4" s="3498"/>
      <c r="R4" s="3510" t="s">
        <v>2407</v>
      </c>
      <c r="S4" s="3511"/>
      <c r="T4" s="3510" t="s">
        <v>2408</v>
      </c>
      <c r="U4" s="3511"/>
      <c r="V4" s="3485" t="s">
        <v>2409</v>
      </c>
      <c r="W4" s="3485"/>
      <c r="X4" s="1508"/>
      <c r="Y4" s="3510" t="s">
        <v>2411</v>
      </c>
      <c r="Z4" s="3511"/>
      <c r="AA4" s="3490" t="s">
        <v>2407</v>
      </c>
      <c r="AB4" s="3491" t="s">
        <v>2408</v>
      </c>
      <c r="AC4" s="3490" t="s">
        <v>2409</v>
      </c>
    </row>
    <row r="5" spans="1:30" ht="15">
      <c r="A5" s="364"/>
      <c r="B5" s="365"/>
      <c r="C5" s="3514" t="s">
        <v>2302</v>
      </c>
      <c r="D5" s="3515"/>
      <c r="E5" s="3503" t="s">
        <v>2303</v>
      </c>
      <c r="F5" s="3504"/>
      <c r="G5" s="3514" t="s">
        <v>2304</v>
      </c>
      <c r="H5" s="3515"/>
      <c r="I5" s="3514" t="s">
        <v>2305</v>
      </c>
      <c r="J5" s="3515"/>
      <c r="K5" s="567"/>
      <c r="L5" s="2912"/>
      <c r="M5" s="2913"/>
      <c r="N5" s="2913"/>
      <c r="O5" s="2913"/>
      <c r="P5" s="3499"/>
      <c r="Q5" s="3500"/>
      <c r="R5" s="3512"/>
      <c r="S5" s="3513"/>
      <c r="T5" s="3512"/>
      <c r="U5" s="3513"/>
      <c r="V5" s="3485"/>
      <c r="W5" s="3485"/>
      <c r="X5" s="1508"/>
      <c r="Y5" s="3512"/>
      <c r="Z5" s="3513"/>
      <c r="AA5" s="3491"/>
      <c r="AB5" s="3491"/>
      <c r="AC5" s="3491"/>
    </row>
    <row r="6" spans="1:30" ht="15.75" thickBot="1">
      <c r="A6" s="366"/>
      <c r="B6" s="367"/>
      <c r="C6" s="3549" t="s">
        <v>2306</v>
      </c>
      <c r="D6" s="3550"/>
      <c r="E6" s="3551" t="s">
        <v>2306</v>
      </c>
      <c r="F6" s="3552"/>
      <c r="G6" s="3549" t="s">
        <v>2306</v>
      </c>
      <c r="H6" s="3550"/>
      <c r="I6" s="3549" t="s">
        <v>2306</v>
      </c>
      <c r="J6" s="3550"/>
      <c r="K6" s="567" t="s">
        <v>2307</v>
      </c>
      <c r="L6" s="2912"/>
      <c r="M6" s="2913"/>
      <c r="N6" s="2913"/>
      <c r="O6" s="2913"/>
      <c r="P6" s="3501"/>
      <c r="Q6" s="3502"/>
      <c r="R6" s="3512"/>
      <c r="S6" s="3513"/>
      <c r="T6" s="3521"/>
      <c r="U6" s="3522"/>
      <c r="V6" s="3485"/>
      <c r="W6" s="3485"/>
      <c r="X6" s="1508"/>
      <c r="Y6" s="3521"/>
      <c r="Z6" s="3522"/>
      <c r="AA6" s="3492"/>
      <c r="AB6" s="3492"/>
      <c r="AC6" s="3492"/>
    </row>
    <row r="7" spans="1:30" s="113" customFormat="1" ht="15.75" thickBot="1">
      <c r="A7" s="368" t="s">
        <v>2308</v>
      </c>
      <c r="B7" s="369"/>
      <c r="C7" s="370">
        <f>'数据-取费表'!B2</f>
        <v>44607</v>
      </c>
      <c r="D7" s="371">
        <v>100</v>
      </c>
      <c r="E7" s="372"/>
      <c r="F7" s="373">
        <f>SUMIF(70:70,YEAR(E7)&amp;"-"&amp;INT((MONTH(E7)+2)/3),71:71)</f>
        <v>0</v>
      </c>
      <c r="G7" s="2129"/>
      <c r="H7" s="371">
        <f>SUMIF(70:70,YEAR(G7)&amp;"-"&amp;INT((MONTH(G7)+2)/3),71:71)</f>
        <v>0</v>
      </c>
      <c r="I7" s="2129"/>
      <c r="J7" s="371">
        <f>SUMIF(70:70,YEAR(I7)&amp;"-"&amp;INT((MONTH(I7)+2)/3),71:71)</f>
        <v>0</v>
      </c>
      <c r="K7" s="568"/>
      <c r="L7" s="2914"/>
      <c r="M7" s="2915"/>
      <c r="N7" s="2915"/>
      <c r="O7" s="2915"/>
      <c r="P7" s="3505" t="s">
        <v>2309</v>
      </c>
      <c r="Q7" s="3518"/>
      <c r="R7" s="710" t="s">
        <v>17</v>
      </c>
      <c r="S7" s="711">
        <f t="shared" ref="S7:S15" si="0">F7</f>
        <v>0</v>
      </c>
      <c r="T7" s="710" t="s">
        <v>17</v>
      </c>
      <c r="U7" s="711">
        <f t="shared" ref="U7:U15" si="1">H7</f>
        <v>0</v>
      </c>
      <c r="V7" s="710" t="s">
        <v>17</v>
      </c>
      <c r="W7" s="711">
        <f t="shared" ref="W7:W15" si="2">J7</f>
        <v>0</v>
      </c>
      <c r="X7" s="712"/>
      <c r="Y7" s="3505" t="s">
        <v>2309</v>
      </c>
      <c r="Z7" s="3506"/>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505" t="s">
        <v>2312</v>
      </c>
      <c r="Q8" s="3506"/>
      <c r="R8" s="710" t="s">
        <v>17</v>
      </c>
      <c r="S8" s="711">
        <f t="shared" si="0"/>
        <v>0</v>
      </c>
      <c r="T8" s="710" t="s">
        <v>17</v>
      </c>
      <c r="U8" s="711">
        <f t="shared" si="1"/>
        <v>0</v>
      </c>
      <c r="V8" s="710" t="s">
        <v>17</v>
      </c>
      <c r="W8" s="711">
        <f t="shared" si="2"/>
        <v>0</v>
      </c>
      <c r="X8" s="712"/>
      <c r="Y8" s="3505" t="s">
        <v>2312</v>
      </c>
      <c r="Z8" s="3506"/>
      <c r="AA8" s="713" t="e">
        <f t="shared" ref="AA8:AA45" si="3">D8/F8</f>
        <v>#DIV/0!</v>
      </c>
      <c r="AB8" s="713" t="e">
        <f t="shared" ref="AB8:AB45" si="4">D8/H8</f>
        <v>#DIV/0!</v>
      </c>
      <c r="AC8" s="713" t="e">
        <f t="shared" ref="AC8:AC45" si="5">D8/J8</f>
        <v>#DIV/0!</v>
      </c>
    </row>
    <row r="9" spans="1:30" s="113" customFormat="1">
      <c r="A9" s="375" t="s">
        <v>2313</v>
      </c>
      <c r="B9" s="67" t="s">
        <v>2314</v>
      </c>
      <c r="C9" s="2132"/>
      <c r="D9" s="131">
        <v>100</v>
      </c>
      <c r="E9" s="2132"/>
      <c r="F9" s="131">
        <f>SUMIF(75:75,E9,76:76)-SUMIF(75:75,C9,76:76)+100</f>
        <v>100</v>
      </c>
      <c r="G9" s="2132"/>
      <c r="H9" s="131">
        <f>SUMIF(75:75,G9,76:76)-SUMIF(75:75,C9,76:76)+100</f>
        <v>100</v>
      </c>
      <c r="I9" s="2132"/>
      <c r="J9" s="131">
        <f>SUMIF(75:75,I9,76:76)-SUMIF(75:75,C9,76:76)+100</f>
        <v>100</v>
      </c>
      <c r="K9" s="568"/>
      <c r="L9" s="2914"/>
      <c r="M9" s="2915"/>
      <c r="N9" s="2915"/>
      <c r="O9" s="2969"/>
      <c r="P9" s="3483" t="s">
        <v>2315</v>
      </c>
      <c r="Q9" s="1496" t="str">
        <f t="shared" ref="Q9:Q15" si="6">B9</f>
        <v>用途</v>
      </c>
      <c r="R9" s="710" t="s">
        <v>17</v>
      </c>
      <c r="S9" s="711">
        <f t="shared" si="0"/>
        <v>100</v>
      </c>
      <c r="T9" s="710" t="s">
        <v>17</v>
      </c>
      <c r="U9" s="711">
        <f t="shared" si="1"/>
        <v>100</v>
      </c>
      <c r="V9" s="710" t="s">
        <v>17</v>
      </c>
      <c r="W9" s="711">
        <f t="shared" si="2"/>
        <v>100</v>
      </c>
      <c r="X9" s="712"/>
      <c r="Y9" s="345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6"/>
      <c r="M10" s="2917"/>
      <c r="N10" s="2917"/>
      <c r="O10" s="2970"/>
      <c r="P10" s="3483"/>
      <c r="Q10" s="1496" t="str">
        <f t="shared" si="6"/>
        <v>土地使用年限（年）</v>
      </c>
      <c r="R10" s="710" t="s">
        <v>17</v>
      </c>
      <c r="S10" s="711">
        <f t="shared" si="0"/>
        <v>119</v>
      </c>
      <c r="T10" s="710" t="s">
        <v>17</v>
      </c>
      <c r="U10" s="711">
        <f t="shared" si="1"/>
        <v>119</v>
      </c>
      <c r="V10" s="710" t="s">
        <v>17</v>
      </c>
      <c r="W10" s="711">
        <f t="shared" si="2"/>
        <v>119</v>
      </c>
      <c r="X10" s="712"/>
      <c r="Y10" s="3453"/>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83"/>
      <c r="Q11" s="1496" t="str">
        <f t="shared" si="6"/>
        <v>容积率</v>
      </c>
      <c r="R11" s="710" t="s">
        <v>17</v>
      </c>
      <c r="S11" s="711" t="e">
        <f t="shared" si="0"/>
        <v>#N/A</v>
      </c>
      <c r="T11" s="710" t="s">
        <v>17</v>
      </c>
      <c r="U11" s="711" t="e">
        <f t="shared" si="1"/>
        <v>#N/A</v>
      </c>
      <c r="V11" s="710" t="s">
        <v>17</v>
      </c>
      <c r="W11" s="711" t="e">
        <f t="shared" si="2"/>
        <v>#N/A</v>
      </c>
      <c r="X11" s="712"/>
      <c r="Y11" s="3453"/>
      <c r="Z11" s="55" t="str">
        <f t="shared" si="7"/>
        <v>容积率</v>
      </c>
      <c r="AA11" s="713" t="e">
        <f t="shared" si="3"/>
        <v>#N/A</v>
      </c>
      <c r="AB11" s="713" t="e">
        <f t="shared" si="4"/>
        <v>#N/A</v>
      </c>
      <c r="AC11" s="713" t="e">
        <f t="shared" si="5"/>
        <v>#N/A</v>
      </c>
    </row>
    <row r="12" spans="1:30" s="113" customFormat="1" ht="15">
      <c r="A12" s="390"/>
      <c r="B12" s="2048" t="s">
        <v>2507</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83"/>
      <c r="Q12" s="1496" t="str">
        <f t="shared" si="6"/>
        <v>配建</v>
      </c>
      <c r="R12" s="710" t="s">
        <v>17</v>
      </c>
      <c r="S12" s="711">
        <f t="shared" si="0"/>
        <v>100</v>
      </c>
      <c r="T12" s="710" t="s">
        <v>17</v>
      </c>
      <c r="U12" s="711">
        <f t="shared" si="1"/>
        <v>100</v>
      </c>
      <c r="V12" s="710" t="s">
        <v>17</v>
      </c>
      <c r="W12" s="711">
        <f t="shared" si="2"/>
        <v>100</v>
      </c>
      <c r="X12" s="712"/>
      <c r="Y12" s="3453"/>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83"/>
      <c r="Q13" s="1496">
        <f t="shared" si="6"/>
        <v>111</v>
      </c>
      <c r="R13" s="710" t="s">
        <v>17</v>
      </c>
      <c r="S13" s="711">
        <f t="shared" si="0"/>
        <v>100</v>
      </c>
      <c r="T13" s="710" t="s">
        <v>17</v>
      </c>
      <c r="U13" s="711">
        <f t="shared" si="1"/>
        <v>100</v>
      </c>
      <c r="V13" s="710" t="s">
        <v>17</v>
      </c>
      <c r="W13" s="711">
        <f t="shared" si="2"/>
        <v>100</v>
      </c>
      <c r="X13" s="712"/>
      <c r="Y13" s="3453"/>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83"/>
      <c r="Q14" s="1496">
        <f t="shared" si="6"/>
        <v>111</v>
      </c>
      <c r="R14" s="710" t="s">
        <v>17</v>
      </c>
      <c r="S14" s="711">
        <f t="shared" si="0"/>
        <v>100</v>
      </c>
      <c r="T14" s="710" t="s">
        <v>17</v>
      </c>
      <c r="U14" s="711">
        <f t="shared" si="1"/>
        <v>100</v>
      </c>
      <c r="V14" s="710" t="s">
        <v>17</v>
      </c>
      <c r="W14" s="711">
        <f t="shared" si="2"/>
        <v>100</v>
      </c>
      <c r="X14" s="712"/>
      <c r="Y14" s="3453"/>
      <c r="Z14" s="55">
        <f t="shared" si="7"/>
        <v>111</v>
      </c>
      <c r="AA14" s="713">
        <f>D14/F14</f>
        <v>1</v>
      </c>
      <c r="AB14" s="713">
        <f>D14/H14</f>
        <v>1</v>
      </c>
      <c r="AC14" s="713">
        <f>D14/J14</f>
        <v>1</v>
      </c>
    </row>
    <row r="15" spans="1:30" ht="99.75">
      <c r="A15" s="399" t="s">
        <v>2319</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86" t="s">
        <v>2320</v>
      </c>
      <c r="Q15" s="1505" t="str">
        <f t="shared" si="6"/>
        <v>居住社区成熟度</v>
      </c>
      <c r="R15" s="714" t="s">
        <v>17</v>
      </c>
      <c r="S15" s="715">
        <f t="shared" si="0"/>
        <v>100</v>
      </c>
      <c r="T15" s="714" t="s">
        <v>17</v>
      </c>
      <c r="U15" s="715">
        <f t="shared" si="1"/>
        <v>100</v>
      </c>
      <c r="V15" s="714" t="s">
        <v>17</v>
      </c>
      <c r="W15" s="715">
        <f t="shared" si="2"/>
        <v>100</v>
      </c>
      <c r="X15" s="1508"/>
      <c r="Y15" s="3486" t="s">
        <v>2320</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19"/>
      <c r="M16" s="2913"/>
      <c r="N16" s="2913"/>
      <c r="O16" s="2971"/>
      <c r="P16" s="3487"/>
      <c r="Q16" s="1505"/>
      <c r="R16" s="714"/>
      <c r="S16" s="715"/>
      <c r="T16" s="714"/>
      <c r="U16" s="715"/>
      <c r="V16" s="714"/>
      <c r="W16" s="715"/>
      <c r="X16" s="1508"/>
      <c r="Y16" s="3487"/>
      <c r="Z16" s="1509"/>
      <c r="AA16" s="1506">
        <v>1</v>
      </c>
      <c r="AB16" s="1506">
        <v>1</v>
      </c>
      <c r="AC16" s="1506">
        <v>1</v>
      </c>
    </row>
    <row r="17" spans="1:29" ht="71.25">
      <c r="A17" s="387"/>
      <c r="B17" s="410" t="s">
        <v>2413</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87"/>
      <c r="Q17" s="1505" t="str">
        <f>B17</f>
        <v>商业繁华度</v>
      </c>
      <c r="R17" s="714" t="s">
        <v>17</v>
      </c>
      <c r="S17" s="715">
        <f>F17</f>
        <v>100</v>
      </c>
      <c r="T17" s="714" t="s">
        <v>17</v>
      </c>
      <c r="U17" s="715">
        <f>H17</f>
        <v>100</v>
      </c>
      <c r="V17" s="714" t="s">
        <v>17</v>
      </c>
      <c r="W17" s="715">
        <f>J17</f>
        <v>100</v>
      </c>
      <c r="X17" s="1508"/>
      <c r="Y17" s="3487"/>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19"/>
      <c r="M18" s="2913"/>
      <c r="N18" s="2913"/>
      <c r="O18" s="2971"/>
      <c r="P18" s="3487"/>
      <c r="Q18" s="1505"/>
      <c r="R18" s="714"/>
      <c r="S18" s="715"/>
      <c r="T18" s="714"/>
      <c r="U18" s="715"/>
      <c r="V18" s="714"/>
      <c r="W18" s="715"/>
      <c r="X18" s="1508"/>
      <c r="Y18" s="3487"/>
      <c r="Z18" s="1509"/>
      <c r="AA18" s="1506">
        <v>1</v>
      </c>
      <c r="AB18" s="1506">
        <v>1</v>
      </c>
      <c r="AC18" s="1506">
        <v>1</v>
      </c>
    </row>
    <row r="19" spans="1:29" ht="71.25">
      <c r="A19" s="387"/>
      <c r="B19" s="410" t="s">
        <v>2447</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87"/>
      <c r="Q19" s="1505" t="str">
        <f>B19</f>
        <v>办公集聚程度</v>
      </c>
      <c r="R19" s="714" t="s">
        <v>17</v>
      </c>
      <c r="S19" s="715">
        <f>F19</f>
        <v>100</v>
      </c>
      <c r="T19" s="714" t="s">
        <v>17</v>
      </c>
      <c r="U19" s="715">
        <f>H19</f>
        <v>100</v>
      </c>
      <c r="V19" s="714" t="s">
        <v>17</v>
      </c>
      <c r="W19" s="715">
        <f>J19</f>
        <v>100</v>
      </c>
      <c r="X19" s="1508"/>
      <c r="Y19" s="3487"/>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19"/>
      <c r="M20" s="2913"/>
      <c r="N20" s="2913"/>
      <c r="O20" s="2971"/>
      <c r="P20" s="3487"/>
      <c r="Q20" s="1505"/>
      <c r="R20" s="714"/>
      <c r="S20" s="715"/>
      <c r="T20" s="714"/>
      <c r="U20" s="715"/>
      <c r="V20" s="714"/>
      <c r="W20" s="715"/>
      <c r="X20" s="1508"/>
      <c r="Y20" s="3487"/>
      <c r="Z20" s="1509"/>
      <c r="AA20" s="1506">
        <v>1</v>
      </c>
      <c r="AB20" s="1506">
        <v>1</v>
      </c>
      <c r="AC20" s="1506">
        <v>1</v>
      </c>
    </row>
    <row r="21" spans="1:29" ht="85.5">
      <c r="A21" s="387"/>
      <c r="B21" s="410" t="s">
        <v>2469</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87"/>
      <c r="Q21" s="1505" t="str">
        <f>B21</f>
        <v>交通便捷度</v>
      </c>
      <c r="R21" s="714" t="s">
        <v>17</v>
      </c>
      <c r="S21" s="715">
        <f>F21</f>
        <v>100</v>
      </c>
      <c r="T21" s="714" t="s">
        <v>17</v>
      </c>
      <c r="U21" s="715">
        <f>H21</f>
        <v>100</v>
      </c>
      <c r="V21" s="714" t="s">
        <v>17</v>
      </c>
      <c r="W21" s="715">
        <f>J21</f>
        <v>100</v>
      </c>
      <c r="X21" s="1508"/>
      <c r="Y21" s="3487"/>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19"/>
      <c r="M22" s="2913"/>
      <c r="N22" s="2913"/>
      <c r="O22" s="2971"/>
      <c r="P22" s="3487"/>
      <c r="Q22" s="1505"/>
      <c r="R22" s="714"/>
      <c r="S22" s="715"/>
      <c r="T22" s="714"/>
      <c r="U22" s="715"/>
      <c r="V22" s="714"/>
      <c r="W22" s="715"/>
      <c r="X22" s="1508"/>
      <c r="Y22" s="3487"/>
      <c r="Z22" s="1509"/>
      <c r="AA22" s="1506">
        <v>1</v>
      </c>
      <c r="AB22" s="1506">
        <v>1</v>
      </c>
      <c r="AC22" s="1506">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87"/>
      <c r="Q23" s="1505" t="str">
        <f t="shared" ref="Q23:Q37" si="8">B23</f>
        <v>区域土地利用方向</v>
      </c>
      <c r="R23" s="714" t="s">
        <v>17</v>
      </c>
      <c r="S23" s="715">
        <f>F23</f>
        <v>100</v>
      </c>
      <c r="T23" s="714" t="s">
        <v>17</v>
      </c>
      <c r="U23" s="715">
        <f>H23</f>
        <v>100</v>
      </c>
      <c r="V23" s="714" t="s">
        <v>17</v>
      </c>
      <c r="W23" s="715">
        <f>J23</f>
        <v>100</v>
      </c>
      <c r="X23" s="1508"/>
      <c r="Y23" s="3487"/>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19"/>
      <c r="M24" s="2913"/>
      <c r="N24" s="2913"/>
      <c r="O24" s="2971"/>
      <c r="P24" s="3487"/>
      <c r="Q24" s="1505"/>
      <c r="R24" s="714"/>
      <c r="S24" s="715"/>
      <c r="T24" s="714"/>
      <c r="U24" s="715"/>
      <c r="V24" s="714"/>
      <c r="W24" s="715"/>
      <c r="X24" s="1508"/>
      <c r="Y24" s="3487"/>
      <c r="Z24" s="1509"/>
      <c r="AA24" s="1506"/>
      <c r="AB24" s="1506"/>
      <c r="AC24" s="1506"/>
    </row>
    <row r="25" spans="1:29" ht="57">
      <c r="A25" s="364"/>
      <c r="B25" s="1265" t="s">
        <v>2509</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87"/>
      <c r="Q25" s="1505" t="str">
        <f t="shared" si="8"/>
        <v>自然及人文环境状况</v>
      </c>
      <c r="R25" s="714" t="s">
        <v>17</v>
      </c>
      <c r="S25" s="715">
        <f>F25</f>
        <v>100</v>
      </c>
      <c r="T25" s="714" t="s">
        <v>17</v>
      </c>
      <c r="U25" s="715">
        <f>H25</f>
        <v>100</v>
      </c>
      <c r="V25" s="714" t="s">
        <v>17</v>
      </c>
      <c r="W25" s="715">
        <f>J25</f>
        <v>100</v>
      </c>
      <c r="X25" s="1508"/>
      <c r="Y25" s="3487"/>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19"/>
      <c r="M26" s="2913"/>
      <c r="N26" s="2913"/>
      <c r="O26" s="2971"/>
      <c r="P26" s="3487"/>
      <c r="Q26" s="1505"/>
      <c r="R26" s="714"/>
      <c r="S26" s="715"/>
      <c r="T26" s="714"/>
      <c r="U26" s="715"/>
      <c r="V26" s="714"/>
      <c r="W26" s="715"/>
      <c r="X26" s="1508"/>
      <c r="Y26" s="3487"/>
      <c r="Z26" s="1509"/>
      <c r="AA26" s="1506">
        <v>1</v>
      </c>
      <c r="AB26" s="1506">
        <v>1</v>
      </c>
      <c r="AC26" s="1506">
        <v>1</v>
      </c>
    </row>
    <row r="27" spans="1:29" s="113" customFormat="1" ht="42.75">
      <c r="A27" s="605"/>
      <c r="B27" s="1265" t="s">
        <v>2414</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87"/>
      <c r="Q27" s="1496" t="str">
        <f t="shared" si="8"/>
        <v>公共配套设施</v>
      </c>
      <c r="R27" s="710" t="s">
        <v>17</v>
      </c>
      <c r="S27" s="711">
        <f>F27</f>
        <v>100</v>
      </c>
      <c r="T27" s="710" t="s">
        <v>17</v>
      </c>
      <c r="U27" s="711">
        <f>H27</f>
        <v>100</v>
      </c>
      <c r="V27" s="710" t="s">
        <v>17</v>
      </c>
      <c r="W27" s="711">
        <f>J27</f>
        <v>100</v>
      </c>
      <c r="X27" s="712"/>
      <c r="Y27" s="3487"/>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4"/>
      <c r="M28" s="2915"/>
      <c r="N28" s="2915"/>
      <c r="O28" s="2969"/>
      <c r="P28" s="3487"/>
      <c r="Q28" s="1496"/>
      <c r="R28" s="710"/>
      <c r="S28" s="711"/>
      <c r="T28" s="710"/>
      <c r="U28" s="711"/>
      <c r="V28" s="710"/>
      <c r="W28" s="711"/>
      <c r="X28" s="712"/>
      <c r="Y28" s="3487"/>
      <c r="Z28" s="55"/>
      <c r="AA28" s="1506">
        <v>1</v>
      </c>
      <c r="AB28" s="1506">
        <v>1</v>
      </c>
      <c r="AC28" s="1506">
        <v>1</v>
      </c>
    </row>
    <row r="29" spans="1:29" s="113" customFormat="1" ht="28.5">
      <c r="A29" s="605"/>
      <c r="B29" s="1265" t="s">
        <v>2415</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87"/>
      <c r="Q29" s="1496" t="str">
        <f t="shared" ref="Q29" si="9">B29</f>
        <v>基础设施水平</v>
      </c>
      <c r="R29" s="710" t="s">
        <v>17</v>
      </c>
      <c r="S29" s="711">
        <f>F29</f>
        <v>100</v>
      </c>
      <c r="T29" s="710" t="s">
        <v>17</v>
      </c>
      <c r="U29" s="711">
        <f>H29</f>
        <v>100</v>
      </c>
      <c r="V29" s="710" t="s">
        <v>17</v>
      </c>
      <c r="W29" s="711">
        <f>J29</f>
        <v>100</v>
      </c>
      <c r="X29" s="712"/>
      <c r="Y29" s="3487"/>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4"/>
      <c r="M30" s="2915"/>
      <c r="N30" s="2915"/>
      <c r="O30" s="2969"/>
      <c r="P30" s="3487"/>
      <c r="Q30" s="1496"/>
      <c r="R30" s="710"/>
      <c r="S30" s="711"/>
      <c r="T30" s="710"/>
      <c r="U30" s="711"/>
      <c r="V30" s="710"/>
      <c r="W30" s="711"/>
      <c r="X30" s="712"/>
      <c r="Y30" s="3487"/>
      <c r="Z30" s="55"/>
      <c r="AA30" s="1506">
        <v>1</v>
      </c>
      <c r="AB30" s="1506">
        <v>1</v>
      </c>
      <c r="AC30" s="1506">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87"/>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487"/>
      <c r="Z31" s="1509" t="str">
        <f t="shared" ref="Z31:Z45" si="13">Q31</f>
        <v>临街状况</v>
      </c>
      <c r="AA31" s="1506">
        <f t="shared" si="3"/>
        <v>1</v>
      </c>
      <c r="AB31" s="1506">
        <f t="shared" si="4"/>
        <v>1</v>
      </c>
      <c r="AC31" s="1506">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87"/>
      <c r="Q32" s="1505" t="str">
        <f t="shared" si="8"/>
        <v>毗邻道路的类型与等级</v>
      </c>
      <c r="R32" s="714" t="s">
        <v>17</v>
      </c>
      <c r="S32" s="715">
        <f t="shared" si="10"/>
        <v>100</v>
      </c>
      <c r="T32" s="714" t="s">
        <v>17</v>
      </c>
      <c r="U32" s="715">
        <f t="shared" si="11"/>
        <v>100</v>
      </c>
      <c r="V32" s="714" t="s">
        <v>17</v>
      </c>
      <c r="W32" s="715">
        <f t="shared" si="12"/>
        <v>100</v>
      </c>
      <c r="X32" s="1508"/>
      <c r="Y32" s="3487"/>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19"/>
      <c r="M33" s="2913"/>
      <c r="N33" s="2913"/>
      <c r="O33" s="2971"/>
      <c r="P33" s="3487"/>
      <c r="Q33" s="1505"/>
      <c r="R33" s="714"/>
      <c r="S33" s="715"/>
      <c r="T33" s="714"/>
      <c r="U33" s="715"/>
      <c r="V33" s="714"/>
      <c r="W33" s="715"/>
      <c r="X33" s="1508"/>
      <c r="Y33" s="3487"/>
      <c r="Z33" s="1509"/>
      <c r="AA33" s="1506">
        <v>1</v>
      </c>
      <c r="AB33" s="1506">
        <v>1</v>
      </c>
      <c r="AC33" s="1506">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87"/>
      <c r="Q34" s="1505" t="str">
        <f t="shared" si="8"/>
        <v>土地级别</v>
      </c>
      <c r="R34" s="714" t="s">
        <v>17</v>
      </c>
      <c r="S34" s="715">
        <f t="shared" si="10"/>
        <v>100</v>
      </c>
      <c r="T34" s="714" t="s">
        <v>17</v>
      </c>
      <c r="U34" s="715">
        <f t="shared" si="11"/>
        <v>100</v>
      </c>
      <c r="V34" s="714" t="s">
        <v>17</v>
      </c>
      <c r="W34" s="715">
        <f t="shared" si="12"/>
        <v>100</v>
      </c>
      <c r="X34" s="1508"/>
      <c r="Y34" s="3487"/>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87"/>
      <c r="Q35" s="1505">
        <f t="shared" si="8"/>
        <v>111</v>
      </c>
      <c r="R35" s="714" t="s">
        <v>17</v>
      </c>
      <c r="S35" s="715">
        <f t="shared" si="10"/>
        <v>100</v>
      </c>
      <c r="T35" s="714" t="s">
        <v>17</v>
      </c>
      <c r="U35" s="715">
        <f t="shared" si="11"/>
        <v>100</v>
      </c>
      <c r="V35" s="714" t="s">
        <v>17</v>
      </c>
      <c r="W35" s="715">
        <f t="shared" si="12"/>
        <v>100</v>
      </c>
      <c r="X35" s="1508"/>
      <c r="Y35" s="3487"/>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88" t="s">
        <v>2325</v>
      </c>
      <c r="Q36" s="1505">
        <f t="shared" si="8"/>
        <v>111</v>
      </c>
      <c r="R36" s="714" t="s">
        <v>17</v>
      </c>
      <c r="S36" s="715">
        <f t="shared" si="10"/>
        <v>100</v>
      </c>
      <c r="T36" s="714" t="s">
        <v>17</v>
      </c>
      <c r="U36" s="715">
        <f t="shared" si="11"/>
        <v>100</v>
      </c>
      <c r="V36" s="714" t="s">
        <v>17</v>
      </c>
      <c r="W36" s="715">
        <f t="shared" si="12"/>
        <v>100</v>
      </c>
      <c r="X36" s="1508"/>
      <c r="Y36" s="3489" t="s">
        <v>2325</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89"/>
      <c r="Q37" s="1505">
        <f t="shared" si="8"/>
        <v>111</v>
      </c>
      <c r="R37" s="717" t="s">
        <v>17</v>
      </c>
      <c r="S37" s="718">
        <f t="shared" si="10"/>
        <v>100</v>
      </c>
      <c r="T37" s="717" t="s">
        <v>17</v>
      </c>
      <c r="U37" s="718">
        <f t="shared" si="11"/>
        <v>100</v>
      </c>
      <c r="V37" s="717" t="s">
        <v>17</v>
      </c>
      <c r="W37" s="718">
        <f t="shared" si="12"/>
        <v>100</v>
      </c>
      <c r="X37" s="719"/>
      <c r="Y37" s="3489"/>
      <c r="Z37" s="720">
        <f t="shared" si="13"/>
        <v>111</v>
      </c>
      <c r="AA37" s="1506">
        <f t="shared" si="3"/>
        <v>1</v>
      </c>
      <c r="AB37" s="1506">
        <f t="shared" si="4"/>
        <v>1</v>
      </c>
      <c r="AC37" s="1506">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89"/>
      <c r="Q38" s="1505" t="str">
        <f>B38</f>
        <v>宗地面积</v>
      </c>
      <c r="R38" s="714" t="s">
        <v>17</v>
      </c>
      <c r="S38" s="715" t="e">
        <f t="shared" si="10"/>
        <v>#N/A</v>
      </c>
      <c r="T38" s="714" t="s">
        <v>17</v>
      </c>
      <c r="U38" s="715" t="e">
        <f t="shared" si="11"/>
        <v>#N/A</v>
      </c>
      <c r="V38" s="714" t="s">
        <v>17</v>
      </c>
      <c r="W38" s="715" t="e">
        <f t="shared" si="12"/>
        <v>#N/A</v>
      </c>
      <c r="X38" s="1508"/>
      <c r="Y38" s="3489"/>
      <c r="Z38" s="1509" t="str">
        <f t="shared" si="13"/>
        <v>宗地面积</v>
      </c>
      <c r="AA38" s="1506" t="e">
        <f t="shared" si="3"/>
        <v>#N/A</v>
      </c>
      <c r="AB38" s="1506" t="e">
        <f t="shared" si="4"/>
        <v>#N/A</v>
      </c>
      <c r="AC38" s="1506" t="e">
        <f t="shared" si="5"/>
        <v>#N/A</v>
      </c>
    </row>
    <row r="39" spans="1:29" ht="15">
      <c r="A39" s="431"/>
      <c r="B39" s="381" t="s">
        <v>2512</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19"/>
      <c r="M39" s="2913"/>
      <c r="N39" s="2913"/>
      <c r="O39" s="2971"/>
      <c r="P39" s="3489"/>
      <c r="Q39" s="1505" t="str">
        <f t="shared" ref="Q39:Q45" si="14">B39</f>
        <v>宗地形状</v>
      </c>
      <c r="R39" s="714" t="s">
        <v>17</v>
      </c>
      <c r="S39" s="715">
        <f t="shared" si="10"/>
        <v>100</v>
      </c>
      <c r="T39" s="714" t="s">
        <v>17</v>
      </c>
      <c r="U39" s="715">
        <f t="shared" si="11"/>
        <v>100</v>
      </c>
      <c r="V39" s="714" t="s">
        <v>17</v>
      </c>
      <c r="W39" s="715">
        <f t="shared" si="12"/>
        <v>100</v>
      </c>
      <c r="X39" s="1508"/>
      <c r="Y39" s="3489"/>
      <c r="Z39" s="1509" t="str">
        <f t="shared" si="13"/>
        <v>宗地形状</v>
      </c>
      <c r="AA39" s="1506">
        <f t="shared" si="3"/>
        <v>1</v>
      </c>
      <c r="AB39" s="1506">
        <f t="shared" si="4"/>
        <v>1</v>
      </c>
      <c r="AC39" s="1506">
        <f t="shared" si="5"/>
        <v>1</v>
      </c>
    </row>
    <row r="40" spans="1:29" ht="15">
      <c r="A40" s="431"/>
      <c r="B40" s="381" t="s">
        <v>2513</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19"/>
      <c r="M40" s="2913"/>
      <c r="N40" s="2913"/>
      <c r="O40" s="2971"/>
      <c r="P40" s="3489"/>
      <c r="Q40" s="1505" t="str">
        <f t="shared" si="14"/>
        <v>临街宽度及深度</v>
      </c>
      <c r="R40" s="714" t="s">
        <v>17</v>
      </c>
      <c r="S40" s="715">
        <f t="shared" si="10"/>
        <v>100</v>
      </c>
      <c r="T40" s="714" t="s">
        <v>17</v>
      </c>
      <c r="U40" s="715">
        <f t="shared" si="11"/>
        <v>100</v>
      </c>
      <c r="V40" s="714" t="s">
        <v>17</v>
      </c>
      <c r="W40" s="715">
        <f t="shared" si="12"/>
        <v>100</v>
      </c>
      <c r="X40" s="1508"/>
      <c r="Y40" s="3489"/>
      <c r="Z40" s="1509" t="str">
        <f t="shared" si="13"/>
        <v>临街宽度及深度</v>
      </c>
      <c r="AA40" s="1506">
        <f t="shared" si="3"/>
        <v>1</v>
      </c>
      <c r="AB40" s="1506">
        <f t="shared" si="4"/>
        <v>1</v>
      </c>
      <c r="AC40" s="1506">
        <f t="shared" si="5"/>
        <v>1</v>
      </c>
    </row>
    <row r="41" spans="1:29" s="113" customFormat="1" ht="15">
      <c r="A41" s="432"/>
      <c r="B41" s="381" t="s">
        <v>2514</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4"/>
      <c r="M41" s="2915"/>
      <c r="N41" s="2915"/>
      <c r="O41" s="2969"/>
      <c r="P41" s="3489"/>
      <c r="Q41" s="1505" t="str">
        <f t="shared" si="14"/>
        <v>宗地开发程度</v>
      </c>
      <c r="R41" s="710" t="s">
        <v>17</v>
      </c>
      <c r="S41" s="711">
        <f t="shared" si="10"/>
        <v>100</v>
      </c>
      <c r="T41" s="710" t="s">
        <v>17</v>
      </c>
      <c r="U41" s="711">
        <f t="shared" si="11"/>
        <v>100</v>
      </c>
      <c r="V41" s="710" t="s">
        <v>17</v>
      </c>
      <c r="W41" s="711">
        <f t="shared" si="12"/>
        <v>100</v>
      </c>
      <c r="X41" s="712"/>
      <c r="Y41" s="3489"/>
      <c r="Z41" s="55" t="str">
        <f t="shared" si="13"/>
        <v>宗地开发程度</v>
      </c>
      <c r="AA41" s="713">
        <f t="shared" si="3"/>
        <v>1</v>
      </c>
      <c r="AB41" s="713">
        <f t="shared" si="4"/>
        <v>1</v>
      </c>
      <c r="AC41" s="713">
        <f t="shared" si="5"/>
        <v>1</v>
      </c>
    </row>
    <row r="42" spans="1:29" ht="15">
      <c r="A42" s="431"/>
      <c r="B42" s="381" t="s">
        <v>2515</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19"/>
      <c r="M42" s="2913"/>
      <c r="N42" s="2913"/>
      <c r="O42" s="2971"/>
      <c r="P42" s="3489" t="s">
        <v>2325</v>
      </c>
      <c r="Q42" s="1505" t="str">
        <f t="shared" si="14"/>
        <v>工程地质条件</v>
      </c>
      <c r="R42" s="714" t="s">
        <v>17</v>
      </c>
      <c r="S42" s="715">
        <f t="shared" si="10"/>
        <v>100</v>
      </c>
      <c r="T42" s="714" t="s">
        <v>17</v>
      </c>
      <c r="U42" s="715">
        <f t="shared" si="11"/>
        <v>100</v>
      </c>
      <c r="V42" s="714" t="s">
        <v>17</v>
      </c>
      <c r="W42" s="715">
        <f t="shared" si="12"/>
        <v>100</v>
      </c>
      <c r="X42" s="1508"/>
      <c r="Y42" s="3489" t="s">
        <v>2325</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89"/>
      <c r="Q43" s="1505">
        <f t="shared" si="14"/>
        <v>111</v>
      </c>
      <c r="R43" s="714" t="s">
        <v>17</v>
      </c>
      <c r="S43" s="715">
        <f t="shared" si="10"/>
        <v>100</v>
      </c>
      <c r="T43" s="714" t="s">
        <v>17</v>
      </c>
      <c r="U43" s="715">
        <f t="shared" si="11"/>
        <v>100</v>
      </c>
      <c r="V43" s="714" t="s">
        <v>17</v>
      </c>
      <c r="W43" s="715">
        <f t="shared" si="12"/>
        <v>100</v>
      </c>
      <c r="X43" s="1508"/>
      <c r="Y43" s="3489"/>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89"/>
      <c r="Q44" s="1505">
        <f t="shared" si="14"/>
        <v>111</v>
      </c>
      <c r="R44" s="714" t="s">
        <v>17</v>
      </c>
      <c r="S44" s="715">
        <f t="shared" si="10"/>
        <v>100</v>
      </c>
      <c r="T44" s="714" t="s">
        <v>17</v>
      </c>
      <c r="U44" s="715">
        <f t="shared" si="11"/>
        <v>100</v>
      </c>
      <c r="V44" s="714" t="s">
        <v>17</v>
      </c>
      <c r="W44" s="715">
        <f t="shared" si="12"/>
        <v>100</v>
      </c>
      <c r="X44" s="1508"/>
      <c r="Y44" s="3489"/>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89"/>
      <c r="Q45" s="1505">
        <f t="shared" si="14"/>
        <v>111</v>
      </c>
      <c r="R45" s="717" t="s">
        <v>17</v>
      </c>
      <c r="S45" s="718">
        <f t="shared" si="10"/>
        <v>100</v>
      </c>
      <c r="T45" s="717" t="s">
        <v>17</v>
      </c>
      <c r="U45" s="718">
        <f t="shared" si="11"/>
        <v>100</v>
      </c>
      <c r="V45" s="717" t="s">
        <v>17</v>
      </c>
      <c r="W45" s="718">
        <f t="shared" si="12"/>
        <v>100</v>
      </c>
      <c r="X45" s="719"/>
      <c r="Y45" s="3489"/>
      <c r="Z45" s="720">
        <f t="shared" si="13"/>
        <v>111</v>
      </c>
      <c r="AA45" s="1506">
        <f t="shared" si="3"/>
        <v>1</v>
      </c>
      <c r="AB45" s="1506">
        <f t="shared" si="4"/>
        <v>1</v>
      </c>
      <c r="AC45" s="1506">
        <f t="shared" si="5"/>
        <v>1</v>
      </c>
    </row>
    <row r="46" spans="1:29" ht="15">
      <c r="A46" s="438" t="s">
        <v>2480</v>
      </c>
      <c r="B46" s="2137" t="s">
        <v>2516</v>
      </c>
      <c r="C46" s="638" t="s">
        <v>1</v>
      </c>
      <c r="D46" s="440"/>
      <c r="E46" s="441"/>
      <c r="F46" s="442"/>
      <c r="G46" s="443"/>
      <c r="H46" s="444"/>
      <c r="I46" s="441"/>
      <c r="J46" s="444"/>
      <c r="K46" s="723"/>
      <c r="L46" s="2921"/>
      <c r="M46" s="2922"/>
      <c r="N46" s="2913"/>
      <c r="O46" s="2922"/>
      <c r="P46" s="3483" t="str">
        <f>A46</f>
        <v>成交单价</v>
      </c>
      <c r="Q46" s="3483"/>
      <c r="R46" s="3485">
        <f>E46</f>
        <v>0</v>
      </c>
      <c r="S46" s="3485"/>
      <c r="T46" s="3485">
        <f>G46</f>
        <v>0</v>
      </c>
      <c r="U46" s="3485"/>
      <c r="V46" s="3485">
        <f>I46</f>
        <v>0</v>
      </c>
      <c r="W46" s="3485"/>
      <c r="X46" s="699"/>
      <c r="Y46" s="721"/>
      <c r="Z46" s="699"/>
      <c r="AA46" s="699"/>
      <c r="AB46" s="699"/>
      <c r="AC46" s="699"/>
    </row>
    <row r="47" spans="1:29" ht="15.75" thickBot="1">
      <c r="A47" s="445" t="s">
        <v>2429</v>
      </c>
      <c r="B47" s="639"/>
      <c r="C47" s="448" t="e">
        <f>R48</f>
        <v>#DIV/0!</v>
      </c>
      <c r="D47" s="2507" t="s">
        <v>2817</v>
      </c>
      <c r="E47" s="448" t="e">
        <f>R47</f>
        <v>#DIV/0!</v>
      </c>
      <c r="F47" s="2508"/>
      <c r="G47" s="447" t="e">
        <f>T47</f>
        <v>#DIV/0!</v>
      </c>
      <c r="H47" s="2508"/>
      <c r="I47" s="448" t="e">
        <f>V47</f>
        <v>#DIV/0!</v>
      </c>
      <c r="J47" s="2508"/>
      <c r="K47" s="2510">
        <f>F47+H47+J47</f>
        <v>0</v>
      </c>
      <c r="L47" s="2921"/>
      <c r="M47" s="2922"/>
      <c r="N47" s="2922"/>
      <c r="O47" s="2922"/>
      <c r="P47" s="3483" t="str">
        <f>A47</f>
        <v>比较价值（元/平方米）</v>
      </c>
      <c r="Q47" s="3483"/>
      <c r="R47" s="3484" t="e">
        <f>ROUND(PRODUCT(R46,AA7:AA45),0)</f>
        <v>#DIV/0!</v>
      </c>
      <c r="S47" s="3484"/>
      <c r="T47" s="3484" t="e">
        <f>ROUND(PRODUCT(T46,AB7:AB45),0)</f>
        <v>#DIV/0!</v>
      </c>
      <c r="U47" s="3484"/>
      <c r="V47" s="3484" t="e">
        <f>ROUND(PRODUCT(V46,AC7:AC45),0)</f>
        <v>#DIV/0!</v>
      </c>
      <c r="W47" s="348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1"/>
      <c r="M48" s="2922"/>
      <c r="N48" s="2922"/>
      <c r="O48" s="2922"/>
      <c r="P48" s="3480" t="str">
        <f>A48</f>
        <v>估价对象XX用房的比较价值（楼面单价，元/平方米）</v>
      </c>
      <c r="Q48" s="3481"/>
      <c r="R48" s="3482" t="e">
        <f>ROUND(IF(D47="简单平均",AVERAGE(R47:W47),R47*F47+T47*H47+V47*J47),0)</f>
        <v>#DIV/0!</v>
      </c>
      <c r="S48" s="3482"/>
      <c r="T48" s="3482"/>
      <c r="U48" s="3482"/>
      <c r="V48" s="3482"/>
      <c r="W48" s="3482"/>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2518</v>
      </c>
      <c r="B55" s="641" t="s">
        <v>2519</v>
      </c>
      <c r="C55" s="2138" t="s">
        <v>2520</v>
      </c>
      <c r="D55" s="2139" t="s">
        <v>2521</v>
      </c>
      <c r="E55" s="642" t="s">
        <v>2522</v>
      </c>
      <c r="F55" s="1021" t="s">
        <v>2523</v>
      </c>
      <c r="G55" s="3493" t="s">
        <v>2524</v>
      </c>
      <c r="H55" s="3507"/>
      <c r="I55" s="140" t="s">
        <v>2525</v>
      </c>
      <c r="J55" s="2140">
        <f>项目基本情况!F35</f>
        <v>0</v>
      </c>
      <c r="K55" s="2141" t="s">
        <v>2526</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2527</v>
      </c>
      <c r="B56" s="645" t="e">
        <f>C48</f>
        <v>#DIV/0!</v>
      </c>
      <c r="C56" s="646">
        <v>1</v>
      </c>
      <c r="D56" s="1075">
        <v>1</v>
      </c>
      <c r="E56" s="646">
        <f>'数据-汇总表'!E8+'数据-汇总表'!E9</f>
        <v>4052</v>
      </c>
      <c r="F56" s="1017" t="e">
        <f t="shared" ref="F56:F65" si="15">ROUND(B56*E56/10000,0)</f>
        <v>#DIV/0!</v>
      </c>
      <c r="G56" s="3508"/>
      <c r="H56" s="3483"/>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2528</v>
      </c>
      <c r="B57" s="224" t="e">
        <f>ROUND($C$48*C57*D57,0)</f>
        <v>#DIV/0!</v>
      </c>
      <c r="C57" s="176">
        <f t="shared" ref="C57:C65" si="16">IF($C$55="北京市系数",I57,J57)</f>
        <v>0</v>
      </c>
      <c r="D57" s="1076">
        <v>0.25</v>
      </c>
      <c r="E57" s="650"/>
      <c r="F57" s="1017" t="e">
        <f t="shared" si="15"/>
        <v>#DIV/0!</v>
      </c>
      <c r="G57" s="3509" t="s">
        <v>2529</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2530</v>
      </c>
      <c r="B58" s="224" t="e">
        <f t="shared" ref="B58:B65" si="17">ROUND($C$48*C58*D58,0)</f>
        <v>#DIV/0!</v>
      </c>
      <c r="C58" s="176">
        <f t="shared" si="16"/>
        <v>0</v>
      </c>
      <c r="D58" s="1076">
        <v>0.25</v>
      </c>
      <c r="E58" s="650"/>
      <c r="F58" s="1017" t="e">
        <f t="shared" si="15"/>
        <v>#DIV/0!</v>
      </c>
      <c r="G58" s="3509"/>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2531</v>
      </c>
      <c r="B59" s="224" t="e">
        <f t="shared" si="17"/>
        <v>#DIV/0!</v>
      </c>
      <c r="C59" s="176">
        <f t="shared" si="16"/>
        <v>0</v>
      </c>
      <c r="D59" s="1076">
        <v>0.25</v>
      </c>
      <c r="E59" s="650"/>
      <c r="F59" s="1017" t="e">
        <f t="shared" si="15"/>
        <v>#DIV/0!</v>
      </c>
      <c r="G59" s="3509"/>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2532</v>
      </c>
      <c r="B60" s="224" t="e">
        <f t="shared" si="17"/>
        <v>#DIV/0!</v>
      </c>
      <c r="C60" s="176">
        <f t="shared" si="16"/>
        <v>0</v>
      </c>
      <c r="D60" s="1076">
        <v>0.25</v>
      </c>
      <c r="E60" s="650"/>
      <c r="F60" s="1017" t="e">
        <f t="shared" si="15"/>
        <v>#DIV/0!</v>
      </c>
      <c r="G60" s="3509"/>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2533</v>
      </c>
      <c r="B61" s="224" t="e">
        <f t="shared" si="17"/>
        <v>#DIV/0!</v>
      </c>
      <c r="C61" s="176">
        <f t="shared" si="16"/>
        <v>0</v>
      </c>
      <c r="D61" s="1076">
        <v>0.25</v>
      </c>
      <c r="E61" s="223">
        <f>'数据-汇总表'!E11</f>
        <v>0</v>
      </c>
      <c r="F61" s="1017" t="e">
        <f t="shared" si="15"/>
        <v>#DIV/0!</v>
      </c>
      <c r="G61" s="2142" t="s">
        <v>2534</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2539</v>
      </c>
      <c r="B64" s="224" t="e">
        <f t="shared" si="17"/>
        <v>#DIV/0!</v>
      </c>
      <c r="C64" s="176">
        <f t="shared" si="16"/>
        <v>0</v>
      </c>
      <c r="D64" s="1076">
        <v>0.25</v>
      </c>
      <c r="E64" s="223">
        <f>'数据-汇总表'!E14</f>
        <v>0</v>
      </c>
      <c r="F64" s="1017" t="e">
        <f t="shared" si="15"/>
        <v>#DIV/0!</v>
      </c>
      <c r="G64" s="2142" t="s">
        <v>2529</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2540</v>
      </c>
      <c r="B65" s="224" t="e">
        <f t="shared" si="17"/>
        <v>#DIV/0!</v>
      </c>
      <c r="C65" s="176">
        <f t="shared" si="16"/>
        <v>0</v>
      </c>
      <c r="D65" s="1076">
        <v>0.25</v>
      </c>
      <c r="E65" s="223">
        <f>'数据-汇总表'!E15</f>
        <v>0</v>
      </c>
      <c r="F65" s="1017" t="e">
        <f t="shared" si="15"/>
        <v>#DIV/0!</v>
      </c>
      <c r="G65" s="2143" t="s">
        <v>2534</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2541</v>
      </c>
      <c r="B66" s="652" t="s">
        <v>28</v>
      </c>
      <c r="C66" s="652" t="s">
        <v>29</v>
      </c>
      <c r="D66" s="652" t="s">
        <v>997</v>
      </c>
      <c r="E66" s="652">
        <f>IF(B46="楼面地价",SUM(E56:E65),'数据-汇总表'!D3)</f>
        <v>4052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2"/>
      <c r="Q68" s="2922"/>
      <c r="R68" s="2922"/>
      <c r="S68" s="2922"/>
      <c r="T68" s="2922"/>
      <c r="U68" s="2922"/>
      <c r="V68" s="2922"/>
      <c r="W68" s="2922"/>
      <c r="X68" s="2922"/>
      <c r="Y68" s="2922"/>
      <c r="Z68" s="2922"/>
      <c r="AA68" s="2922"/>
      <c r="AB68" s="2922"/>
      <c r="AC68" s="2922"/>
    </row>
    <row r="69" spans="1:29" ht="21.75" thickBot="1">
      <c r="A69" s="703" t="s">
        <v>2434</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4" t="s">
        <v>2542</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3"/>
      <c r="Q70" s="2938"/>
      <c r="R70" s="2938"/>
      <c r="S70" s="2938"/>
      <c r="T70" s="2938"/>
      <c r="U70" s="2938"/>
      <c r="V70" s="2938"/>
      <c r="W70" s="2938"/>
      <c r="X70" s="2938"/>
      <c r="Y70" s="2938"/>
      <c r="Z70" s="2938"/>
      <c r="AA70" s="2938"/>
      <c r="AB70" s="2938"/>
      <c r="AC70" s="2938"/>
    </row>
    <row r="71" spans="1:29" s="113" customFormat="1" ht="30" customHeight="1">
      <c r="A71" s="2145" t="s">
        <v>2543</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2345</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2310</v>
      </c>
      <c r="B73" s="467"/>
      <c r="C73" s="479" t="s">
        <v>2412</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2348</v>
      </c>
      <c r="B75" s="485" t="s">
        <v>2314</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2317</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2319</v>
      </c>
      <c r="B88" s="485" t="s">
        <v>2356</v>
      </c>
      <c r="C88" s="530" t="s">
        <v>2357</v>
      </c>
      <c r="D88" s="530" t="s">
        <v>2358</v>
      </c>
      <c r="E88" s="530" t="s">
        <v>2359</v>
      </c>
      <c r="F88" s="530" t="s">
        <v>2360</v>
      </c>
      <c r="G88" s="530" t="s">
        <v>2361</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2544</v>
      </c>
      <c r="C90" s="535" t="s">
        <v>2357</v>
      </c>
      <c r="D90" s="535" t="s">
        <v>2358</v>
      </c>
      <c r="E90" s="535" t="s">
        <v>2359</v>
      </c>
      <c r="F90" s="535" t="s">
        <v>2360</v>
      </c>
      <c r="G90" s="535" t="s">
        <v>2361</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2457</v>
      </c>
      <c r="C92" s="535" t="s">
        <v>2357</v>
      </c>
      <c r="D92" s="535" t="s">
        <v>2358</v>
      </c>
      <c r="E92" s="535" t="s">
        <v>2359</v>
      </c>
      <c r="F92" s="535" t="s">
        <v>2360</v>
      </c>
      <c r="G92" s="535" t="s">
        <v>2361</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2362</v>
      </c>
      <c r="C94" s="535" t="s">
        <v>2357</v>
      </c>
      <c r="D94" s="535" t="s">
        <v>2358</v>
      </c>
      <c r="E94" s="535" t="s">
        <v>2359</v>
      </c>
      <c r="F94" s="535" t="s">
        <v>2360</v>
      </c>
      <c r="G94" s="535" t="s">
        <v>2361</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2451</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2510</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2552</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2553</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2554</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2555</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F20" sqref="F2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2563</v>
      </c>
      <c r="B1" s="203"/>
      <c r="C1" s="207" t="s">
        <v>2564</v>
      </c>
      <c r="D1" s="348">
        <f>SUM(D29:D30,D33:D39)</f>
        <v>4052</v>
      </c>
      <c r="E1" s="2150"/>
      <c r="F1" s="2150"/>
      <c r="G1" s="2150"/>
      <c r="H1" s="2150"/>
      <c r="I1" s="2150"/>
      <c r="J1" s="2150"/>
      <c r="K1" s="1252"/>
      <c r="L1" s="2151" t="s">
        <v>2565</v>
      </c>
      <c r="M1" s="994">
        <f>SUMPRODUCT((区片价!B5:B9=I2)*(区片价!C3:F3=E2)*(区片价!C5:F9))</f>
        <v>0</v>
      </c>
      <c r="N1" s="997">
        <f>SUMPRODUCT((因素修正幅度!B5:B9=I2)*(因素修正幅度!C3:F3=E2)*(因素修正幅度!C5:F9))</f>
        <v>0</v>
      </c>
      <c r="O1" s="2152"/>
      <c r="P1" s="2152"/>
      <c r="Q1" s="1252"/>
      <c r="R1" s="1345" t="s">
        <v>2566</v>
      </c>
      <c r="S1" s="1345" t="s">
        <v>2567</v>
      </c>
      <c r="T1" s="1345" t="s">
        <v>2568</v>
      </c>
      <c r="U1" s="1345" t="s">
        <v>2569</v>
      </c>
      <c r="V1" s="1345" t="s">
        <v>2570</v>
      </c>
      <c r="W1" s="1349"/>
      <c r="X1" s="1349"/>
      <c r="Y1" s="1349"/>
      <c r="Z1" s="1349"/>
      <c r="AA1" s="1349"/>
      <c r="AB1" s="1349"/>
      <c r="AC1" s="1350"/>
      <c r="AD1" s="1351"/>
      <c r="AE1" s="1351"/>
      <c r="AF1" s="1351"/>
      <c r="AG1" s="1351"/>
      <c r="AH1" s="1351"/>
      <c r="AI1" s="1351"/>
      <c r="AJ1" s="1352"/>
    </row>
    <row r="2" spans="1:36" ht="15.75">
      <c r="A2" s="207" t="s">
        <v>2571</v>
      </c>
      <c r="B2" s="210">
        <f>C26</f>
        <v>1539</v>
      </c>
      <c r="C2" s="2154" t="s">
        <v>2572</v>
      </c>
      <c r="D2" s="2155" t="s">
        <v>2573</v>
      </c>
      <c r="E2" s="2156" t="s">
        <v>6</v>
      </c>
      <c r="F2" s="2155" t="s">
        <v>2574</v>
      </c>
      <c r="G2" s="2157" t="str">
        <f>IF(E2="商业",项目基本情况!B37,IF(E2="办公",项目基本情况!C37,IF(E2="住宅",项目基本情况!D37,项目基本情况!E37)))</f>
        <v>十级</v>
      </c>
      <c r="H2" s="2155" t="s">
        <v>2575</v>
      </c>
      <c r="I2" s="2157" t="str">
        <f>IF(E2="商业",项目基本情况!B38,IF(E2="办公",项目基本情况!C38,IF(E2="住宅",项目基本情况!D38,项目基本情况!E38)))</f>
        <v>Ⅹ-怀1</v>
      </c>
      <c r="J2" s="2158"/>
      <c r="K2" s="1252"/>
      <c r="L2" s="2159" t="s">
        <v>2576</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9.2476000000000003</v>
      </c>
      <c r="T2" s="1345">
        <f>ROUND($C$5*$C$18*$C$19*$C$20*S2*$C$24,0)</f>
        <v>7268</v>
      </c>
      <c r="U2" s="1346"/>
      <c r="V2" s="1345">
        <f>ROUND(T2*U2/10000,0)</f>
        <v>0</v>
      </c>
      <c r="W2" s="1349"/>
      <c r="X2" s="1349"/>
      <c r="Y2" s="1349"/>
      <c r="Z2" s="1349"/>
      <c r="AA2" s="1349"/>
      <c r="AB2" s="1349"/>
      <c r="AC2" s="1350"/>
      <c r="AD2" s="1351"/>
      <c r="AE2" s="1351"/>
      <c r="AF2" s="1351"/>
      <c r="AG2" s="1351"/>
      <c r="AH2" s="1351"/>
      <c r="AI2" s="1351"/>
      <c r="AJ2" s="1352"/>
    </row>
    <row r="3" spans="1:36" ht="15.75">
      <c r="A3" s="209" t="s">
        <v>2577</v>
      </c>
      <c r="B3" s="210">
        <f>ROUND(B2*10000/D1,0)</f>
        <v>3798</v>
      </c>
      <c r="C3" s="2154" t="s">
        <v>2578</v>
      </c>
      <c r="D3" s="2155" t="s">
        <v>2579</v>
      </c>
      <c r="E3" s="2160" t="s">
        <v>3137</v>
      </c>
      <c r="F3" s="2161" t="s">
        <v>3262</v>
      </c>
      <c r="G3" s="855">
        <f>IF(F3="宗地容积率",'数据-汇总表'!I4,IF(F3="估价对象容积率",'数据-汇总表'!I6,'数据-汇总表'!I7))</f>
        <v>0.21</v>
      </c>
      <c r="H3" s="175" t="s">
        <v>2580</v>
      </c>
      <c r="I3" s="881"/>
      <c r="J3" s="2158" t="s">
        <v>2581</v>
      </c>
      <c r="K3" s="1252"/>
      <c r="L3" s="2159" t="s">
        <v>2582</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6.0948000000000002</v>
      </c>
      <c r="T3" s="1345">
        <f t="shared" ref="T3:T16" si="0">ROUND($C$5*$C$18*$C$19*$C$20*S3*$C$24,0)</f>
        <v>4790</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96"/>
      <c r="B4" s="3597"/>
      <c r="C4" s="3597"/>
      <c r="D4" s="3598"/>
      <c r="E4" s="3598"/>
      <c r="F4" s="3598"/>
      <c r="G4" s="3598"/>
      <c r="H4" s="3598"/>
      <c r="I4" s="3598"/>
      <c r="J4" s="3599"/>
      <c r="K4" s="1252"/>
      <c r="L4" s="2159" t="s">
        <v>2583</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4.7961999999999998</v>
      </c>
      <c r="T4" s="1345">
        <f t="shared" si="0"/>
        <v>3769</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2584</v>
      </c>
      <c r="C5" s="856">
        <f>ROUND(IF(E2="商业",C6*C7+C16,(IF(E2="住宅",C6*C12+C16,C6+C16))),0)</f>
        <v>650</v>
      </c>
      <c r="D5" s="1492">
        <f>ROUND(C6+C16,0)</f>
        <v>650</v>
      </c>
      <c r="E5" s="1492"/>
      <c r="F5" s="2164"/>
      <c r="G5" s="2165"/>
      <c r="H5" s="2165"/>
      <c r="I5" s="2165"/>
      <c r="J5" s="2166"/>
      <c r="K5" s="2167"/>
      <c r="L5" s="2159" t="s">
        <v>2585</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3.5832999999999999</v>
      </c>
      <c r="T5" s="1345">
        <f t="shared" si="0"/>
        <v>2816</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2586</v>
      </c>
      <c r="B6" s="2173" t="s">
        <v>2587</v>
      </c>
      <c r="C6" s="857">
        <f>SUMIF(L1:L12,G2,M1:M12)</f>
        <v>650</v>
      </c>
      <c r="D6" s="2174" t="s">
        <v>2588</v>
      </c>
      <c r="E6" s="2175"/>
      <c r="F6" s="2175"/>
      <c r="G6" s="2176"/>
      <c r="H6" s="2176"/>
      <c r="I6" s="2176"/>
      <c r="J6" s="2177"/>
      <c r="K6" s="1537"/>
      <c r="L6" s="2159" t="s">
        <v>2589</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2.6947999999999999</v>
      </c>
      <c r="T6" s="1345">
        <f t="shared" si="0"/>
        <v>2118</v>
      </c>
      <c r="U6" s="1346"/>
      <c r="V6" s="1345">
        <f t="shared" si="1"/>
        <v>0</v>
      </c>
      <c r="W6" s="1349"/>
      <c r="X6" s="1349"/>
      <c r="Y6" s="1349"/>
      <c r="Z6" s="1349"/>
      <c r="AA6" s="1349"/>
      <c r="AB6" s="1349"/>
      <c r="AC6" s="2168"/>
      <c r="AD6" s="2169"/>
      <c r="AE6" s="2169"/>
      <c r="AF6" s="2169"/>
      <c r="AG6" s="2169"/>
      <c r="AH6" s="2169"/>
      <c r="AI6" s="2169"/>
      <c r="AJ6" s="2170"/>
    </row>
    <row r="7" spans="1:36" ht="24">
      <c r="A7" s="3577" t="str">
        <f>IF(E2="商业",IF(C8="不临58条商业街","",2),"")</f>
        <v/>
      </c>
      <c r="B7" s="2178" t="s">
        <v>2590</v>
      </c>
      <c r="C7" s="858" t="e">
        <f>IF(C8="不临58条商业街",1,ROUND(1+(1.6*E8+1.2*E9+0.8*E10+0.4*E11)*C9,4))</f>
        <v>#DIV/0!</v>
      </c>
      <c r="D7" s="2179" t="s">
        <v>2591</v>
      </c>
      <c r="E7" s="882"/>
      <c r="F7" s="2180"/>
      <c r="G7" s="2181"/>
      <c r="H7" s="2181"/>
      <c r="I7" s="2181"/>
      <c r="J7" s="2182"/>
      <c r="K7" s="1537"/>
      <c r="L7" s="2159" t="s">
        <v>2592</v>
      </c>
      <c r="M7" s="995">
        <f>SUMPRODUCT((区片价!B158:B205=I2)*(区片价!C3:F3=E2)*(区片价!C158:F205))</f>
        <v>0</v>
      </c>
      <c r="N7" s="997">
        <f>SUMPRODUCT((因素修正幅度!B158:B205=I2)*(因素修正幅度!C3:F3=E2)*(因素修正幅度!C158:F205))</f>
        <v>0</v>
      </c>
      <c r="O7" s="1252"/>
      <c r="P7" s="1252"/>
      <c r="Q7" s="1252"/>
      <c r="R7" s="1345">
        <v>6</v>
      </c>
      <c r="S7" s="1345">
        <f>ROUND(IF(G3&gt;1,IF(R7&lt;7,SUMPRODUCT((B93:B98=R7)*(C92:N92=G2)*(C93:N98)),SUMIF(C92:N92,G2,C100:N100)),IF(R7&lt;7,SUMPRODUCT((B102:B107=R7)*(C92:N92=G2)*(C102:N107)),SUMIF(C92:N92,G2,C109:N109))),4)</f>
        <v>2.1547999999999998</v>
      </c>
      <c r="T7" s="1345">
        <f t="shared" si="0"/>
        <v>1693</v>
      </c>
      <c r="U7" s="1346"/>
      <c r="V7" s="1345">
        <f t="shared" si="1"/>
        <v>0</v>
      </c>
      <c r="W7" s="1511" t="s">
        <v>2593</v>
      </c>
      <c r="X7" s="1347" t="str">
        <f>G2</f>
        <v>十级</v>
      </c>
      <c r="Y7" s="1347" t="s">
        <v>2594</v>
      </c>
      <c r="Z7" s="1348">
        <f>G3</f>
        <v>0.21</v>
      </c>
      <c r="AA7" s="1349"/>
      <c r="AB7" s="1349"/>
      <c r="AC7" s="1350"/>
      <c r="AD7" s="1351"/>
      <c r="AE7" s="1351"/>
      <c r="AF7" s="1351"/>
      <c r="AG7" s="1351"/>
      <c r="AH7" s="1351"/>
      <c r="AI7" s="1351"/>
      <c r="AJ7" s="1352"/>
    </row>
    <row r="8" spans="1:36" ht="15">
      <c r="A8" s="3600"/>
      <c r="B8" s="175" t="s">
        <v>2595</v>
      </c>
      <c r="C8" s="2183"/>
      <c r="D8" s="859" t="s">
        <v>139</v>
      </c>
      <c r="E8" s="860" t="e">
        <f>ROUND(C11/E7,4)</f>
        <v>#DIV/0!</v>
      </c>
      <c r="F8" s="2184" t="s">
        <v>2596</v>
      </c>
      <c r="G8" s="2185"/>
      <c r="H8" s="2185"/>
      <c r="I8" s="2185"/>
      <c r="J8" s="2186"/>
      <c r="K8" s="1252"/>
      <c r="L8" s="2159" t="s">
        <v>2597</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93" t="s">
        <v>2598</v>
      </c>
      <c r="X8" s="3594"/>
      <c r="Y8" s="1353" t="s">
        <v>2599</v>
      </c>
      <c r="Z8" s="1353" t="s">
        <v>2600</v>
      </c>
      <c r="AA8" s="1353" t="s">
        <v>2601</v>
      </c>
      <c r="AB8" s="1353" t="s">
        <v>2602</v>
      </c>
      <c r="AC8" s="1353" t="s">
        <v>2603</v>
      </c>
      <c r="AD8" s="1353" t="s">
        <v>2604</v>
      </c>
      <c r="AE8" s="1353" t="s">
        <v>2605</v>
      </c>
      <c r="AF8" s="1353" t="s">
        <v>2606</v>
      </c>
      <c r="AG8" s="1353" t="s">
        <v>2607</v>
      </c>
      <c r="AH8" s="1353" t="s">
        <v>2608</v>
      </c>
      <c r="AI8" s="1353" t="s">
        <v>2609</v>
      </c>
      <c r="AJ8" s="1353" t="s">
        <v>2610</v>
      </c>
    </row>
    <row r="9" spans="1:36" ht="15">
      <c r="A9" s="3600"/>
      <c r="B9" s="175" t="s">
        <v>2611</v>
      </c>
      <c r="C9" s="861">
        <f>SUMIF(修正!C59:C119,C8,修正!E59:E119)</f>
        <v>0</v>
      </c>
      <c r="D9" s="176" t="s">
        <v>140</v>
      </c>
      <c r="E9" s="176" t="e">
        <f>ROUND(C11/E7,4)</f>
        <v>#DIV/0!</v>
      </c>
      <c r="F9" s="2184" t="s">
        <v>2612</v>
      </c>
      <c r="G9" s="2185"/>
      <c r="H9" s="2185"/>
      <c r="I9" s="2185"/>
      <c r="J9" s="2186"/>
      <c r="K9" s="1252"/>
      <c r="L9" s="2159" t="s">
        <v>2613</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95" t="s">
        <v>2614</v>
      </c>
      <c r="X9" s="1354" t="s">
        <v>2615</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600"/>
      <c r="B10" s="175" t="s">
        <v>2616</v>
      </c>
      <c r="C10" s="176">
        <f>SUMIF(修正!C59:C119,C8,修正!F59:F119)</f>
        <v>0</v>
      </c>
      <c r="D10" s="176" t="s">
        <v>141</v>
      </c>
      <c r="E10" s="176" t="e">
        <f>ROUND(C11/E7,4)</f>
        <v>#DIV/0!</v>
      </c>
      <c r="F10" s="2184" t="s">
        <v>2617</v>
      </c>
      <c r="G10" s="2185"/>
      <c r="H10" s="2185"/>
      <c r="I10" s="2185"/>
      <c r="J10" s="2186"/>
      <c r="K10" s="1252"/>
      <c r="L10" s="2159" t="s">
        <v>2618</v>
      </c>
      <c r="M10" s="995">
        <f>SUMPRODUCT((区片价!B290:B316=I2)*(区片价!C3:F3=E2)*(区片价!C290:F316))</f>
        <v>650</v>
      </c>
      <c r="N10" s="997">
        <f>SUMPRODUCT((因素修正幅度!B290:B316=I2)*(因素修正幅度!C3:F3=E2)*(因素修正幅度!C290:F316))</f>
        <v>0.14299999999999999</v>
      </c>
      <c r="O10" s="1252"/>
      <c r="P10" s="1252"/>
      <c r="Q10" s="1252"/>
      <c r="R10" s="1345">
        <v>9</v>
      </c>
      <c r="S10" s="1346"/>
      <c r="T10" s="1345">
        <f t="shared" si="0"/>
        <v>0</v>
      </c>
      <c r="U10" s="1346"/>
      <c r="V10" s="1345">
        <f t="shared" si="1"/>
        <v>0</v>
      </c>
      <c r="W10" s="3595"/>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600"/>
      <c r="B11" s="2187" t="s">
        <v>2619</v>
      </c>
      <c r="C11" s="862">
        <f>C10/4</f>
        <v>0</v>
      </c>
      <c r="D11" s="862" t="s">
        <v>142</v>
      </c>
      <c r="E11" s="862" t="e">
        <f>ROUND(C11/E7,4)</f>
        <v>#DIV/0!</v>
      </c>
      <c r="F11" s="2188" t="s">
        <v>2620</v>
      </c>
      <c r="G11" s="2189"/>
      <c r="H11" s="2189"/>
      <c r="I11" s="2189"/>
      <c r="J11" s="2190"/>
      <c r="K11" s="1252"/>
      <c r="L11" s="2159" t="s">
        <v>2621</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95" t="s">
        <v>2622</v>
      </c>
      <c r="X11" s="1357" t="s">
        <v>2623</v>
      </c>
      <c r="Y11" s="1358">
        <f>$G$3</f>
        <v>0.21</v>
      </c>
      <c r="Z11" s="1358">
        <f t="shared" ref="Z11:AJ11" si="3">$G$3</f>
        <v>0.21</v>
      </c>
      <c r="AA11" s="1358">
        <f t="shared" si="3"/>
        <v>0.21</v>
      </c>
      <c r="AB11" s="1358">
        <f t="shared" si="3"/>
        <v>0.21</v>
      </c>
      <c r="AC11" s="1358">
        <f t="shared" si="3"/>
        <v>0.21</v>
      </c>
      <c r="AD11" s="1358">
        <f t="shared" si="3"/>
        <v>0.21</v>
      </c>
      <c r="AE11" s="1358">
        <f t="shared" si="3"/>
        <v>0.21</v>
      </c>
      <c r="AF11" s="1358">
        <f t="shared" si="3"/>
        <v>0.21</v>
      </c>
      <c r="AG11" s="1358">
        <f t="shared" si="3"/>
        <v>0.21</v>
      </c>
      <c r="AH11" s="1358">
        <f t="shared" si="3"/>
        <v>0.21</v>
      </c>
      <c r="AI11" s="1358">
        <f t="shared" si="3"/>
        <v>0.21</v>
      </c>
      <c r="AJ11" s="1358">
        <f t="shared" si="3"/>
        <v>0.21</v>
      </c>
    </row>
    <row r="12" spans="1:36" ht="25.5" thickBot="1">
      <c r="A12" s="3577" t="s">
        <v>2624</v>
      </c>
      <c r="B12" s="2191" t="s">
        <v>2625</v>
      </c>
      <c r="C12" s="858">
        <f>ROUND(C15*D15*E15*F15*G15*H15*I15*J15,4)</f>
        <v>1</v>
      </c>
      <c r="D12" s="2192" t="s">
        <v>2626</v>
      </c>
      <c r="E12" s="2193"/>
      <c r="F12" s="2193"/>
      <c r="G12" s="2194"/>
      <c r="H12" s="2194"/>
      <c r="I12" s="2194"/>
      <c r="J12" s="2195"/>
      <c r="K12" s="1252"/>
      <c r="L12" s="2196" t="s">
        <v>2627</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95"/>
      <c r="X12" s="1359" t="s">
        <v>2628</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601"/>
      <c r="B13" s="2197" t="s">
        <v>2629</v>
      </c>
      <c r="C13" s="2198" t="s">
        <v>2630</v>
      </c>
      <c r="D13" s="1503" t="s">
        <v>2631</v>
      </c>
      <c r="E13" s="1503" t="s">
        <v>2632</v>
      </c>
      <c r="F13" s="30" t="s">
        <v>2633</v>
      </c>
      <c r="G13" s="2199" t="s">
        <v>2634</v>
      </c>
      <c r="H13" s="2199" t="s">
        <v>2634</v>
      </c>
      <c r="I13" s="2199" t="s">
        <v>2634</v>
      </c>
      <c r="J13" s="2200" t="s">
        <v>2634</v>
      </c>
      <c r="K13" s="1252"/>
      <c r="L13" s="1252"/>
      <c r="M13" s="1252"/>
      <c r="N13" s="1252"/>
      <c r="O13" s="1252"/>
      <c r="P13" s="1252"/>
      <c r="Q13" s="1252"/>
      <c r="R13" s="1345">
        <v>12</v>
      </c>
      <c r="S13" s="1346"/>
      <c r="T13" s="1345">
        <f t="shared" si="0"/>
        <v>0</v>
      </c>
      <c r="U13" s="1346"/>
      <c r="V13" s="1345">
        <f t="shared" si="1"/>
        <v>0</v>
      </c>
      <c r="W13" s="3595"/>
      <c r="X13" s="1359"/>
      <c r="Y13" s="1356">
        <f>(-0.163*(Y12^2)-0.59*Y12+7617)*(10^(-4))/Y11</f>
        <v>3.6271428571428577</v>
      </c>
      <c r="Z13" s="1356">
        <f t="shared" ref="Z13:AJ13" si="5">(-0.163*(Z12^2)-0.59*Z12+7617)*(10^(-4))/Z11</f>
        <v>3.6271428571428577</v>
      </c>
      <c r="AA13" s="1356">
        <f t="shared" si="5"/>
        <v>3.6271428571428577</v>
      </c>
      <c r="AB13" s="1356">
        <f t="shared" si="5"/>
        <v>3.6271428571428577</v>
      </c>
      <c r="AC13" s="1356">
        <f t="shared" si="5"/>
        <v>3.6271428571428577</v>
      </c>
      <c r="AD13" s="1356">
        <f t="shared" si="5"/>
        <v>3.6271428571428577</v>
      </c>
      <c r="AE13" s="1356">
        <f t="shared" si="5"/>
        <v>3.6271428571428577</v>
      </c>
      <c r="AF13" s="1356">
        <f t="shared" si="5"/>
        <v>3.6271428571428577</v>
      </c>
      <c r="AG13" s="1356">
        <f t="shared" si="5"/>
        <v>3.6271428571428577</v>
      </c>
      <c r="AH13" s="1356">
        <f t="shared" si="5"/>
        <v>3.6271428571428577</v>
      </c>
      <c r="AI13" s="1356">
        <f t="shared" si="5"/>
        <v>3.6271428571428577</v>
      </c>
      <c r="AJ13" s="1356">
        <f t="shared" si="5"/>
        <v>3.6271428571428577</v>
      </c>
    </row>
    <row r="14" spans="1:36" ht="15">
      <c r="A14" s="3601"/>
      <c r="B14" s="2201"/>
      <c r="C14" s="2202"/>
      <c r="D14" s="2203"/>
      <c r="E14" s="2203"/>
      <c r="F14" s="2204"/>
      <c r="G14" s="2205" t="s">
        <v>2635</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8"/>
      <c r="AE14" s="2988"/>
      <c r="AF14" s="2988"/>
      <c r="AG14" s="2988"/>
      <c r="AH14" s="2988"/>
      <c r="AI14" s="2988"/>
      <c r="AJ14" s="2989"/>
    </row>
    <row r="15" spans="1:36" ht="15.75" thickBot="1">
      <c r="A15" s="3602"/>
      <c r="B15" s="2209" t="s">
        <v>2636</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8"/>
      <c r="AE15" s="2988"/>
      <c r="AF15" s="2988"/>
      <c r="AG15" s="2988"/>
      <c r="AH15" s="2988"/>
      <c r="AI15" s="2988"/>
      <c r="AJ15" s="2989"/>
    </row>
    <row r="16" spans="1:36" ht="24.6" customHeight="1">
      <c r="A16" s="3577" t="s">
        <v>2641</v>
      </c>
      <c r="B16" s="2178" t="s">
        <v>2642</v>
      </c>
      <c r="C16" s="2340">
        <f>ROUND(IF(F17="与级别开发程度一致",0,(G17-E17)/C17),0)</f>
        <v>0</v>
      </c>
      <c r="D16" s="3590" t="s">
        <v>2646</v>
      </c>
      <c r="E16" s="3591"/>
      <c r="F16" s="3590" t="s">
        <v>2643</v>
      </c>
      <c r="G16" s="3591"/>
      <c r="H16" s="2210" t="s">
        <v>3138</v>
      </c>
      <c r="I16" s="2210" t="s">
        <v>3139</v>
      </c>
      <c r="J16" s="2344" t="s">
        <v>3140</v>
      </c>
      <c r="K16" s="2210" t="s">
        <v>3141</v>
      </c>
      <c r="L16" s="2210" t="s">
        <v>3142</v>
      </c>
      <c r="M16" s="2210" t="s">
        <v>3143</v>
      </c>
      <c r="N16" s="2210"/>
      <c r="O16" s="2211"/>
      <c r="P16" s="2152"/>
      <c r="Q16" s="1252"/>
      <c r="R16" s="1345">
        <v>15</v>
      </c>
      <c r="S16" s="1346"/>
      <c r="T16" s="1345">
        <f t="shared" si="0"/>
        <v>0</v>
      </c>
      <c r="U16" s="1346"/>
      <c r="V16" s="1345">
        <f t="shared" si="1"/>
        <v>0</v>
      </c>
      <c r="W16" s="1349"/>
      <c r="X16" s="1349"/>
      <c r="Y16" s="1349"/>
      <c r="Z16" s="1349"/>
      <c r="AA16" s="1349"/>
      <c r="AB16" s="1349"/>
      <c r="AC16" s="1350"/>
      <c r="AD16" s="2988"/>
      <c r="AE16" s="2988"/>
      <c r="AF16" s="2988"/>
      <c r="AG16" s="2988"/>
      <c r="AH16" s="2988"/>
      <c r="AI16" s="2988"/>
      <c r="AJ16" s="2989"/>
    </row>
    <row r="17" spans="1:37" ht="26.25" thickBot="1">
      <c r="A17" s="3578"/>
      <c r="B17" s="2351" t="s">
        <v>2645</v>
      </c>
      <c r="C17" s="2352">
        <f>SUMPRODUCT((修正!A2:A5=E2)*(修正!B1:M1=G2)*(修正!B2:M5))</f>
        <v>1</v>
      </c>
      <c r="D17" s="193" t="str">
        <f>IF(OR(G2="八级",G2="九级",G2="十级",G2="十一级",G2="十二级"),"五通一平","七通一平")</f>
        <v>五通一平</v>
      </c>
      <c r="E17" s="2341">
        <f>SUMPRODUCT((修正!B1:M1=G2)*(修正!B15:M15))</f>
        <v>155</v>
      </c>
      <c r="F17" s="2342" t="s">
        <v>3401</v>
      </c>
      <c r="G17" s="2343">
        <f>SUM(H17:O17)</f>
        <v>155</v>
      </c>
      <c r="H17" s="2352">
        <f>SUMPRODUCT((七通一平=H16)*(修正!B1:M1=G2)*(修正!B6:M14))</f>
        <v>50</v>
      </c>
      <c r="I17" s="2352">
        <f>SUMPRODUCT((七通一平=I16)*(修正!B1:M1=G2)*(修正!B6:M14))</f>
        <v>40</v>
      </c>
      <c r="J17" s="2353">
        <f>SUMPRODUCT((七通一平=J16)*(修正!B1:M1=G2)*(修正!B6:M14))</f>
        <v>10</v>
      </c>
      <c r="K17" s="2352">
        <f>SUMPRODUCT((七通一平=K16)*(修正!B1:M1=G2)*(修正!B6:M14))</f>
        <v>20</v>
      </c>
      <c r="L17" s="2352">
        <f>SUMPRODUCT((七通一平=L16)*(修正!B1:M1=G2)*(修正!B6:M14))</f>
        <v>25</v>
      </c>
      <c r="M17" s="2352">
        <f>SUMPRODUCT((七通一平=M16)*(修正!B1:M1=G2)*(修正!B6:M14))</f>
        <v>10</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2648</v>
      </c>
      <c r="C18" s="2347">
        <f>SUMIF(修正!C18:C39,E3,修正!E18:E39)</f>
        <v>1</v>
      </c>
      <c r="D18" s="2348"/>
      <c r="E18" s="2349"/>
      <c r="F18" s="2349"/>
      <c r="G18" s="2349"/>
      <c r="H18" s="2349"/>
      <c r="I18" s="2349"/>
      <c r="J18" s="2350"/>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7"/>
    </row>
    <row r="19" spans="1:37" s="2171" customFormat="1" ht="29.25" thickBot="1">
      <c r="A19" s="2215" t="s">
        <v>809</v>
      </c>
      <c r="B19" s="2216" t="s">
        <v>2649</v>
      </c>
      <c r="C19" s="863">
        <f>ROUND(IF(H19="按公示增长率计算",SUMPRODUCT((地价!A3:A37=YEAR(G19)&amp;"-"&amp;ROUNDUP(MONTH(G19)/3,0))*(地价!X2:AB2=E2)*(地价!X3:AB37)),IF(H19="地价指数",M20/M19,(1+I19)^O19)),4)</f>
        <v>1.4529000000000001</v>
      </c>
      <c r="D19" s="2220" t="s">
        <v>2650</v>
      </c>
      <c r="E19" s="864">
        <v>41640</v>
      </c>
      <c r="F19" s="2220" t="s">
        <v>2651</v>
      </c>
      <c r="G19" s="865">
        <f>'数据-取费表'!B2</f>
        <v>44607</v>
      </c>
      <c r="H19" s="2221" t="s">
        <v>3144</v>
      </c>
      <c r="I19" s="866" t="str">
        <f>IF(H19="季度增幅（自定义）",SUMIF(N21:N24,E2,O21:O24),"")</f>
        <v/>
      </c>
      <c r="J19" s="2218"/>
      <c r="K19" s="1259"/>
      <c r="L19" s="2222" t="s">
        <v>2652</v>
      </c>
      <c r="M19" s="1467">
        <f>ROUND(SUMIF(地价!B2:F2,E2,地价!B37:F37),0)</f>
        <v>230</v>
      </c>
      <c r="N19" s="2223"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0"/>
      <c r="AH19" s="2309"/>
      <c r="AI19" s="2991"/>
      <c r="AJ19" s="2991"/>
      <c r="AK19" s="2224"/>
    </row>
    <row r="20" spans="1:37" s="2171" customFormat="1" ht="27.75" thickBot="1">
      <c r="A20" s="2225" t="s">
        <v>810</v>
      </c>
      <c r="B20" s="2226" t="s">
        <v>2654</v>
      </c>
      <c r="C20" s="868">
        <f>ROUND(POWER(1+G20,J20-I20)*(POWER(1+G20,I20)-1)/(POWER(1+G20,J20)-1),4)</f>
        <v>0.83220000000000005</v>
      </c>
      <c r="D20" s="2227" t="s">
        <v>2655</v>
      </c>
      <c r="E20" s="1474">
        <f>存贷款利率!E20/100</f>
        <v>4.3499999999999997E-2</v>
      </c>
      <c r="F20" s="2227" t="s">
        <v>2647</v>
      </c>
      <c r="G20" s="873">
        <f>SUMIF(M26:P26,E2,M28:P28)</f>
        <v>4.8000000000000001E-2</v>
      </c>
      <c r="H20" s="2227" t="s">
        <v>2656</v>
      </c>
      <c r="I20" s="874">
        <f>SUMIF('数据-取费表'!C6:C15,E2,'数据-取费表'!F6:F15)/COUNTIF('数据-取费表'!C6:C15,E2)</f>
        <v>29.77</v>
      </c>
      <c r="J20" s="875">
        <f>IF(E2="住宅",70,IF(E2="商业",40,50))</f>
        <v>50</v>
      </c>
      <c r="K20" s="1259"/>
      <c r="L20" s="2228" t="s">
        <v>2657</v>
      </c>
      <c r="M20" s="1468">
        <f>ROUND(SUMPRODUCT((地价!A4:A37=YEAR(G19)&amp;"-"&amp;ROUNDUP(MONTH(G19)/3,0))*(地价!B2:F2=E2)*(地价!B4:F37)),0)</f>
        <v>334</v>
      </c>
      <c r="N20" s="2229" t="s">
        <v>2658</v>
      </c>
      <c r="O20" s="2230" t="s">
        <v>2659</v>
      </c>
      <c r="P20" s="2231" t="s">
        <v>2660</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1" customFormat="1" ht="15">
      <c r="A21" s="2232" t="s">
        <v>811</v>
      </c>
      <c r="B21" s="2233" t="s">
        <v>3145</v>
      </c>
      <c r="C21" s="876">
        <f>IF(B21="容积率修正",IF(G3&lt;=10,D22,J22),C23)</f>
        <v>4.8333000000000004</v>
      </c>
      <c r="D21" s="2234"/>
      <c r="E21" s="2234"/>
      <c r="F21" s="2234"/>
      <c r="G21" s="2234"/>
      <c r="H21" s="2234"/>
      <c r="I21" s="2234"/>
      <c r="J21" s="2235"/>
      <c r="K21" s="1259"/>
      <c r="L21" s="2987"/>
      <c r="M21" s="2987"/>
      <c r="N21" s="2236" t="s">
        <v>2661</v>
      </c>
      <c r="O21" s="1307"/>
      <c r="P21" s="1308">
        <f>SUMPRODUCT((地价!A3:A37=YEAR(G19)&amp;"-"&amp;ROUNDUP(MONTH(G19)/3,0))*(地价!AD2:AH2=N21)*(地价!AD3:AH37))</f>
        <v>1.0200000000000001E-2</v>
      </c>
      <c r="Q21" s="2987"/>
      <c r="R21" s="3210" t="s">
        <v>3233</v>
      </c>
      <c r="S21" s="3210" t="s">
        <v>3234</v>
      </c>
      <c r="T21" s="1253"/>
      <c r="U21" s="1253"/>
      <c r="V21" s="1253"/>
      <c r="W21" s="1252"/>
      <c r="X21" s="1252"/>
      <c r="Y21" s="1252"/>
      <c r="Z21" s="1259"/>
      <c r="AA21" s="1259"/>
      <c r="AB21" s="1259"/>
      <c r="AC21" s="1259"/>
      <c r="AD21" s="1259"/>
      <c r="AE21" s="1259"/>
      <c r="AF21" s="1259"/>
      <c r="AG21" s="2987"/>
      <c r="AH21" s="2987"/>
      <c r="AI21" s="2987"/>
      <c r="AJ21" s="2987"/>
    </row>
    <row r="22" spans="1:37" s="2171" customFormat="1" ht="14.25">
      <c r="A22" s="2110" t="s">
        <v>2662</v>
      </c>
      <c r="B22" s="2237" t="s">
        <v>2663</v>
      </c>
      <c r="C22" s="1505" t="s">
        <v>2664</v>
      </c>
      <c r="D22" s="1505">
        <f>IF(E22=G22,F22,IF(G3&lt;=10,ROUND(F22+(H22-F22)*(G3-E22)/(G22-E22),4),"——"))</f>
        <v>4.8333000000000004</v>
      </c>
      <c r="E22" s="855">
        <f>ROUNDDOWN(G3,1)</f>
        <v>0.2</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5" t="s">
        <v>155</v>
      </c>
      <c r="J22" s="877" t="str">
        <f>IF(G3&gt;10,D113,"——")</f>
        <v>——</v>
      </c>
      <c r="K22" s="1259"/>
      <c r="L22" s="2987"/>
      <c r="M22" s="2987"/>
      <c r="N22" s="2236" t="s">
        <v>2665</v>
      </c>
      <c r="O22" s="1307"/>
      <c r="P22" s="1308">
        <f>SUMPRODUCT((地价!A3:A37=YEAR(G19)&amp;"-"&amp;ROUNDUP(MONTH(G19)/3,0))*(地价!AD2:AH2=N22)*(地价!AD3:AH37))</f>
        <v>1.0200000000000001E-2</v>
      </c>
      <c r="Q22" s="2987"/>
      <c r="R22" s="1256">
        <v>0.21</v>
      </c>
      <c r="S22" s="1256">
        <v>4.8333000000000004</v>
      </c>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0" t="s">
        <v>2666</v>
      </c>
      <c r="B23" s="2238" t="s">
        <v>2667</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2668</v>
      </c>
      <c r="O23" s="1307"/>
      <c r="P23" s="1308">
        <f>SUMPRODUCT((地价!A3:A37=YEAR(G19)&amp;"-"&amp;ROUNDUP(MONTH(G19)/3,0))*(地价!AD2:AH2=N23)*(地价!AD3:AH37))</f>
        <v>1.77E-2</v>
      </c>
      <c r="Q23" s="2152"/>
      <c r="R23" s="1256">
        <v>1</v>
      </c>
      <c r="S23" s="1256">
        <v>1</v>
      </c>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2669</v>
      </c>
      <c r="C24" s="863">
        <f>SUMIF(A45:A88,E2,B45:B88)</f>
        <v>1</v>
      </c>
      <c r="D24" s="2217"/>
      <c r="E24" s="2244"/>
      <c r="F24" s="2244"/>
      <c r="G24" s="2244"/>
      <c r="H24" s="2244"/>
      <c r="I24" s="2244"/>
      <c r="J24" s="2245"/>
      <c r="K24" s="1259"/>
      <c r="L24" s="2987"/>
      <c r="M24" s="2987"/>
      <c r="N24" s="2246" t="s">
        <v>2670</v>
      </c>
      <c r="O24" s="1309"/>
      <c r="P24" s="1310">
        <f>SUMPRODUCT((地价!A3:A37=YEAR(G19)&amp;"-"&amp;ROUNDUP(MONTH(G19)/3,0))*(地价!AD2:AH2=N24)*(地价!AD3:AH37))</f>
        <v>1.18E-2</v>
      </c>
      <c r="Q24" s="2987"/>
      <c r="R24" s="1256">
        <v>1.2</v>
      </c>
      <c r="S24" s="1256">
        <v>0.88890000000000002</v>
      </c>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5" t="s">
        <v>813</v>
      </c>
      <c r="B25" s="2247" t="s">
        <v>2671</v>
      </c>
      <c r="C25" s="869"/>
      <c r="D25" s="2181"/>
      <c r="E25" s="2181"/>
      <c r="F25" s="2248"/>
      <c r="G25" s="2181"/>
      <c r="H25" s="2181"/>
      <c r="I25" s="2181"/>
      <c r="J25" s="2182"/>
      <c r="K25" s="1252"/>
      <c r="L25" s="2152"/>
      <c r="M25" s="2152"/>
      <c r="N25" s="2982" t="s">
        <v>2672</v>
      </c>
      <c r="O25" s="2983"/>
      <c r="P25" s="2984">
        <f>SUMPRODUCT((地价!A3:A37=YEAR(G19)&amp;"-"&amp;ROUNDUP(MONTH(G19)/3,0))*(地价!AD2:AH2=N25)*(地价!AD3:AH37))</f>
        <v>1.61E-2</v>
      </c>
      <c r="Q25" s="2152"/>
      <c r="R25" s="1256">
        <v>1.6</v>
      </c>
      <c r="S25" s="1256">
        <v>0.78100000000000003</v>
      </c>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2673</v>
      </c>
      <c r="C26" s="2511">
        <f>IF(B21="容积率修正",E29+SUM(E33:E39),SUM(V2:V16)+SUM(E33:E39))</f>
        <v>1539</v>
      </c>
      <c r="D26" s="2250"/>
      <c r="E26" s="2206"/>
      <c r="F26" s="2251"/>
      <c r="G26" s="2206"/>
      <c r="H26" s="2206"/>
      <c r="I26" s="2206"/>
      <c r="J26" s="2252"/>
      <c r="K26" s="1252"/>
      <c r="L26" s="2985" t="s">
        <v>2573</v>
      </c>
      <c r="M26" s="2179" t="s">
        <v>2637</v>
      </c>
      <c r="N26" s="2179" t="s">
        <v>2638</v>
      </c>
      <c r="O26" s="2179" t="s">
        <v>2639</v>
      </c>
      <c r="P26" s="2986" t="s">
        <v>2640</v>
      </c>
      <c r="Q26" s="2152"/>
      <c r="R26" s="1256">
        <v>1.8</v>
      </c>
      <c r="S26" s="1256">
        <v>0.74419999999999997</v>
      </c>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2674</v>
      </c>
      <c r="C27" s="870">
        <f>E30+SUM(I33:I39)</f>
        <v>0</v>
      </c>
      <c r="D27" s="2254"/>
      <c r="E27" s="2255"/>
      <c r="F27" s="2256"/>
      <c r="G27" s="2255"/>
      <c r="H27" s="2255"/>
      <c r="I27" s="2255"/>
      <c r="J27" s="2257"/>
      <c r="K27" s="1252"/>
      <c r="L27" s="2212" t="s">
        <v>2644</v>
      </c>
      <c r="M27" s="861">
        <v>0.25</v>
      </c>
      <c r="N27" s="861">
        <v>0.2</v>
      </c>
      <c r="O27" s="861">
        <v>0.15</v>
      </c>
      <c r="P27" s="1251">
        <v>0.1</v>
      </c>
      <c r="Q27" s="1258"/>
      <c r="R27" s="1256">
        <v>2</v>
      </c>
      <c r="S27" s="1256">
        <v>0.71160000000000001</v>
      </c>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2675</v>
      </c>
      <c r="C28" s="2260" t="s">
        <v>2676</v>
      </c>
      <c r="D28" s="2260" t="s">
        <v>2677</v>
      </c>
      <c r="E28" s="2261" t="s">
        <v>2678</v>
      </c>
      <c r="F28" s="2262"/>
      <c r="G28" s="2194"/>
      <c r="H28" s="2194"/>
      <c r="I28" s="2194"/>
      <c r="J28" s="2195"/>
      <c r="K28" s="1252"/>
      <c r="L28" s="2213" t="s">
        <v>2647</v>
      </c>
      <c r="M28" s="183">
        <f>ROUND($E$20*(1+M27),3)</f>
        <v>5.3999999999999999E-2</v>
      </c>
      <c r="N28" s="183">
        <f>ROUND($E$20*(1+N27),3)</f>
        <v>5.1999999999999998E-2</v>
      </c>
      <c r="O28" s="183">
        <f>ROUND($E$20*(1+O27),3)</f>
        <v>0.05</v>
      </c>
      <c r="P28" s="1255">
        <f>ROUND($E$20*(1+P27),3)</f>
        <v>4.8000000000000001E-2</v>
      </c>
      <c r="Q28" s="1258"/>
      <c r="R28" s="1256"/>
      <c r="S28" s="1256"/>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2679</v>
      </c>
      <c r="C29" s="180">
        <f>ROUND(C5*C18*C19*C20*C21*C24,0)</f>
        <v>3799</v>
      </c>
      <c r="D29" s="2265">
        <f>'数据-汇总表'!F19</f>
        <v>4052</v>
      </c>
      <c r="E29" s="879">
        <f>ROUND(C29*D29/10000,0)</f>
        <v>1539</v>
      </c>
      <c r="F29" s="2266" t="s">
        <v>2680</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2681</v>
      </c>
      <c r="C30" s="193">
        <f>ROUND(IF(E2="工业",C29*M39,C29*M38),0)</f>
        <v>570</v>
      </c>
      <c r="D30" s="2271"/>
      <c r="E30" s="879">
        <f>ROUND(C30*D30/10000,0)</f>
        <v>0</v>
      </c>
      <c r="F30" s="2272" t="s">
        <v>2682</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2683</v>
      </c>
      <c r="C31" s="2277" t="s">
        <v>2684</v>
      </c>
      <c r="D31" s="2194"/>
      <c r="E31" s="2277"/>
      <c r="F31" s="2277"/>
      <c r="G31" s="2192" t="s">
        <v>2685</v>
      </c>
      <c r="H31" s="2194"/>
      <c r="I31" s="2278"/>
      <c r="J31" s="2195"/>
      <c r="K31" s="1252"/>
      <c r="L31" s="1252"/>
      <c r="M31" s="3209" t="s">
        <v>3233</v>
      </c>
      <c r="N31" s="3209" t="s">
        <v>3234</v>
      </c>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2676</v>
      </c>
      <c r="D32" s="455" t="s">
        <v>2677</v>
      </c>
      <c r="E32" s="455" t="s">
        <v>2678</v>
      </c>
      <c r="F32" s="348" t="s">
        <v>2686</v>
      </c>
      <c r="G32" s="2280" t="s">
        <v>2676</v>
      </c>
      <c r="H32" s="2280" t="s">
        <v>2677</v>
      </c>
      <c r="I32" s="2280" t="s">
        <v>2678</v>
      </c>
      <c r="J32" s="249"/>
      <c r="K32" s="1252"/>
      <c r="L32" s="1252"/>
      <c r="M32" s="1252">
        <v>0.21</v>
      </c>
      <c r="N32" s="1252">
        <v>4.8333000000000004</v>
      </c>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87"/>
      <c r="B33" s="2281" t="s">
        <v>2687</v>
      </c>
      <c r="C33" s="180">
        <f>ROUND(D5*C19*C20*C24*F33,0)</f>
        <v>472</v>
      </c>
      <c r="D33" s="2265"/>
      <c r="E33" s="176">
        <f>ROUND(C33*D33/10000,0)</f>
        <v>0</v>
      </c>
      <c r="F33" s="176">
        <f>SUMIF(修正!A45:A56,G2,修正!B45:B56)</f>
        <v>0.6</v>
      </c>
      <c r="G33" s="176">
        <f t="shared" ref="G33" si="6">ROUND(IF(E2="工业",C33*$M$39,C33*$M$38),0)</f>
        <v>71</v>
      </c>
      <c r="H33" s="176">
        <f>D33</f>
        <v>0</v>
      </c>
      <c r="I33" s="176">
        <f>ROUND(G33*H33/10000,0)</f>
        <v>0</v>
      </c>
      <c r="J33" s="3592" t="s">
        <v>2993</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88"/>
      <c r="B34" s="2198" t="s">
        <v>2688</v>
      </c>
      <c r="C34" s="180">
        <f>ROUND(D5*C19*C20*C24*F34,0)</f>
        <v>236</v>
      </c>
      <c r="D34" s="2265"/>
      <c r="E34" s="176">
        <f t="shared" ref="E34:E39" si="7">ROUND(C34*D34/10000,0)</f>
        <v>0</v>
      </c>
      <c r="F34" s="176">
        <f>SUMIF(修正!A45:A56,G2,修正!C45:C56)</f>
        <v>0.3</v>
      </c>
      <c r="G34" s="176">
        <f>ROUND(IF(E2="工业",C34*$M$39,C34*$M$38),0)</f>
        <v>35</v>
      </c>
      <c r="H34" s="176">
        <f t="shared" ref="H34:H39" si="8">D34</f>
        <v>0</v>
      </c>
      <c r="I34" s="176">
        <f t="shared" ref="I34:I39" si="9">ROUND(G34*H34/10000,0)</f>
        <v>0</v>
      </c>
      <c r="J34" s="3588"/>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88"/>
      <c r="B35" s="2198" t="s">
        <v>2689</v>
      </c>
      <c r="C35" s="180">
        <f>ROUND(D5*C19*C20*C24*F35,0)</f>
        <v>157</v>
      </c>
      <c r="D35" s="2265"/>
      <c r="E35" s="176">
        <f t="shared" si="7"/>
        <v>0</v>
      </c>
      <c r="F35" s="176">
        <f>SUMIF(修正!A45:A56,G2,修正!D45:D56)</f>
        <v>0.2</v>
      </c>
      <c r="G35" s="176">
        <f>ROUND(IF(E2="工业",C35*$M$39,C35*$M$38),0)</f>
        <v>24</v>
      </c>
      <c r="H35" s="176">
        <f t="shared" si="8"/>
        <v>0</v>
      </c>
      <c r="I35" s="176">
        <f t="shared" si="9"/>
        <v>0</v>
      </c>
      <c r="J35" s="3588"/>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89"/>
      <c r="B36" s="2198" t="s">
        <v>2690</v>
      </c>
      <c r="C36" s="180">
        <f>ROUND(D5*C19*C20*C24*F36,0)</f>
        <v>157</v>
      </c>
      <c r="D36" s="2265"/>
      <c r="E36" s="176">
        <f t="shared" si="7"/>
        <v>0</v>
      </c>
      <c r="F36" s="176">
        <f>SUMIF(修正!A45:A56,G2,修正!E45:E56)</f>
        <v>0.2</v>
      </c>
      <c r="G36" s="176">
        <f>ROUND(IF(E2="工业",C36*$M$39,C36*$M$38),0)</f>
        <v>24</v>
      </c>
      <c r="H36" s="176">
        <f t="shared" si="8"/>
        <v>0</v>
      </c>
      <c r="I36" s="176">
        <f t="shared" si="9"/>
        <v>0</v>
      </c>
      <c r="J36" s="3589"/>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2691</v>
      </c>
      <c r="C37" s="176">
        <f>ROUND(D5*C19*C20*C24*F37,0)</f>
        <v>157</v>
      </c>
      <c r="D37" s="2265"/>
      <c r="E37" s="176">
        <f t="shared" si="7"/>
        <v>0</v>
      </c>
      <c r="F37" s="180">
        <f>SUMIF(修正!A45:A56,G2,修正!F45:F56)</f>
        <v>0.2</v>
      </c>
      <c r="G37" s="176">
        <f>ROUND(IF(E2="工业",C37*$M$39,C37*$M$38),0)</f>
        <v>24</v>
      </c>
      <c r="H37" s="176">
        <f t="shared" si="8"/>
        <v>0</v>
      </c>
      <c r="I37" s="176">
        <f t="shared" si="9"/>
        <v>0</v>
      </c>
      <c r="J37" s="2282"/>
      <c r="K37" s="1252"/>
      <c r="L37" s="2284" t="s">
        <v>2692</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2693</v>
      </c>
      <c r="C38" s="176">
        <f>ROUND(D5*C19*C41*C24*F38,0)</f>
        <v>0</v>
      </c>
      <c r="D38" s="2265"/>
      <c r="E38" s="176">
        <f t="shared" si="7"/>
        <v>0</v>
      </c>
      <c r="F38" s="180">
        <f>SUMIF(修正!A45:A56,G2,修正!G45:G56)</f>
        <v>0.2</v>
      </c>
      <c r="G38" s="176">
        <f>ROUND(IF(E2="工业",C38*$M$39,C38*$M$38),0)</f>
        <v>0</v>
      </c>
      <c r="H38" s="176">
        <f t="shared" si="8"/>
        <v>0</v>
      </c>
      <c r="I38" s="176">
        <f t="shared" si="9"/>
        <v>0</v>
      </c>
      <c r="J38" s="2282"/>
      <c r="K38" s="1252"/>
      <c r="L38" s="1574" t="s">
        <v>2694</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2695</v>
      </c>
      <c r="C39" s="193">
        <f>ROUND(D5*C19*C41*C24*F39,0)</f>
        <v>0</v>
      </c>
      <c r="D39" s="2271"/>
      <c r="E39" s="193">
        <f t="shared" si="7"/>
        <v>0</v>
      </c>
      <c r="F39" s="871">
        <f>SUMIF(修正!A45:A56,G2,修正!H45:H56)</f>
        <v>0.15</v>
      </c>
      <c r="G39" s="193">
        <f>ROUND(IF(E2="工业",C39*$M$39,C39*$M$38),0)</f>
        <v>0</v>
      </c>
      <c r="H39" s="193">
        <f t="shared" si="8"/>
        <v>0</v>
      </c>
      <c r="I39" s="193">
        <f t="shared" si="9"/>
        <v>0</v>
      </c>
      <c r="J39" s="2288"/>
      <c r="K39" s="1252"/>
      <c r="L39" s="2289" t="s">
        <v>2640</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2800</v>
      </c>
      <c r="C41" s="348">
        <f>ROUND(POWER(1+E41,H41-G41)*(POWER(1+E41,G41)-1)/(POWER(1+E41,H41)-1),4)</f>
        <v>0</v>
      </c>
      <c r="D41" s="176" t="s">
        <v>2647</v>
      </c>
      <c r="E41" s="2338">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2696</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2697</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2698</v>
      </c>
      <c r="B47" s="1504" t="s">
        <v>2699</v>
      </c>
      <c r="C47" s="1504" t="s">
        <v>2700</v>
      </c>
      <c r="D47" s="1504" t="s">
        <v>2701</v>
      </c>
      <c r="E47" s="758" t="s">
        <v>2702</v>
      </c>
      <c r="F47" s="2299" t="s">
        <v>2703</v>
      </c>
      <c r="G47" s="1504" t="s">
        <v>754</v>
      </c>
      <c r="H47" s="2300" t="s">
        <v>2704</v>
      </c>
      <c r="I47" s="1504"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8" t="s">
        <v>2706</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2707</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2708</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2709</v>
      </c>
      <c r="B51" s="2303" t="s">
        <v>2710</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2711</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2712</v>
      </c>
      <c r="B53" s="2304" t="s">
        <v>2713</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2714</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2715</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2716</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2717</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2698</v>
      </c>
      <c r="B58" s="1504"/>
      <c r="C58" s="1504" t="s">
        <v>2700</v>
      </c>
      <c r="D58" s="1504" t="s">
        <v>2701</v>
      </c>
      <c r="E58" s="758" t="s">
        <v>2702</v>
      </c>
      <c r="F58" s="2299" t="s">
        <v>2718</v>
      </c>
      <c r="G58" s="1504" t="s">
        <v>754</v>
      </c>
      <c r="H58" s="2300" t="s">
        <v>2704</v>
      </c>
      <c r="I58" s="1504"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8" t="s">
        <v>2719</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2707</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2708</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2709</v>
      </c>
      <c r="B62" s="2303" t="s">
        <v>2710</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2711</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2712</v>
      </c>
      <c r="B64" s="2304" t="s">
        <v>2713</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2714</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2715</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2716</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2720</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2698</v>
      </c>
      <c r="B69" s="1504"/>
      <c r="C69" s="1504" t="s">
        <v>2700</v>
      </c>
      <c r="D69" s="1504" t="s">
        <v>2701</v>
      </c>
      <c r="E69" s="758" t="s">
        <v>2702</v>
      </c>
      <c r="F69" s="2299" t="s">
        <v>2718</v>
      </c>
      <c r="G69" s="1504" t="s">
        <v>754</v>
      </c>
      <c r="H69" s="2300" t="s">
        <v>2704</v>
      </c>
      <c r="I69" s="1504"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8" t="s">
        <v>2721</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2707</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2708</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2722</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2714</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2715</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2712</v>
      </c>
      <c r="B76" s="2304" t="s">
        <v>2713</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2716</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2723</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2724</v>
      </c>
      <c r="B79" s="2295">
        <f>1+E81</f>
        <v>1</v>
      </c>
      <c r="C79" s="753"/>
      <c r="D79" s="753"/>
      <c r="E79" s="754"/>
      <c r="F79" s="2297"/>
      <c r="G79" s="6"/>
      <c r="H79" s="6"/>
      <c r="I79" s="6"/>
      <c r="J79" s="7"/>
      <c r="K79" s="7"/>
      <c r="L79" s="7"/>
      <c r="M79" s="7"/>
      <c r="N79" s="7"/>
      <c r="Z79" s="2153"/>
      <c r="AA79" s="2219"/>
      <c r="AG79" s="1254"/>
      <c r="AK79" s="2219"/>
    </row>
    <row r="80" spans="1:37" ht="24.75">
      <c r="A80" s="2298" t="s">
        <v>2698</v>
      </c>
      <c r="B80" s="1504"/>
      <c r="C80" s="1504" t="s">
        <v>2700</v>
      </c>
      <c r="D80" s="1504" t="s">
        <v>2701</v>
      </c>
      <c r="E80" s="758" t="s">
        <v>2702</v>
      </c>
      <c r="F80" s="2299" t="s">
        <v>2718</v>
      </c>
      <c r="G80" s="1504" t="s">
        <v>754</v>
      </c>
      <c r="H80" s="2300" t="s">
        <v>2704</v>
      </c>
      <c r="I80" s="1504" t="s">
        <v>2705</v>
      </c>
      <c r="J80" s="560" t="s">
        <v>2357</v>
      </c>
      <c r="K80" s="560" t="s">
        <v>2358</v>
      </c>
      <c r="L80" s="560" t="s">
        <v>2359</v>
      </c>
      <c r="M80" s="560" t="s">
        <v>2360</v>
      </c>
      <c r="N80" s="560" t="s">
        <v>2361</v>
      </c>
      <c r="Z80" s="2153"/>
      <c r="AA80" s="2219"/>
      <c r="AG80" s="1254"/>
      <c r="AK80" s="2219"/>
    </row>
    <row r="81" spans="1:37" ht="38.25">
      <c r="A81" s="2298" t="s">
        <v>2725</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0.14299999999999999</v>
      </c>
      <c r="G81" s="1194"/>
      <c r="H81" s="1198">
        <f t="shared" ref="H81:H88" si="26">IFERROR(ROUNDDOWN($F$81*I81/2,4),"——")</f>
        <v>1.8499999999999999E-2</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2707</v>
      </c>
      <c r="B82" s="2302" t="str">
        <f>估价对象房地状况!G16</f>
        <v>估价对象周边道路状况、公共交通通达情况、停车便捷程度，综合评价交通便捷度较好</v>
      </c>
      <c r="C82" s="2203"/>
      <c r="D82" s="1196">
        <f t="shared" si="25"/>
        <v>0</v>
      </c>
      <c r="E82" s="765"/>
      <c r="F82" s="1969"/>
      <c r="G82" s="1194"/>
      <c r="H82" s="1198">
        <f t="shared" si="26"/>
        <v>2.35E-2</v>
      </c>
      <c r="I82" s="759">
        <v>0.33</v>
      </c>
      <c r="J82" s="1195">
        <f t="shared" si="27"/>
        <v>0</v>
      </c>
      <c r="K82" s="1195">
        <f t="shared" si="28"/>
        <v>0</v>
      </c>
      <c r="L82" s="1195">
        <v>0</v>
      </c>
      <c r="M82" s="1195">
        <f t="shared" si="29"/>
        <v>0</v>
      </c>
      <c r="N82" s="1195">
        <f t="shared" si="29"/>
        <v>0</v>
      </c>
      <c r="Z82" s="2153"/>
      <c r="AA82" s="2219"/>
      <c r="AG82" s="1254"/>
      <c r="AK82" s="2219"/>
    </row>
    <row r="83" spans="1:37" ht="24">
      <c r="A83" s="2298" t="s">
        <v>2708</v>
      </c>
      <c r="B83" s="2302">
        <f>估价对象房地状况!G17</f>
        <v>0</v>
      </c>
      <c r="C83" s="2203"/>
      <c r="D83" s="1196">
        <f t="shared" si="25"/>
        <v>0</v>
      </c>
      <c r="E83" s="765"/>
      <c r="F83" s="1969"/>
      <c r="G83" s="1194"/>
      <c r="H83" s="1198">
        <f t="shared" si="26"/>
        <v>3.5000000000000001E-3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2722</v>
      </c>
      <c r="B84" s="2302">
        <f>估价对象房地状况!G22</f>
        <v>0</v>
      </c>
      <c r="C84" s="2203"/>
      <c r="D84" s="1196">
        <f t="shared" si="25"/>
        <v>0</v>
      </c>
      <c r="E84" s="765"/>
      <c r="F84" s="1969"/>
      <c r="G84" s="1194"/>
      <c r="H84" s="1198">
        <f t="shared" si="26"/>
        <v>2.8E-3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2714</v>
      </c>
      <c r="B85" s="1465" t="str">
        <f>估价对象房地状况!G19</f>
        <v>估价对象所在区域公共配套设施齐备情况</v>
      </c>
      <c r="C85" s="2203"/>
      <c r="D85" s="1196">
        <f t="shared" si="25"/>
        <v>0</v>
      </c>
      <c r="E85" s="765"/>
      <c r="F85" s="1969"/>
      <c r="G85" s="1194"/>
      <c r="H85" s="1198">
        <f t="shared" si="26"/>
        <v>4.1999999999999997E-3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2715</v>
      </c>
      <c r="B86" s="1465" t="str">
        <f>估价对象房地状况!G20</f>
        <v>估价对象所在区域基础设施水平</v>
      </c>
      <c r="C86" s="2203"/>
      <c r="D86" s="1196">
        <f t="shared" si="25"/>
        <v>0</v>
      </c>
      <c r="E86" s="765"/>
      <c r="F86" s="1969"/>
      <c r="G86" s="1194"/>
      <c r="H86" s="1198">
        <f t="shared" si="26"/>
        <v>1.0699999999999999E-2</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2712</v>
      </c>
      <c r="B87" s="2304" t="s">
        <v>2726</v>
      </c>
      <c r="C87" s="2203"/>
      <c r="D87" s="1196">
        <f t="shared" si="25"/>
        <v>0</v>
      </c>
      <c r="E87" s="765"/>
      <c r="F87" s="1969"/>
      <c r="G87" s="1194"/>
      <c r="H87" s="1198">
        <f t="shared" si="26"/>
        <v>3.5000000000000001E-3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2727</v>
      </c>
      <c r="B88" s="2311" t="str">
        <f>估价对象房地状况!G18</f>
        <v>该园区内是否有污染型企业，绿化情况，卫生条件，整体环境状况判断</v>
      </c>
      <c r="C88" s="2203"/>
      <c r="D88" s="1196">
        <f t="shared" si="25"/>
        <v>0</v>
      </c>
      <c r="E88" s="766"/>
      <c r="F88" s="1969"/>
      <c r="G88" s="1194"/>
      <c r="H88" s="1198">
        <f t="shared" si="26"/>
        <v>4.1999999999999997E-3</v>
      </c>
      <c r="I88" s="763">
        <v>0.06</v>
      </c>
      <c r="J88" s="1195">
        <f t="shared" si="27"/>
        <v>0</v>
      </c>
      <c r="K88" s="1195">
        <f t="shared" si="28"/>
        <v>0</v>
      </c>
      <c r="L88" s="1195">
        <v>0</v>
      </c>
      <c r="M88" s="1195">
        <f t="shared" si="29"/>
        <v>0</v>
      </c>
      <c r="N88" s="1195">
        <f t="shared" si="29"/>
        <v>0</v>
      </c>
      <c r="Z88" s="2153"/>
      <c r="AA88" s="2219"/>
      <c r="AG88" s="1254"/>
      <c r="AK88" s="2219"/>
    </row>
    <row r="90" spans="1:37">
      <c r="A90" s="3579" t="s">
        <v>2728</v>
      </c>
      <c r="B90" s="3579"/>
      <c r="C90" s="3579"/>
      <c r="D90" s="3579"/>
      <c r="E90" s="3579"/>
      <c r="F90" s="3579"/>
      <c r="G90" s="3579"/>
      <c r="H90" s="3579"/>
      <c r="I90" s="3579"/>
      <c r="J90" s="3579"/>
      <c r="K90" s="2312"/>
      <c r="L90" s="2312"/>
      <c r="M90" s="2312"/>
      <c r="N90" s="2312"/>
    </row>
    <row r="91" spans="1:37">
      <c r="A91" s="3581" t="s">
        <v>2729</v>
      </c>
      <c r="B91" s="3581" t="s">
        <v>2730</v>
      </c>
      <c r="C91" s="2266" t="s">
        <v>2731</v>
      </c>
      <c r="D91" s="2267"/>
      <c r="E91" s="2267"/>
      <c r="F91" s="2267"/>
      <c r="G91" s="2267"/>
      <c r="H91" s="2267"/>
      <c r="I91" s="2267"/>
      <c r="J91" s="2313"/>
      <c r="K91" s="2314"/>
      <c r="L91" s="2314"/>
      <c r="M91" s="2314"/>
      <c r="N91" s="2314"/>
    </row>
    <row r="92" spans="1:37">
      <c r="A92" s="3581"/>
      <c r="B92" s="3581"/>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82" t="s">
        <v>2732</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83"/>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83"/>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83"/>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83"/>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83"/>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83"/>
      <c r="B99" s="2315" t="s">
        <v>2615</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84"/>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82" t="s">
        <v>2733</v>
      </c>
      <c r="B101" s="2319" t="s">
        <v>2734</v>
      </c>
      <c r="C101" s="2320">
        <f>$G$3</f>
        <v>0.21</v>
      </c>
      <c r="D101" s="2320">
        <f t="shared" ref="D101:N101" si="31">$G$3</f>
        <v>0.21</v>
      </c>
      <c r="E101" s="2320">
        <f t="shared" si="31"/>
        <v>0.21</v>
      </c>
      <c r="F101" s="2320">
        <f t="shared" si="31"/>
        <v>0.21</v>
      </c>
      <c r="G101" s="2320">
        <f t="shared" si="31"/>
        <v>0.21</v>
      </c>
      <c r="H101" s="2320">
        <f t="shared" si="31"/>
        <v>0.21</v>
      </c>
      <c r="I101" s="2320">
        <f t="shared" si="31"/>
        <v>0.21</v>
      </c>
      <c r="J101" s="2320">
        <f t="shared" si="31"/>
        <v>0.21</v>
      </c>
      <c r="K101" s="2320">
        <f t="shared" si="31"/>
        <v>0.21</v>
      </c>
      <c r="L101" s="2320">
        <f t="shared" si="31"/>
        <v>0.21</v>
      </c>
      <c r="M101" s="2320">
        <f t="shared" si="31"/>
        <v>0.21</v>
      </c>
      <c r="N101" s="2320">
        <f t="shared" si="31"/>
        <v>0.21</v>
      </c>
    </row>
    <row r="102" spans="1:14">
      <c r="A102" s="3583"/>
      <c r="B102" s="2315">
        <v>1</v>
      </c>
      <c r="C102" s="2316">
        <f>1.9362/C101</f>
        <v>9.2200000000000006</v>
      </c>
      <c r="D102" s="2316">
        <f>1.9362/D101</f>
        <v>9.2200000000000006</v>
      </c>
      <c r="E102" s="2316">
        <f>1.8629/E101</f>
        <v>8.8709523809523816</v>
      </c>
      <c r="F102" s="2316">
        <f>1.8629/F101</f>
        <v>8.8709523809523816</v>
      </c>
      <c r="G102" s="2316">
        <f>1.8629/G101</f>
        <v>8.8709523809523816</v>
      </c>
      <c r="H102" s="2316">
        <f>1.8629/H101</f>
        <v>8.8709523809523816</v>
      </c>
      <c r="I102" s="2316">
        <f>1.8629/I101</f>
        <v>8.8709523809523816</v>
      </c>
      <c r="J102" s="2316">
        <f>1.942/J101</f>
        <v>9.2476190476190485</v>
      </c>
      <c r="K102" s="2316">
        <f>1.942/K101</f>
        <v>9.2476190476190485</v>
      </c>
      <c r="L102" s="2316">
        <f>1.942/L101</f>
        <v>9.2476190476190485</v>
      </c>
      <c r="M102" s="2316">
        <f>1.942/M101</f>
        <v>9.2476190476190485</v>
      </c>
      <c r="N102" s="2316">
        <f>1.942/N101</f>
        <v>9.2476190476190485</v>
      </c>
    </row>
    <row r="103" spans="1:14">
      <c r="A103" s="3583"/>
      <c r="B103" s="2315">
        <v>2</v>
      </c>
      <c r="C103" s="2316">
        <f>1.4198/C101</f>
        <v>6.7609523809523813</v>
      </c>
      <c r="D103" s="2316">
        <f>1.4198/D101</f>
        <v>6.7609523809523813</v>
      </c>
      <c r="E103" s="2316">
        <f>1.3372/E101</f>
        <v>6.3676190476190477</v>
      </c>
      <c r="F103" s="2316">
        <f>1.3372/F101</f>
        <v>6.3676190476190477</v>
      </c>
      <c r="G103" s="2316">
        <f>1.3372/G101</f>
        <v>6.3676190476190477</v>
      </c>
      <c r="H103" s="2316">
        <f>1.3372/H101</f>
        <v>6.3676190476190477</v>
      </c>
      <c r="I103" s="2316">
        <f>1.3372/I101</f>
        <v>6.3676190476190477</v>
      </c>
      <c r="J103" s="2316">
        <f>1.2799/J101</f>
        <v>6.0947619047619055</v>
      </c>
      <c r="K103" s="2316">
        <f>1.2799/K101</f>
        <v>6.0947619047619055</v>
      </c>
      <c r="L103" s="2316">
        <f>1.2799/L101</f>
        <v>6.0947619047619055</v>
      </c>
      <c r="M103" s="2316">
        <f>1.2799/M101</f>
        <v>6.0947619047619055</v>
      </c>
      <c r="N103" s="2316">
        <f>1.2799/N101</f>
        <v>6.0947619047619055</v>
      </c>
    </row>
    <row r="104" spans="1:14">
      <c r="A104" s="3583"/>
      <c r="B104" s="2315">
        <v>3</v>
      </c>
      <c r="C104" s="2316">
        <f>1.1594/C101</f>
        <v>5.5209523809523811</v>
      </c>
      <c r="D104" s="2316">
        <f>1.1594/D101</f>
        <v>5.5209523809523811</v>
      </c>
      <c r="E104" s="2316">
        <f>1.0788/E101</f>
        <v>5.137142857142857</v>
      </c>
      <c r="F104" s="2316">
        <f>1.0788/F101</f>
        <v>5.137142857142857</v>
      </c>
      <c r="G104" s="2316">
        <f>1.0788/G101</f>
        <v>5.137142857142857</v>
      </c>
      <c r="H104" s="2316">
        <f>1.0788/H101</f>
        <v>5.137142857142857</v>
      </c>
      <c r="I104" s="2316">
        <f>1.0788/I101</f>
        <v>5.137142857142857</v>
      </c>
      <c r="J104" s="2316">
        <f>1.0072/J101</f>
        <v>4.7961904761904766</v>
      </c>
      <c r="K104" s="2316">
        <f>1.0072/K101</f>
        <v>4.7961904761904766</v>
      </c>
      <c r="L104" s="2316">
        <f>1.0072/L101</f>
        <v>4.7961904761904766</v>
      </c>
      <c r="M104" s="2316">
        <f>1.0072/M101</f>
        <v>4.7961904761904766</v>
      </c>
      <c r="N104" s="2316">
        <f>1.0072/N101</f>
        <v>4.7961904761904766</v>
      </c>
    </row>
    <row r="105" spans="1:14">
      <c r="A105" s="3583"/>
      <c r="B105" s="2315">
        <v>4</v>
      </c>
      <c r="C105" s="2316">
        <f>0.9622/C101</f>
        <v>4.5819047619047621</v>
      </c>
      <c r="D105" s="2316">
        <f>0.9622/D101</f>
        <v>4.5819047619047621</v>
      </c>
      <c r="E105" s="2316">
        <f>0.8656/E101</f>
        <v>4.1219047619047622</v>
      </c>
      <c r="F105" s="2316">
        <f>0.8656/F101</f>
        <v>4.1219047619047622</v>
      </c>
      <c r="G105" s="2316">
        <f>0.8656/G101</f>
        <v>4.1219047619047622</v>
      </c>
      <c r="H105" s="2316">
        <f>0.8656/H101</f>
        <v>4.1219047619047622</v>
      </c>
      <c r="I105" s="2316">
        <f>0.8656/I101</f>
        <v>4.1219047619047622</v>
      </c>
      <c r="J105" s="2316">
        <f>0.7525/J101</f>
        <v>3.583333333333333</v>
      </c>
      <c r="K105" s="2316">
        <f>0.7525/K101</f>
        <v>3.583333333333333</v>
      </c>
      <c r="L105" s="2316">
        <f>0.7525/L101</f>
        <v>3.583333333333333</v>
      </c>
      <c r="M105" s="2316">
        <f>0.7525/M101</f>
        <v>3.583333333333333</v>
      </c>
      <c r="N105" s="2316">
        <f>0.7525/N101</f>
        <v>3.583333333333333</v>
      </c>
    </row>
    <row r="106" spans="1:14">
      <c r="A106" s="3583"/>
      <c r="B106" s="2315">
        <v>5</v>
      </c>
      <c r="C106" s="2316">
        <f>0.8417/C101</f>
        <v>4.0080952380952386</v>
      </c>
      <c r="D106" s="2316">
        <f>0.8417/D101</f>
        <v>4.0080952380952386</v>
      </c>
      <c r="E106" s="2316">
        <f>0.7371/E101</f>
        <v>3.5100000000000002</v>
      </c>
      <c r="F106" s="2316">
        <f>0.7371/F101</f>
        <v>3.5100000000000002</v>
      </c>
      <c r="G106" s="2316">
        <f>0.7371/G101</f>
        <v>3.5100000000000002</v>
      </c>
      <c r="H106" s="2316">
        <f>0.7371/H101</f>
        <v>3.5100000000000002</v>
      </c>
      <c r="I106" s="2316">
        <f>0.7371/I101</f>
        <v>3.5100000000000002</v>
      </c>
      <c r="J106" s="2316">
        <f>0.5659/J101</f>
        <v>2.6947619047619047</v>
      </c>
      <c r="K106" s="2316">
        <f>0.5659/K101</f>
        <v>2.6947619047619047</v>
      </c>
      <c r="L106" s="2316">
        <f>0.5659/L101</f>
        <v>2.6947619047619047</v>
      </c>
      <c r="M106" s="2316">
        <f>0.5659/M101</f>
        <v>2.6947619047619047</v>
      </c>
      <c r="N106" s="2316">
        <f>0.5659/N101</f>
        <v>2.6947619047619047</v>
      </c>
    </row>
    <row r="107" spans="1:14">
      <c r="A107" s="3583"/>
      <c r="B107" s="2315">
        <v>6</v>
      </c>
      <c r="C107" s="2316">
        <f>0.7608/C101</f>
        <v>3.6228571428571432</v>
      </c>
      <c r="D107" s="2316">
        <f>0.7608/D101</f>
        <v>3.6228571428571432</v>
      </c>
      <c r="E107" s="2316">
        <f>0.6482/E101</f>
        <v>3.0866666666666669</v>
      </c>
      <c r="F107" s="2316">
        <f>0.6482/F101</f>
        <v>3.0866666666666669</v>
      </c>
      <c r="G107" s="2316">
        <f>0.6482/G101</f>
        <v>3.0866666666666669</v>
      </c>
      <c r="H107" s="2316">
        <f>0.6482/H101</f>
        <v>3.0866666666666669</v>
      </c>
      <c r="I107" s="2316">
        <f>0.6482/I101</f>
        <v>3.0866666666666669</v>
      </c>
      <c r="J107" s="2316">
        <f>0.4525/J101</f>
        <v>2.1547619047619051</v>
      </c>
      <c r="K107" s="2316">
        <f>0.4525/K101</f>
        <v>2.1547619047619051</v>
      </c>
      <c r="L107" s="2316">
        <f>0.4525/L101</f>
        <v>2.1547619047619051</v>
      </c>
      <c r="M107" s="2316">
        <f>0.4525/M101</f>
        <v>2.1547619047619051</v>
      </c>
      <c r="N107" s="2316">
        <f>0.4525/N101</f>
        <v>2.1547619047619051</v>
      </c>
    </row>
    <row r="108" spans="1:14">
      <c r="A108" s="3583"/>
      <c r="B108" s="3585" t="s">
        <v>2735</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84"/>
      <c r="B109" s="3586"/>
      <c r="C109" s="2318">
        <f>(-0.163*(C108^2)-0.59*C108+7617)*(10^(-4))/C101</f>
        <v>3.6271428571428577</v>
      </c>
      <c r="D109" s="2318">
        <f>(-0.163*(D108^2)-0.59*D108+7617)*(10^(-4))/D101</f>
        <v>3.6271428571428577</v>
      </c>
      <c r="E109" s="2318">
        <f>(-0.161*(E108^2)-7.509*E108+6533)*(10^(-4))/E101</f>
        <v>3.1109523809523809</v>
      </c>
      <c r="F109" s="2318">
        <f>(-0.161*(F108^2)-7.509*F108+6533)*(10^(-4))/F101</f>
        <v>3.1109523809523809</v>
      </c>
      <c r="G109" s="2318">
        <f>(-0.161*(G108^2)-7.509*G108+6533)*(10^(-4))/G101</f>
        <v>3.1109523809523809</v>
      </c>
      <c r="H109" s="2318">
        <f>(-0.161*(H108^2)-7.509*H108+6533)*(10^(-4))/H101</f>
        <v>3.1109523809523809</v>
      </c>
      <c r="I109" s="2318">
        <f>(-0.161*(I108^2)-7.509*I108+6533)*(10^(-4))/I101</f>
        <v>3.1109523809523809</v>
      </c>
      <c r="J109" s="2318">
        <f>(-0.214*(J108^2)-21.991*J108+4665)*(10^(-4))/J101</f>
        <v>2.2214285714285715</v>
      </c>
      <c r="K109" s="2318">
        <f>(-0.214*(K108^2)-21.991*K108+4665)*(10^(-4))/K101</f>
        <v>2.2214285714285715</v>
      </c>
      <c r="L109" s="2318">
        <f>(-0.214*(L108^2)-21.991*L108+4665)*(10^(-4))/L101</f>
        <v>2.2214285714285715</v>
      </c>
      <c r="M109" s="2318">
        <f>(-0.214*(M108^2)-21.991*M108+4665)*(10^(-4))/M101</f>
        <v>2.2214285714285715</v>
      </c>
      <c r="N109" s="2318">
        <f>(-0.214*(N108^2)-21.991*N108+4665)*(10^(-4))/N101</f>
        <v>2.2214285714285715</v>
      </c>
    </row>
    <row r="110" spans="1:14">
      <c r="A110" s="3580" t="s">
        <v>2736</v>
      </c>
      <c r="B110" s="3580"/>
      <c r="C110" s="3580"/>
      <c r="D110" s="3580"/>
      <c r="E110" s="3580"/>
      <c r="F110" s="3580"/>
      <c r="G110" s="3580"/>
      <c r="H110" s="3580"/>
      <c r="I110" s="3580"/>
      <c r="J110" s="3580"/>
      <c r="K110" s="2321"/>
      <c r="L110" s="2321"/>
      <c r="M110" s="2321"/>
      <c r="N110" s="2321"/>
    </row>
    <row r="112" spans="1:14" ht="13.5" thickBot="1"/>
    <row r="113" spans="1:13" ht="25.5" thickBot="1">
      <c r="A113" s="842" t="s">
        <v>2737</v>
      </c>
      <c r="B113" s="1197">
        <f>G3</f>
        <v>0.21</v>
      </c>
      <c r="C113" s="843" t="s">
        <v>2738</v>
      </c>
      <c r="D113" s="844">
        <f>SUMPRODUCT((A115:A118=F113)*(B114:M114=H113)*B115:M118)</f>
        <v>0.56379999999999997</v>
      </c>
      <c r="E113" s="2157" t="s">
        <v>2573</v>
      </c>
      <c r="F113" s="2323" t="str">
        <f>E2</f>
        <v>工业</v>
      </c>
      <c r="G113" s="2157" t="s">
        <v>2574</v>
      </c>
      <c r="H113" s="2323" t="str">
        <f>G2</f>
        <v>十级</v>
      </c>
      <c r="I113" s="2157"/>
      <c r="J113" s="2324"/>
      <c r="K113" s="2324"/>
      <c r="L113" s="2324"/>
      <c r="M113" s="2324"/>
    </row>
    <row r="114" spans="1:13">
      <c r="A114" s="847"/>
      <c r="B114" s="2325" t="s">
        <v>2739</v>
      </c>
      <c r="C114" s="2325" t="s">
        <v>2740</v>
      </c>
      <c r="D114" s="2325" t="s">
        <v>2741</v>
      </c>
      <c r="E114" s="2326" t="s">
        <v>2742</v>
      </c>
      <c r="F114" s="2326" t="s">
        <v>2743</v>
      </c>
      <c r="G114" s="2326" t="s">
        <v>2744</v>
      </c>
      <c r="H114" s="2327" t="s">
        <v>2745</v>
      </c>
      <c r="I114" s="2327" t="s">
        <v>2746</v>
      </c>
      <c r="J114" s="2328" t="s">
        <v>2747</v>
      </c>
      <c r="K114" s="2328" t="s">
        <v>2748</v>
      </c>
      <c r="L114" s="2328" t="s">
        <v>2749</v>
      </c>
      <c r="M114" s="2329" t="s">
        <v>2750</v>
      </c>
    </row>
    <row r="115" spans="1:13">
      <c r="A115" s="848" t="s">
        <v>2637</v>
      </c>
      <c r="B115" s="849">
        <f>ROUND(0.9335-0.0094*B113,4)</f>
        <v>0.93149999999999999</v>
      </c>
      <c r="C115" s="849">
        <f>B115</f>
        <v>0.93149999999999999</v>
      </c>
      <c r="D115" s="849">
        <f>ROUND(0.8331-0.0109*B113,4)</f>
        <v>0.83079999999999998</v>
      </c>
      <c r="E115" s="849">
        <f>D115</f>
        <v>0.83079999999999998</v>
      </c>
      <c r="F115" s="849">
        <f>E115</f>
        <v>0.83079999999999998</v>
      </c>
      <c r="G115" s="849">
        <f>F115</f>
        <v>0.83079999999999998</v>
      </c>
      <c r="H115" s="849">
        <f>G115</f>
        <v>0.83079999999999998</v>
      </c>
      <c r="I115" s="849">
        <f>ROUND(0.689-0.0155*B113,4)</f>
        <v>0.68569999999999998</v>
      </c>
      <c r="J115" s="849">
        <f t="shared" ref="J115:M118" si="33">I115</f>
        <v>0.68569999999999998</v>
      </c>
      <c r="K115" s="849">
        <f t="shared" si="33"/>
        <v>0.68569999999999998</v>
      </c>
      <c r="L115" s="849">
        <f t="shared" si="33"/>
        <v>0.68569999999999998</v>
      </c>
      <c r="M115" s="850">
        <f t="shared" si="33"/>
        <v>0.68569999999999998</v>
      </c>
    </row>
    <row r="116" spans="1:13">
      <c r="A116" s="848" t="s">
        <v>2638</v>
      </c>
      <c r="B116" s="849">
        <f>ROUND(0.949-0.012*B113,4)</f>
        <v>0.94650000000000001</v>
      </c>
      <c r="C116" s="849">
        <f>B116</f>
        <v>0.94650000000000001</v>
      </c>
      <c r="D116" s="849">
        <f>ROUND(0.8567-0.013*B113,4)</f>
        <v>0.85399999999999998</v>
      </c>
      <c r="E116" s="849">
        <f t="shared" ref="E116:H117" si="34">D116</f>
        <v>0.85399999999999998</v>
      </c>
      <c r="F116" s="849">
        <f t="shared" si="34"/>
        <v>0.85399999999999998</v>
      </c>
      <c r="G116" s="849">
        <f t="shared" si="34"/>
        <v>0.85399999999999998</v>
      </c>
      <c r="H116" s="849">
        <f t="shared" si="34"/>
        <v>0.85399999999999998</v>
      </c>
      <c r="I116" s="849">
        <f>ROUND(0.7694-0.014*B113,4)</f>
        <v>0.76649999999999996</v>
      </c>
      <c r="J116" s="849">
        <f t="shared" si="33"/>
        <v>0.76649999999999996</v>
      </c>
      <c r="K116" s="849">
        <f t="shared" si="33"/>
        <v>0.76649999999999996</v>
      </c>
      <c r="L116" s="849">
        <f t="shared" si="33"/>
        <v>0.76649999999999996</v>
      </c>
      <c r="M116" s="850">
        <f t="shared" si="33"/>
        <v>0.76649999999999996</v>
      </c>
    </row>
    <row r="117" spans="1:13">
      <c r="A117" s="848" t="s">
        <v>2639</v>
      </c>
      <c r="B117" s="849">
        <f>ROUND(0.8808-0.006*B113,4)</f>
        <v>0.87949999999999995</v>
      </c>
      <c r="C117" s="849">
        <f>B117</f>
        <v>0.87949999999999995</v>
      </c>
      <c r="D117" s="849">
        <f>ROUND(0.8748-0.008*B113,4)</f>
        <v>0.87309999999999999</v>
      </c>
      <c r="E117" s="849">
        <f t="shared" si="34"/>
        <v>0.87309999999999999</v>
      </c>
      <c r="F117" s="849">
        <f t="shared" si="34"/>
        <v>0.87309999999999999</v>
      </c>
      <c r="G117" s="849">
        <f t="shared" si="34"/>
        <v>0.87309999999999999</v>
      </c>
      <c r="H117" s="849">
        <f t="shared" si="34"/>
        <v>0.87309999999999999</v>
      </c>
      <c r="I117" s="849">
        <f>ROUND(0.7412-0.0095*B113,4)</f>
        <v>0.73919999999999997</v>
      </c>
      <c r="J117" s="849">
        <f t="shared" si="33"/>
        <v>0.73919999999999997</v>
      </c>
      <c r="K117" s="849">
        <f t="shared" si="33"/>
        <v>0.73919999999999997</v>
      </c>
      <c r="L117" s="849">
        <f t="shared" si="33"/>
        <v>0.73919999999999997</v>
      </c>
      <c r="M117" s="850">
        <f t="shared" si="33"/>
        <v>0.73919999999999997</v>
      </c>
    </row>
    <row r="118" spans="1:13" ht="13.5" thickBot="1">
      <c r="A118" s="670" t="s">
        <v>2640</v>
      </c>
      <c r="B118" s="851">
        <f>ROUND(0.7275-0.01*B113,4)</f>
        <v>0.72540000000000004</v>
      </c>
      <c r="C118" s="851">
        <f>B118</f>
        <v>0.72540000000000004</v>
      </c>
      <c r="D118" s="851">
        <f>ROUND(0.7043-0.012*B113,4)</f>
        <v>0.70179999999999998</v>
      </c>
      <c r="E118" s="851">
        <f>D118</f>
        <v>0.70179999999999998</v>
      </c>
      <c r="F118" s="851">
        <f>E118</f>
        <v>0.70179999999999998</v>
      </c>
      <c r="G118" s="851">
        <f>ROUND(0.6299-0.0122*B113,4)</f>
        <v>0.62729999999999997</v>
      </c>
      <c r="H118" s="851">
        <f>G118</f>
        <v>0.62729999999999997</v>
      </c>
      <c r="I118" s="851">
        <f>ROUND(0.5667-0.0136*B113,4)</f>
        <v>0.56379999999999997</v>
      </c>
      <c r="J118" s="851">
        <f t="shared" si="33"/>
        <v>0.56379999999999997</v>
      </c>
      <c r="K118" s="851">
        <f t="shared" si="33"/>
        <v>0.56379999999999997</v>
      </c>
      <c r="L118" s="851">
        <f t="shared" si="33"/>
        <v>0.56379999999999997</v>
      </c>
      <c r="M118" s="852">
        <f t="shared" si="33"/>
        <v>0.56379999999999997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603" t="s">
        <v>183</v>
      </c>
      <c r="B18" s="821" t="s">
        <v>560</v>
      </c>
      <c r="C18" s="822" t="s">
        <v>561</v>
      </c>
      <c r="D18" s="823"/>
      <c r="E18" s="821">
        <v>1</v>
      </c>
      <c r="F18" s="824" t="s">
        <v>562</v>
      </c>
      <c r="G18" s="825"/>
      <c r="H18" s="817"/>
      <c r="I18" s="817"/>
    </row>
    <row r="19" spans="1:9" s="826" customFormat="1" ht="19.5" customHeight="1">
      <c r="A19" s="3603"/>
      <c r="B19" s="3603" t="s">
        <v>563</v>
      </c>
      <c r="C19" s="822" t="s">
        <v>564</v>
      </c>
      <c r="D19" s="823"/>
      <c r="E19" s="821">
        <v>0.9</v>
      </c>
      <c r="F19" s="824" t="s">
        <v>565</v>
      </c>
      <c r="G19" s="825"/>
      <c r="H19" s="817"/>
      <c r="I19" s="817"/>
    </row>
    <row r="20" spans="1:9" s="826" customFormat="1" ht="19.5" customHeight="1">
      <c r="A20" s="3603"/>
      <c r="B20" s="3603"/>
      <c r="C20" s="822" t="s">
        <v>566</v>
      </c>
      <c r="D20" s="823"/>
      <c r="E20" s="821">
        <v>1.1000000000000001</v>
      </c>
      <c r="F20" s="824" t="s">
        <v>567</v>
      </c>
      <c r="G20" s="825"/>
      <c r="H20" s="817"/>
      <c r="I20" s="817"/>
    </row>
    <row r="21" spans="1:9" s="826" customFormat="1" ht="19.5" customHeight="1">
      <c r="A21" s="3603"/>
      <c r="B21" s="3603"/>
      <c r="C21" s="822" t="s">
        <v>568</v>
      </c>
      <c r="D21" s="823"/>
      <c r="E21" s="821">
        <v>0.8</v>
      </c>
      <c r="F21" s="824" t="s">
        <v>569</v>
      </c>
      <c r="G21" s="825"/>
      <c r="H21" s="817"/>
      <c r="I21" s="817"/>
    </row>
    <row r="22" spans="1:9" s="826" customFormat="1" ht="19.5" customHeight="1">
      <c r="A22" s="3603"/>
      <c r="B22" s="3603"/>
      <c r="C22" s="822" t="s">
        <v>570</v>
      </c>
      <c r="D22" s="823"/>
      <c r="E22" s="821">
        <v>0.5</v>
      </c>
      <c r="F22" s="824"/>
      <c r="G22" s="825"/>
      <c r="H22" s="817"/>
      <c r="I22" s="817"/>
    </row>
    <row r="23" spans="1:9" s="826" customFormat="1" ht="19.5" customHeight="1">
      <c r="A23" s="3603" t="s">
        <v>184</v>
      </c>
      <c r="B23" s="821" t="s">
        <v>560</v>
      </c>
      <c r="C23" s="822" t="s">
        <v>571</v>
      </c>
      <c r="D23" s="823"/>
      <c r="E23" s="821">
        <v>1</v>
      </c>
      <c r="F23" s="824" t="s">
        <v>572</v>
      </c>
      <c r="G23" s="825"/>
      <c r="H23" s="817"/>
      <c r="I23" s="817"/>
    </row>
    <row r="24" spans="1:9" s="826" customFormat="1" ht="19.5" customHeight="1">
      <c r="A24" s="3603"/>
      <c r="B24" s="3603" t="s">
        <v>563</v>
      </c>
      <c r="C24" s="822" t="s">
        <v>573</v>
      </c>
      <c r="D24" s="823"/>
      <c r="E24" s="821">
        <v>0.5</v>
      </c>
      <c r="F24" s="824"/>
      <c r="G24" s="825"/>
      <c r="H24" s="817"/>
      <c r="I24" s="817"/>
    </row>
    <row r="25" spans="1:9" s="826" customFormat="1" ht="19.5" customHeight="1">
      <c r="A25" s="3603"/>
      <c r="B25" s="3603"/>
      <c r="C25" s="822" t="s">
        <v>574</v>
      </c>
      <c r="D25" s="823"/>
      <c r="E25" s="821">
        <v>1.1000000000000001</v>
      </c>
      <c r="F25" s="824"/>
      <c r="G25" s="825"/>
      <c r="H25" s="817"/>
      <c r="I25" s="817"/>
    </row>
    <row r="26" spans="1:9" s="826" customFormat="1" ht="19.5" customHeight="1">
      <c r="A26" s="3603"/>
      <c r="B26" s="3603"/>
      <c r="C26" s="822" t="s">
        <v>575</v>
      </c>
      <c r="D26" s="823"/>
      <c r="E26" s="821">
        <v>1.1000000000000001</v>
      </c>
      <c r="F26" s="824"/>
      <c r="G26" s="825"/>
      <c r="H26" s="817"/>
      <c r="I26" s="817"/>
    </row>
    <row r="27" spans="1:9" s="826" customFormat="1" ht="19.5" customHeight="1">
      <c r="A27" s="3603"/>
      <c r="B27" s="3603"/>
      <c r="C27" s="822" t="s">
        <v>576</v>
      </c>
      <c r="D27" s="823"/>
      <c r="E27" s="821">
        <v>0.9</v>
      </c>
      <c r="F27" s="824" t="s">
        <v>577</v>
      </c>
      <c r="G27" s="825"/>
      <c r="H27" s="817"/>
      <c r="I27" s="817"/>
    </row>
    <row r="28" spans="1:9" s="826" customFormat="1" ht="19.5" customHeight="1">
      <c r="A28" s="3603"/>
      <c r="B28" s="3603"/>
      <c r="C28" s="822" t="s">
        <v>578</v>
      </c>
      <c r="D28" s="823"/>
      <c r="E28" s="821">
        <v>0.9</v>
      </c>
      <c r="F28" s="824" t="s">
        <v>579</v>
      </c>
      <c r="G28" s="825"/>
      <c r="H28" s="817"/>
      <c r="I28" s="817"/>
    </row>
    <row r="29" spans="1:9" s="826" customFormat="1" ht="19.5" customHeight="1">
      <c r="A29" s="3603"/>
      <c r="B29" s="3603"/>
      <c r="C29" s="822" t="s">
        <v>580</v>
      </c>
      <c r="D29" s="823"/>
      <c r="E29" s="821">
        <v>0.9</v>
      </c>
      <c r="F29" s="824" t="s">
        <v>581</v>
      </c>
      <c r="G29" s="825"/>
      <c r="H29" s="817"/>
      <c r="I29" s="817"/>
    </row>
    <row r="30" spans="1:9" s="826" customFormat="1" ht="19.5" customHeight="1">
      <c r="A30" s="3603"/>
      <c r="B30" s="3603"/>
      <c r="C30" s="822" t="s">
        <v>582</v>
      </c>
      <c r="D30" s="823"/>
      <c r="E30" s="821">
        <v>0.9</v>
      </c>
      <c r="F30" s="824" t="s">
        <v>583</v>
      </c>
      <c r="G30" s="825"/>
      <c r="H30" s="817"/>
      <c r="I30" s="817"/>
    </row>
    <row r="31" spans="1:9" s="826" customFormat="1" ht="19.5" customHeight="1">
      <c r="A31" s="3603"/>
      <c r="B31" s="3603"/>
      <c r="C31" s="822" t="s">
        <v>584</v>
      </c>
      <c r="D31" s="823"/>
      <c r="E31" s="821">
        <v>0.8</v>
      </c>
      <c r="F31" s="824" t="s">
        <v>585</v>
      </c>
      <c r="G31" s="825"/>
      <c r="H31" s="817"/>
      <c r="I31" s="817"/>
    </row>
    <row r="32" spans="1:9" s="826" customFormat="1" ht="19.5" customHeight="1">
      <c r="A32" s="3603"/>
      <c r="B32" s="3603"/>
      <c r="C32" s="822" t="s">
        <v>586</v>
      </c>
      <c r="D32" s="823"/>
      <c r="E32" s="821">
        <v>0.8</v>
      </c>
      <c r="F32" s="824" t="s">
        <v>587</v>
      </c>
      <c r="G32" s="825"/>
      <c r="H32" s="817"/>
      <c r="I32" s="817"/>
    </row>
    <row r="33" spans="1:9" s="826" customFormat="1" ht="19.5" customHeight="1">
      <c r="A33" s="3603" t="s">
        <v>185</v>
      </c>
      <c r="B33" s="821" t="s">
        <v>560</v>
      </c>
      <c r="C33" s="822" t="s">
        <v>588</v>
      </c>
      <c r="D33" s="823"/>
      <c r="E33" s="821">
        <v>1</v>
      </c>
      <c r="F33" s="824" t="s">
        <v>589</v>
      </c>
      <c r="G33" s="825"/>
      <c r="H33" s="817"/>
      <c r="I33" s="817"/>
    </row>
    <row r="34" spans="1:9" s="826" customFormat="1" ht="19.5" customHeight="1">
      <c r="A34" s="3603"/>
      <c r="B34" s="821" t="s">
        <v>563</v>
      </c>
      <c r="C34" s="822" t="s">
        <v>590</v>
      </c>
      <c r="D34" s="823"/>
      <c r="E34" s="821">
        <v>1.5</v>
      </c>
      <c r="F34" s="824" t="s">
        <v>591</v>
      </c>
      <c r="G34" s="825"/>
      <c r="H34" s="817"/>
      <c r="I34" s="817"/>
    </row>
    <row r="35" spans="1:9" s="826" customFormat="1" ht="19.5" customHeight="1">
      <c r="A35" s="3603" t="s">
        <v>186</v>
      </c>
      <c r="B35" s="821" t="s">
        <v>560</v>
      </c>
      <c r="C35" s="822" t="s">
        <v>592</v>
      </c>
      <c r="D35" s="823"/>
      <c r="E35" s="821">
        <v>1</v>
      </c>
      <c r="F35" s="824" t="s">
        <v>593</v>
      </c>
      <c r="G35" s="825"/>
      <c r="H35" s="817"/>
      <c r="I35" s="817"/>
    </row>
    <row r="36" spans="1:9" s="826" customFormat="1" ht="19.5" customHeight="1">
      <c r="A36" s="3603"/>
      <c r="B36" s="3603" t="s">
        <v>563</v>
      </c>
      <c r="C36" s="822" t="s">
        <v>594</v>
      </c>
      <c r="D36" s="823"/>
      <c r="E36" s="821">
        <v>1</v>
      </c>
      <c r="F36" s="824" t="s">
        <v>595</v>
      </c>
      <c r="G36" s="825"/>
      <c r="H36" s="817"/>
      <c r="I36" s="817"/>
    </row>
    <row r="37" spans="1:9" s="826" customFormat="1" ht="19.5" customHeight="1">
      <c r="A37" s="3603"/>
      <c r="B37" s="3603"/>
      <c r="C37" s="822" t="s">
        <v>596</v>
      </c>
      <c r="D37" s="823"/>
      <c r="E37" s="821">
        <v>1.5</v>
      </c>
      <c r="F37" s="824" t="s">
        <v>597</v>
      </c>
      <c r="G37" s="825"/>
      <c r="H37" s="817"/>
      <c r="I37" s="817"/>
    </row>
    <row r="38" spans="1:9" s="826" customFormat="1" ht="19.5" customHeight="1">
      <c r="A38" s="3603"/>
      <c r="B38" s="3603"/>
      <c r="C38" s="822" t="s">
        <v>598</v>
      </c>
      <c r="D38" s="823"/>
      <c r="E38" s="821">
        <v>1</v>
      </c>
      <c r="F38" s="824" t="s">
        <v>599</v>
      </c>
      <c r="G38" s="825"/>
      <c r="H38" s="817"/>
      <c r="I38" s="817"/>
    </row>
    <row r="39" spans="1:9" s="826" customFormat="1" ht="19.5" customHeight="1">
      <c r="A39" s="3603"/>
      <c r="B39" s="360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603" t="s">
        <v>614</v>
      </c>
      <c r="C61" s="757" t="s">
        <v>615</v>
      </c>
      <c r="D61" s="757" t="s">
        <v>616</v>
      </c>
      <c r="E61" s="834">
        <v>0.5</v>
      </c>
      <c r="F61" s="821">
        <v>80</v>
      </c>
    </row>
    <row r="62" spans="1:8" s="817" customFormat="1" ht="24">
      <c r="A62" s="821">
        <v>2</v>
      </c>
      <c r="B62" s="3603"/>
      <c r="C62" s="757" t="s">
        <v>617</v>
      </c>
      <c r="D62" s="757" t="s">
        <v>618</v>
      </c>
      <c r="E62" s="834">
        <v>0.5</v>
      </c>
      <c r="F62" s="821">
        <v>80</v>
      </c>
    </row>
    <row r="63" spans="1:8" s="817" customFormat="1" ht="36">
      <c r="A63" s="821">
        <v>3</v>
      </c>
      <c r="B63" s="3603"/>
      <c r="C63" s="757" t="s">
        <v>619</v>
      </c>
      <c r="D63" s="757" t="s">
        <v>620</v>
      </c>
      <c r="E63" s="834">
        <v>0.5</v>
      </c>
      <c r="F63" s="821">
        <v>80</v>
      </c>
    </row>
    <row r="64" spans="1:8" s="817" customFormat="1" ht="36">
      <c r="A64" s="821">
        <v>4</v>
      </c>
      <c r="B64" s="3603"/>
      <c r="C64" s="757" t="s">
        <v>621</v>
      </c>
      <c r="D64" s="757" t="s">
        <v>622</v>
      </c>
      <c r="E64" s="834">
        <v>0.4</v>
      </c>
      <c r="F64" s="821">
        <v>60</v>
      </c>
    </row>
    <row r="65" spans="1:6" s="817" customFormat="1" ht="36">
      <c r="A65" s="821">
        <v>5</v>
      </c>
      <c r="B65" s="3603"/>
      <c r="C65" s="757" t="s">
        <v>623</v>
      </c>
      <c r="D65" s="757" t="s">
        <v>624</v>
      </c>
      <c r="E65" s="834">
        <v>0.2</v>
      </c>
      <c r="F65" s="821">
        <v>30</v>
      </c>
    </row>
    <row r="66" spans="1:6" s="817" customFormat="1" ht="36">
      <c r="A66" s="821">
        <v>6</v>
      </c>
      <c r="B66" s="3603"/>
      <c r="C66" s="757" t="s">
        <v>625</v>
      </c>
      <c r="D66" s="757" t="s">
        <v>626</v>
      </c>
      <c r="E66" s="834">
        <v>0.3</v>
      </c>
      <c r="F66" s="821">
        <v>50</v>
      </c>
    </row>
    <row r="67" spans="1:6" s="817" customFormat="1" ht="36">
      <c r="A67" s="821">
        <v>7</v>
      </c>
      <c r="B67" s="3603"/>
      <c r="C67" s="757" t="s">
        <v>627</v>
      </c>
      <c r="D67" s="757" t="s">
        <v>628</v>
      </c>
      <c r="E67" s="834">
        <v>0.2</v>
      </c>
      <c r="F67" s="821">
        <v>30</v>
      </c>
    </row>
    <row r="68" spans="1:6" s="817" customFormat="1" ht="36">
      <c r="A68" s="821">
        <v>8</v>
      </c>
      <c r="B68" s="3603"/>
      <c r="C68" s="757" t="s">
        <v>629</v>
      </c>
      <c r="D68" s="757" t="s">
        <v>630</v>
      </c>
      <c r="E68" s="834">
        <v>0.2</v>
      </c>
      <c r="F68" s="821">
        <v>30</v>
      </c>
    </row>
    <row r="69" spans="1:6" s="817" customFormat="1" ht="36">
      <c r="A69" s="821">
        <v>9</v>
      </c>
      <c r="B69" s="3603"/>
      <c r="C69" s="757" t="s">
        <v>631</v>
      </c>
      <c r="D69" s="757" t="s">
        <v>632</v>
      </c>
      <c r="E69" s="834">
        <v>0.2</v>
      </c>
      <c r="F69" s="821">
        <v>30</v>
      </c>
    </row>
    <row r="70" spans="1:6" s="817" customFormat="1" ht="48">
      <c r="A70" s="821">
        <v>10</v>
      </c>
      <c r="B70" s="3603"/>
      <c r="C70" s="757" t="s">
        <v>633</v>
      </c>
      <c r="D70" s="757" t="s">
        <v>634</v>
      </c>
      <c r="E70" s="834">
        <v>0.2</v>
      </c>
      <c r="F70" s="821">
        <v>30</v>
      </c>
    </row>
    <row r="71" spans="1:6" s="817" customFormat="1" ht="48">
      <c r="A71" s="821">
        <v>11</v>
      </c>
      <c r="B71" s="3603"/>
      <c r="C71" s="757" t="s">
        <v>635</v>
      </c>
      <c r="D71" s="757" t="s">
        <v>636</v>
      </c>
      <c r="E71" s="834">
        <v>0.2</v>
      </c>
      <c r="F71" s="821">
        <v>30</v>
      </c>
    </row>
    <row r="72" spans="1:6" s="817" customFormat="1" ht="36">
      <c r="A72" s="821">
        <v>12</v>
      </c>
      <c r="B72" s="3603"/>
      <c r="C72" s="757" t="s">
        <v>637</v>
      </c>
      <c r="D72" s="757" t="s">
        <v>638</v>
      </c>
      <c r="E72" s="834">
        <v>0.5</v>
      </c>
      <c r="F72" s="821">
        <v>80</v>
      </c>
    </row>
    <row r="73" spans="1:6" s="817" customFormat="1" ht="24">
      <c r="A73" s="821">
        <v>13</v>
      </c>
      <c r="B73" s="3603"/>
      <c r="C73" s="757" t="s">
        <v>639</v>
      </c>
      <c r="D73" s="757" t="s">
        <v>640</v>
      </c>
      <c r="E73" s="834">
        <v>0.4</v>
      </c>
      <c r="F73" s="821">
        <v>60</v>
      </c>
    </row>
    <row r="74" spans="1:6" s="817" customFormat="1" ht="24">
      <c r="A74" s="821">
        <v>14</v>
      </c>
      <c r="B74" s="3603"/>
      <c r="C74" s="757" t="s">
        <v>641</v>
      </c>
      <c r="D74" s="757" t="s">
        <v>642</v>
      </c>
      <c r="E74" s="834">
        <v>0.2</v>
      </c>
      <c r="F74" s="821">
        <v>30</v>
      </c>
    </row>
    <row r="75" spans="1:6" s="817" customFormat="1" ht="24">
      <c r="A75" s="821">
        <v>15</v>
      </c>
      <c r="B75" s="3603"/>
      <c r="C75" s="757" t="s">
        <v>643</v>
      </c>
      <c r="D75" s="757" t="s">
        <v>644</v>
      </c>
      <c r="E75" s="834">
        <v>0.2</v>
      </c>
      <c r="F75" s="821">
        <v>30</v>
      </c>
    </row>
    <row r="76" spans="1:6" s="817" customFormat="1" ht="24">
      <c r="A76" s="821">
        <v>16</v>
      </c>
      <c r="B76" s="3603" t="s">
        <v>645</v>
      </c>
      <c r="C76" s="757" t="s">
        <v>646</v>
      </c>
      <c r="D76" s="757" t="s">
        <v>647</v>
      </c>
      <c r="E76" s="834">
        <v>0.5</v>
      </c>
      <c r="F76" s="821">
        <v>80</v>
      </c>
    </row>
    <row r="77" spans="1:6" s="817" customFormat="1" ht="24">
      <c r="A77" s="821">
        <v>17</v>
      </c>
      <c r="B77" s="3603"/>
      <c r="C77" s="757" t="s">
        <v>648</v>
      </c>
      <c r="D77" s="757" t="s">
        <v>649</v>
      </c>
      <c r="E77" s="834">
        <v>0.5</v>
      </c>
      <c r="F77" s="821">
        <v>80</v>
      </c>
    </row>
    <row r="78" spans="1:6" s="817" customFormat="1" ht="24">
      <c r="A78" s="821">
        <v>18</v>
      </c>
      <c r="B78" s="3603"/>
      <c r="C78" s="757" t="s">
        <v>650</v>
      </c>
      <c r="D78" s="757" t="s">
        <v>651</v>
      </c>
      <c r="E78" s="834">
        <v>0.2</v>
      </c>
      <c r="F78" s="821">
        <v>30</v>
      </c>
    </row>
    <row r="79" spans="1:6" s="817" customFormat="1" ht="24">
      <c r="A79" s="821">
        <v>19</v>
      </c>
      <c r="B79" s="3603"/>
      <c r="C79" s="757" t="s">
        <v>652</v>
      </c>
      <c r="D79" s="757" t="s">
        <v>653</v>
      </c>
      <c r="E79" s="834">
        <v>0.5</v>
      </c>
      <c r="F79" s="821">
        <v>80</v>
      </c>
    </row>
    <row r="80" spans="1:6" s="817" customFormat="1" ht="36">
      <c r="A80" s="821">
        <v>20</v>
      </c>
      <c r="B80" s="3603"/>
      <c r="C80" s="757" t="s">
        <v>654</v>
      </c>
      <c r="D80" s="757" t="s">
        <v>655</v>
      </c>
      <c r="E80" s="834">
        <v>0.2</v>
      </c>
      <c r="F80" s="821">
        <v>30</v>
      </c>
    </row>
    <row r="81" spans="1:6" s="817" customFormat="1" ht="36">
      <c r="A81" s="821">
        <v>21</v>
      </c>
      <c r="B81" s="3603"/>
      <c r="C81" s="757" t="s">
        <v>656</v>
      </c>
      <c r="D81" s="757" t="s">
        <v>657</v>
      </c>
      <c r="E81" s="834">
        <v>0.2</v>
      </c>
      <c r="F81" s="821">
        <v>30</v>
      </c>
    </row>
    <row r="82" spans="1:6" s="817" customFormat="1" ht="48">
      <c r="A82" s="821">
        <v>22</v>
      </c>
      <c r="B82" s="3603"/>
      <c r="C82" s="757" t="s">
        <v>658</v>
      </c>
      <c r="D82" s="757" t="s">
        <v>659</v>
      </c>
      <c r="E82" s="834">
        <v>0.2</v>
      </c>
      <c r="F82" s="821">
        <v>30</v>
      </c>
    </row>
    <row r="83" spans="1:6" s="817" customFormat="1" ht="48">
      <c r="A83" s="821">
        <v>23</v>
      </c>
      <c r="B83" s="3603"/>
      <c r="C83" s="757" t="s">
        <v>660</v>
      </c>
      <c r="D83" s="757" t="s">
        <v>661</v>
      </c>
      <c r="E83" s="834">
        <v>0.2</v>
      </c>
      <c r="F83" s="821">
        <v>30</v>
      </c>
    </row>
    <row r="84" spans="1:6" s="817" customFormat="1" ht="36">
      <c r="A84" s="821">
        <v>24</v>
      </c>
      <c r="B84" s="3603"/>
      <c r="C84" s="757" t="s">
        <v>662</v>
      </c>
      <c r="D84" s="757" t="s">
        <v>663</v>
      </c>
      <c r="E84" s="834">
        <v>0.2</v>
      </c>
      <c r="F84" s="821">
        <v>30</v>
      </c>
    </row>
    <row r="85" spans="1:6" s="817" customFormat="1" ht="36">
      <c r="A85" s="821">
        <v>25</v>
      </c>
      <c r="B85" s="3603"/>
      <c r="C85" s="757" t="s">
        <v>664</v>
      </c>
      <c r="D85" s="757" t="s">
        <v>665</v>
      </c>
      <c r="E85" s="834">
        <v>0.5</v>
      </c>
      <c r="F85" s="821">
        <v>80</v>
      </c>
    </row>
    <row r="86" spans="1:6" s="817" customFormat="1" ht="36">
      <c r="A86" s="821">
        <v>26</v>
      </c>
      <c r="B86" s="3603"/>
      <c r="C86" s="757" t="s">
        <v>666</v>
      </c>
      <c r="D86" s="757" t="s">
        <v>667</v>
      </c>
      <c r="E86" s="834">
        <v>0.2</v>
      </c>
      <c r="F86" s="821">
        <v>30</v>
      </c>
    </row>
    <row r="87" spans="1:6" s="817" customFormat="1" ht="36">
      <c r="A87" s="821">
        <v>27</v>
      </c>
      <c r="B87" s="3603"/>
      <c r="C87" s="757" t="s">
        <v>668</v>
      </c>
      <c r="D87" s="757" t="s">
        <v>669</v>
      </c>
      <c r="E87" s="834">
        <v>0.2</v>
      </c>
      <c r="F87" s="821">
        <v>30</v>
      </c>
    </row>
    <row r="88" spans="1:6" s="817" customFormat="1" ht="36">
      <c r="A88" s="821">
        <v>28</v>
      </c>
      <c r="B88" s="3603"/>
      <c r="C88" s="757" t="s">
        <v>670</v>
      </c>
      <c r="D88" s="757" t="s">
        <v>671</v>
      </c>
      <c r="E88" s="834">
        <v>0.2</v>
      </c>
      <c r="F88" s="821">
        <v>30</v>
      </c>
    </row>
    <row r="89" spans="1:6" s="817" customFormat="1" ht="24">
      <c r="A89" s="821">
        <v>29</v>
      </c>
      <c r="B89" s="3603"/>
      <c r="C89" s="757" t="s">
        <v>672</v>
      </c>
      <c r="D89" s="757" t="s">
        <v>673</v>
      </c>
      <c r="E89" s="834">
        <v>0.2</v>
      </c>
      <c r="F89" s="821">
        <v>30</v>
      </c>
    </row>
    <row r="90" spans="1:6" s="817" customFormat="1" ht="24">
      <c r="A90" s="821">
        <v>30</v>
      </c>
      <c r="B90" s="3603"/>
      <c r="C90" s="757" t="s">
        <v>674</v>
      </c>
      <c r="D90" s="757" t="s">
        <v>675</v>
      </c>
      <c r="E90" s="834">
        <v>0.2</v>
      </c>
      <c r="F90" s="821">
        <v>30</v>
      </c>
    </row>
    <row r="91" spans="1:6" s="817" customFormat="1" ht="36">
      <c r="A91" s="821">
        <v>31</v>
      </c>
      <c r="B91" s="3603"/>
      <c r="C91" s="757" t="s">
        <v>676</v>
      </c>
      <c r="D91" s="757" t="s">
        <v>677</v>
      </c>
      <c r="E91" s="834">
        <v>0.2</v>
      </c>
      <c r="F91" s="821">
        <v>30</v>
      </c>
    </row>
    <row r="92" spans="1:6" s="817" customFormat="1" ht="24">
      <c r="A92" s="821">
        <v>32</v>
      </c>
      <c r="B92" s="3603" t="s">
        <v>678</v>
      </c>
      <c r="C92" s="821" t="s">
        <v>679</v>
      </c>
      <c r="D92" s="757" t="s">
        <v>680</v>
      </c>
      <c r="E92" s="834">
        <v>0.2</v>
      </c>
      <c r="F92" s="821">
        <v>30</v>
      </c>
    </row>
    <row r="93" spans="1:6" s="817" customFormat="1" ht="36">
      <c r="A93" s="821">
        <v>33</v>
      </c>
      <c r="B93" s="3603"/>
      <c r="C93" s="821" t="s">
        <v>681</v>
      </c>
      <c r="D93" s="757" t="s">
        <v>682</v>
      </c>
      <c r="E93" s="834">
        <v>0.2</v>
      </c>
      <c r="F93" s="821">
        <v>30</v>
      </c>
    </row>
    <row r="94" spans="1:6" s="817" customFormat="1" ht="48">
      <c r="A94" s="821">
        <v>34</v>
      </c>
      <c r="B94" s="3603"/>
      <c r="C94" s="821" t="s">
        <v>683</v>
      </c>
      <c r="D94" s="757" t="s">
        <v>684</v>
      </c>
      <c r="E94" s="834">
        <v>0.2</v>
      </c>
      <c r="F94" s="821">
        <v>30</v>
      </c>
    </row>
    <row r="95" spans="1:6" s="817" customFormat="1" ht="36">
      <c r="A95" s="821">
        <v>35</v>
      </c>
      <c r="B95" s="3603"/>
      <c r="C95" s="821" t="s">
        <v>685</v>
      </c>
      <c r="D95" s="757" t="s">
        <v>686</v>
      </c>
      <c r="E95" s="834">
        <v>0.2</v>
      </c>
      <c r="F95" s="821">
        <v>30</v>
      </c>
    </row>
    <row r="96" spans="1:6" s="817" customFormat="1" ht="48">
      <c r="A96" s="821">
        <v>36</v>
      </c>
      <c r="B96" s="3603"/>
      <c r="C96" s="757" t="s">
        <v>687</v>
      </c>
      <c r="D96" s="757" t="s">
        <v>688</v>
      </c>
      <c r="E96" s="834">
        <v>0.2</v>
      </c>
      <c r="F96" s="821">
        <v>30</v>
      </c>
    </row>
    <row r="97" spans="1:6" s="817" customFormat="1" ht="36">
      <c r="A97" s="821">
        <v>37</v>
      </c>
      <c r="B97" s="3603"/>
      <c r="C97" s="821" t="s">
        <v>689</v>
      </c>
      <c r="D97" s="757" t="s">
        <v>690</v>
      </c>
      <c r="E97" s="834">
        <v>0.2</v>
      </c>
      <c r="F97" s="821">
        <v>30</v>
      </c>
    </row>
    <row r="98" spans="1:6" s="817" customFormat="1" ht="36">
      <c r="A98" s="821">
        <v>38</v>
      </c>
      <c r="B98" s="3603"/>
      <c r="C98" s="821" t="s">
        <v>691</v>
      </c>
      <c r="D98" s="757" t="s">
        <v>692</v>
      </c>
      <c r="E98" s="834">
        <v>0.2</v>
      </c>
      <c r="F98" s="821">
        <v>30</v>
      </c>
    </row>
    <row r="99" spans="1:6" s="817" customFormat="1" ht="36">
      <c r="A99" s="821">
        <v>39</v>
      </c>
      <c r="B99" s="3603" t="s">
        <v>693</v>
      </c>
      <c r="C99" s="821" t="s">
        <v>694</v>
      </c>
      <c r="D99" s="757" t="s">
        <v>695</v>
      </c>
      <c r="E99" s="834">
        <v>0.3</v>
      </c>
      <c r="F99" s="821">
        <v>50</v>
      </c>
    </row>
    <row r="100" spans="1:6" s="817" customFormat="1" ht="24">
      <c r="A100" s="821">
        <v>40</v>
      </c>
      <c r="B100" s="3603"/>
      <c r="C100" s="821" t="s">
        <v>696</v>
      </c>
      <c r="D100" s="757" t="s">
        <v>697</v>
      </c>
      <c r="E100" s="834">
        <v>0.2</v>
      </c>
      <c r="F100" s="821">
        <v>30</v>
      </c>
    </row>
    <row r="101" spans="1:6" s="817" customFormat="1" ht="36">
      <c r="A101" s="821">
        <v>41</v>
      </c>
      <c r="B101" s="360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603" t="s">
        <v>708</v>
      </c>
      <c r="C105" s="821" t="s">
        <v>709</v>
      </c>
      <c r="D105" s="757" t="s">
        <v>710</v>
      </c>
      <c r="E105" s="834">
        <v>0.2</v>
      </c>
      <c r="F105" s="821">
        <v>30</v>
      </c>
    </row>
    <row r="106" spans="1:6" s="817" customFormat="1" ht="36">
      <c r="A106" s="821">
        <v>46</v>
      </c>
      <c r="B106" s="3603"/>
      <c r="C106" s="821" t="s">
        <v>711</v>
      </c>
      <c r="D106" s="757" t="s">
        <v>712</v>
      </c>
      <c r="E106" s="834">
        <v>0.2</v>
      </c>
      <c r="F106" s="821">
        <v>30</v>
      </c>
    </row>
    <row r="107" spans="1:6" s="817" customFormat="1" ht="36">
      <c r="A107" s="821">
        <v>47</v>
      </c>
      <c r="B107" s="3603" t="s">
        <v>713</v>
      </c>
      <c r="C107" s="821" t="s">
        <v>714</v>
      </c>
      <c r="D107" s="757" t="s">
        <v>715</v>
      </c>
      <c r="E107" s="834">
        <v>0.3</v>
      </c>
      <c r="F107" s="821">
        <v>50</v>
      </c>
    </row>
    <row r="108" spans="1:6" s="817" customFormat="1" ht="36">
      <c r="A108" s="821">
        <v>48</v>
      </c>
      <c r="B108" s="360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603" t="s">
        <v>724</v>
      </c>
      <c r="C111" s="821" t="s">
        <v>725</v>
      </c>
      <c r="D111" s="757" t="s">
        <v>726</v>
      </c>
      <c r="E111" s="834">
        <v>0.2</v>
      </c>
      <c r="F111" s="821">
        <v>30</v>
      </c>
    </row>
    <row r="112" spans="1:6" s="817" customFormat="1" ht="24">
      <c r="A112" s="821">
        <v>52</v>
      </c>
      <c r="B112" s="3603"/>
      <c r="C112" s="821" t="s">
        <v>727</v>
      </c>
      <c r="D112" s="757" t="s">
        <v>728</v>
      </c>
      <c r="E112" s="834">
        <v>0.2</v>
      </c>
      <c r="F112" s="821">
        <v>30</v>
      </c>
    </row>
    <row r="113" spans="1:6" s="817" customFormat="1" ht="24">
      <c r="A113" s="821">
        <v>53</v>
      </c>
      <c r="B113" s="360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603" t="s">
        <v>737</v>
      </c>
      <c r="C116" s="821" t="s">
        <v>738</v>
      </c>
      <c r="D116" s="757" t="s">
        <v>739</v>
      </c>
      <c r="E116" s="834">
        <v>0.2</v>
      </c>
      <c r="F116" s="821">
        <v>30</v>
      </c>
    </row>
    <row r="117" spans="1:6" ht="36">
      <c r="A117" s="821">
        <v>57</v>
      </c>
      <c r="B117" s="360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307" workbookViewId="0">
      <selection activeCell="J320" sqref="J320:K32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3284">
        <v>1</v>
      </c>
      <c r="K318" s="3284">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3284">
        <v>0.88890000000000002</v>
      </c>
      <c r="K320" s="3284">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3284">
        <v>0.74419999999999997</v>
      </c>
      <c r="K326" s="3284">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2759</v>
      </c>
      <c r="B1" s="2332"/>
      <c r="C1" s="2332"/>
      <c r="D1" s="2332"/>
      <c r="E1" s="2332"/>
      <c r="F1" s="2992"/>
      <c r="G1" s="2992"/>
      <c r="H1" s="2992"/>
      <c r="I1" s="2992"/>
      <c r="J1" s="2992"/>
      <c r="K1" s="2992"/>
      <c r="L1" s="2992"/>
      <c r="M1" s="2992"/>
      <c r="N1" s="2992"/>
      <c r="O1" s="2992"/>
      <c r="P1" s="2992"/>
    </row>
    <row r="2" spans="1:16" ht="15.75">
      <c r="A2" s="2330" t="s">
        <v>2751</v>
      </c>
      <c r="B2" s="2796">
        <f ca="1">SUMIF(B6:B13,"&lt;&gt;#ref!",B6:B13)</f>
        <v>1539</v>
      </c>
      <c r="C2" s="2330" t="s">
        <v>2752</v>
      </c>
      <c r="D2" s="2330" t="s">
        <v>2753</v>
      </c>
      <c r="E2" s="2806">
        <f ca="1">SUMIF(E6:E13,"&lt;&gt;#ref!",E6:E13)</f>
        <v>4052</v>
      </c>
      <c r="F2" s="2992"/>
      <c r="G2" s="2992"/>
      <c r="H2" s="2992"/>
      <c r="I2" s="2992"/>
      <c r="J2" s="2992"/>
      <c r="K2" s="2992"/>
      <c r="L2" s="2992"/>
      <c r="M2" s="2992"/>
      <c r="N2" s="2992"/>
      <c r="O2" s="2992"/>
      <c r="P2" s="2992"/>
    </row>
    <row r="3" spans="1:16" ht="15.75">
      <c r="A3" s="2330" t="s">
        <v>2754</v>
      </c>
      <c r="B3" s="2796">
        <f ca="1">ROUND(B2*10000/E2,0)</f>
        <v>3798</v>
      </c>
      <c r="C3" s="2330" t="s">
        <v>2760</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2755</v>
      </c>
      <c r="B5" s="2804" t="s">
        <v>2756</v>
      </c>
      <c r="C5" s="2331"/>
      <c r="D5" s="2992"/>
      <c r="E5" s="2805" t="s">
        <v>2757</v>
      </c>
      <c r="F5" s="2992"/>
      <c r="G5" s="2992"/>
      <c r="H5" s="2992"/>
      <c r="I5" s="2992"/>
      <c r="J5" s="2992"/>
      <c r="K5" s="2992"/>
      <c r="L5" s="2992"/>
      <c r="M5" s="2992"/>
      <c r="N5" s="2992"/>
      <c r="O5" s="2992"/>
      <c r="P5" s="2992"/>
    </row>
    <row r="6" spans="1:16" ht="15.75">
      <c r="A6" s="2803" t="s">
        <v>2758</v>
      </c>
      <c r="B6" s="2796">
        <f ca="1">SUMIF(INDIRECT("'"&amp;A6&amp;"'"&amp;"!A:A"),"总价",INDIRECT("'"&amp;A6&amp;"'"&amp;"!B:B"))</f>
        <v>1539</v>
      </c>
      <c r="C6" s="2330" t="s">
        <v>2752</v>
      </c>
      <c r="D6" s="2992"/>
      <c r="E6" s="2806">
        <f ca="1">SUMIF(INDIRECT("'"&amp;A6&amp;"'"&amp;"!C:C"),"建筑面积",INDIRECT("'"&amp;A6&amp;"'"&amp;"!D:D"))</f>
        <v>4052</v>
      </c>
      <c r="F6" s="2992"/>
      <c r="G6" s="2992"/>
      <c r="H6" s="2992"/>
      <c r="I6" s="2992"/>
      <c r="J6" s="2992"/>
      <c r="K6" s="2992"/>
      <c r="L6" s="2992"/>
      <c r="M6" s="2992"/>
      <c r="N6" s="2992"/>
      <c r="O6" s="2992"/>
      <c r="P6" s="2992"/>
    </row>
    <row r="7" spans="1:16" ht="15.75">
      <c r="A7" s="2803"/>
      <c r="B7" s="2796" t="e">
        <f ca="1">SUMIF(INDIRECT("'"&amp;A7&amp;"'"&amp;"!A:A"),"总价",INDIRECT("'"&amp;A7&amp;"'"&amp;"!B:B"))</f>
        <v>#REF!</v>
      </c>
      <c r="C7" s="2330" t="s">
        <v>2752</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0" t="s">
        <v>2752</v>
      </c>
      <c r="D8" s="2992"/>
      <c r="E8" s="2806" t="e">
        <f t="shared" ca="1" si="0"/>
        <v>#REF!</v>
      </c>
      <c r="F8" s="2992"/>
      <c r="G8" s="2992"/>
      <c r="H8" s="2992"/>
      <c r="I8" s="2992"/>
      <c r="J8" s="2992"/>
      <c r="K8" s="2992"/>
      <c r="L8" s="2992"/>
      <c r="M8" s="2992"/>
      <c r="N8" s="2992"/>
      <c r="O8" s="2992"/>
      <c r="P8" s="2992"/>
    </row>
    <row r="9" spans="1:16" ht="15.75">
      <c r="A9" s="2803"/>
      <c r="B9" s="2796" t="e">
        <f t="shared" ca="1" si="1"/>
        <v>#REF!</v>
      </c>
      <c r="C9" s="2330" t="s">
        <v>2752</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0" t="s">
        <v>2752</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0" t="s">
        <v>2752</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0" t="s">
        <v>2752</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0" t="s">
        <v>2752</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609" t="s">
        <v>1058</v>
      </c>
      <c r="C1" s="3609"/>
      <c r="D1" s="3609"/>
      <c r="E1" s="3609"/>
      <c r="F1" s="3609"/>
      <c r="G1" s="3605" t="s">
        <v>1059</v>
      </c>
      <c r="H1" s="3605"/>
      <c r="I1" s="3605"/>
      <c r="J1" s="3605"/>
      <c r="K1" s="3605"/>
      <c r="L1" s="3605"/>
      <c r="N1" s="3605" t="s">
        <v>1060</v>
      </c>
      <c r="O1" s="3605"/>
      <c r="P1" s="3605"/>
      <c r="Q1" s="3605"/>
      <c r="S1" s="3605" t="s">
        <v>1061</v>
      </c>
      <c r="T1" s="3605"/>
      <c r="U1" s="3605"/>
      <c r="V1" s="3605"/>
      <c r="X1" s="3604" t="s">
        <v>1062</v>
      </c>
      <c r="Y1" s="3605"/>
      <c r="Z1" s="3605"/>
      <c r="AA1" s="3605"/>
      <c r="AB1" s="3605"/>
      <c r="AD1" s="3604" t="s">
        <v>1063</v>
      </c>
      <c r="AE1" s="3605"/>
      <c r="AF1" s="3605"/>
      <c r="AG1" s="3605"/>
      <c r="AH1" s="3605"/>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2792</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3124</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4">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2793</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3123</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4">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3000</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29">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2999</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8">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2998</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2">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2996</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1">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2995</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8">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2809</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2807</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2806</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2805</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2803</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2801</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2804</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607">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2799</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607"/>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2798</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607"/>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2791</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614"/>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2789</v>
      </c>
      <c r="B22" s="2407">
        <v>439</v>
      </c>
      <c r="C22" s="2407">
        <v>327</v>
      </c>
      <c r="D22" s="2407">
        <f>C22</f>
        <v>327</v>
      </c>
      <c r="E22" s="2407">
        <v>627</v>
      </c>
      <c r="F22" s="2408">
        <v>283</v>
      </c>
      <c r="G22" s="3610">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2790</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607"/>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607"/>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614"/>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610">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607"/>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607"/>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608"/>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606">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607"/>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607"/>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608"/>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606">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607"/>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607"/>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608"/>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611">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612"/>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612"/>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613"/>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606">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607"/>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607"/>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608"/>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606">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607">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607">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608">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606">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607">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607">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608">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606">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607">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607">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608">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606">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607">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607">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608">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606">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607">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607">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608">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606">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607">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607">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608">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606">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607">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607">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608">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606">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607">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607">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608">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606">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607">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607">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608">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606">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607">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607">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608">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618" t="s">
        <v>2762</v>
      </c>
      <c r="D1" s="3619"/>
      <c r="E1" s="3619"/>
      <c r="F1" s="3619"/>
      <c r="G1" s="3619"/>
      <c r="H1" s="3619"/>
      <c r="I1" s="3619"/>
      <c r="J1" s="3619"/>
      <c r="K1" s="3619"/>
      <c r="L1" s="3619"/>
      <c r="M1" s="3619"/>
      <c r="N1" s="3619"/>
      <c r="O1" s="3619"/>
      <c r="P1" s="3619"/>
      <c r="Q1" s="3619"/>
      <c r="R1" s="3619"/>
      <c r="S1" s="3620"/>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2765</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2766</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2767</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2771</v>
      </c>
      <c r="B17" s="2334"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2773</v>
      </c>
      <c r="E19" s="1493"/>
      <c r="F19" s="1493"/>
      <c r="G19" s="1493"/>
      <c r="H19" s="1190"/>
      <c r="I19" s="164"/>
      <c r="J19" s="164"/>
      <c r="K19" s="164"/>
      <c r="L19" s="164"/>
      <c r="M19" s="164"/>
      <c r="N19" s="164"/>
      <c r="O19" s="164"/>
      <c r="P19" s="164"/>
      <c r="Q19" s="164"/>
      <c r="R19" s="727"/>
      <c r="S19" s="134"/>
    </row>
    <row r="20" spans="1:45" ht="16.5" thickBot="1">
      <c r="A20" s="671" t="s">
        <v>2774</v>
      </c>
      <c r="B20" s="300" t="e">
        <f ca="1">IF(D20="——",S22,S22-F20)</f>
        <v>#REF!</v>
      </c>
      <c r="C20" s="164"/>
      <c r="D20" s="2336"/>
      <c r="E20" s="1494"/>
      <c r="F20" s="1114" t="e">
        <f ca="1">SUMIF(INDIRECT("'"&amp;H20&amp;"'"&amp;"!A:A"),"承租人权益价值",INDIRECT("'"&amp;H20&amp;"'"&amp;"!c:c"))</f>
        <v>#REF!</v>
      </c>
      <c r="G20" s="1114" t="s">
        <v>2775</v>
      </c>
      <c r="H20" s="2337"/>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615" t="s">
        <v>33</v>
      </c>
      <c r="D22" s="3616"/>
      <c r="E22" s="3616"/>
      <c r="F22" s="3616"/>
      <c r="G22" s="3616"/>
      <c r="H22" s="3616"/>
      <c r="I22" s="3616"/>
      <c r="J22" s="3616"/>
      <c r="K22" s="3616"/>
      <c r="L22" s="3616"/>
      <c r="M22" s="3616"/>
      <c r="N22" s="3616"/>
      <c r="O22" s="3616"/>
      <c r="P22" s="3616"/>
      <c r="Q22" s="3617"/>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3"/>
      <c r="C2" s="3293"/>
      <c r="D2" s="3293"/>
      <c r="E2" s="3293"/>
    </row>
    <row r="3" spans="1:5" ht="18">
      <c r="A3" s="3294" t="str">
        <f>IF(项目基本情况!B9="房地产市场价值","估价结果一览表（市场价值不需“结果表-1”）","估价结果一览表")</f>
        <v>估价结果一览表</v>
      </c>
      <c r="B3" s="3294"/>
      <c r="C3" s="3294"/>
      <c r="D3" s="3294"/>
      <c r="E3" s="3294"/>
    </row>
    <row r="4" spans="1:5" ht="19.5" thickBot="1">
      <c r="A4" s="1647"/>
      <c r="B4" s="3292" t="s">
        <v>1535</v>
      </c>
      <c r="C4" s="3292"/>
      <c r="D4" s="3292"/>
      <c r="E4" s="1647"/>
    </row>
    <row r="5" spans="1:5" ht="16.5" thickTop="1">
      <c r="A5" s="1645"/>
      <c r="B5" s="3290" t="s">
        <v>1527</v>
      </c>
      <c r="C5" s="1648" t="s">
        <v>1528</v>
      </c>
      <c r="D5" s="959">
        <f ca="1">结果表!H101</f>
        <v>4868</v>
      </c>
      <c r="E5" s="1645"/>
    </row>
    <row r="6" spans="1:5" ht="15.75">
      <c r="A6" s="1645"/>
      <c r="B6" s="3290"/>
      <c r="C6" s="1648" t="s">
        <v>1529</v>
      </c>
      <c r="D6" s="959" t="str">
        <f ca="1">NUMBERSTRING(INT(D5*10000),2)&amp;"元整"</f>
        <v>肆仟捌佰陆拾捌万元整</v>
      </c>
      <c r="E6" s="1645"/>
    </row>
    <row r="7" spans="1:5" ht="15.75">
      <c r="A7" s="1645"/>
      <c r="B7" s="3295"/>
      <c r="C7" s="1649" t="s">
        <v>1530</v>
      </c>
      <c r="D7" s="960">
        <f ca="1">结果表!H102</f>
        <v>12014</v>
      </c>
      <c r="E7" s="1645"/>
    </row>
    <row r="8" spans="1:5" ht="15.75">
      <c r="A8" s="1645"/>
      <c r="B8" s="3296" t="str">
        <f>结果表!E103</f>
        <v>2.估价师知悉的法定优先受偿款</v>
      </c>
      <c r="C8" s="1650" t="s">
        <v>1531</v>
      </c>
      <c r="D8" s="960">
        <f>结果表!H103</f>
        <v>0</v>
      </c>
      <c r="E8" s="1645"/>
    </row>
    <row r="9" spans="1:5" ht="15.75">
      <c r="A9" s="1645"/>
      <c r="B9" s="3298"/>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89" t="str">
        <f>结果表!E107</f>
        <v>3.房地产抵押价值</v>
      </c>
      <c r="C13" s="1653" t="s">
        <v>1528</v>
      </c>
      <c r="D13" s="962">
        <f ca="1">结果表!H107</f>
        <v>4868</v>
      </c>
      <c r="E13" s="1645"/>
    </row>
    <row r="14" spans="1:5" ht="15.75">
      <c r="A14" s="1645"/>
      <c r="B14" s="3290"/>
      <c r="C14" s="1648" t="s">
        <v>1529</v>
      </c>
      <c r="D14" s="959" t="str">
        <f ca="1">NUMBERSTRING(INT(D13*10000),2)&amp;"元整"</f>
        <v>肆仟捌佰陆拾捌万元整</v>
      </c>
      <c r="E14" s="1645"/>
    </row>
    <row r="15" spans="1:5" ht="15">
      <c r="A15" s="1645"/>
      <c r="B15" s="3295"/>
      <c r="C15" s="1649" t="s">
        <v>1539</v>
      </c>
      <c r="D15" s="968">
        <f ca="1">结果表!H108</f>
        <v>12014</v>
      </c>
      <c r="E15" s="1645"/>
    </row>
    <row r="16" spans="1:5" ht="15">
      <c r="A16" s="1645"/>
      <c r="B16" s="3296" t="str">
        <f>结果表!E109</f>
        <v>——</v>
      </c>
      <c r="C16" s="1653" t="s">
        <v>1540</v>
      </c>
      <c r="D16" s="1654" t="str">
        <f>结果表!H109</f>
        <v>——</v>
      </c>
      <c r="E16" s="1645"/>
    </row>
    <row r="17" spans="1:5" ht="15.75">
      <c r="A17" s="1645"/>
      <c r="B17" s="3297"/>
      <c r="C17" s="1648" t="s">
        <v>1541</v>
      </c>
      <c r="D17" s="959" t="e">
        <f>NUMBERSTRING(INT(D16*10000),2)&amp;"元整"</f>
        <v>#VALUE!</v>
      </c>
      <c r="E17" s="1645"/>
    </row>
    <row r="18" spans="1:5" ht="15">
      <c r="A18" s="1645"/>
      <c r="B18" s="3298"/>
      <c r="C18" s="1649" t="s">
        <v>1530</v>
      </c>
      <c r="D18" s="968" t="str">
        <f>结果表!H110</f>
        <v>——</v>
      </c>
      <c r="E18" s="1645"/>
    </row>
    <row r="19" spans="1:5" ht="15.75">
      <c r="A19" s="1645"/>
      <c r="B19" s="3289" t="str">
        <f>结果表!E111</f>
        <v>——</v>
      </c>
      <c r="C19" s="1653" t="s">
        <v>1528</v>
      </c>
      <c r="D19" s="960" t="str">
        <f>结果表!H111</f>
        <v>——</v>
      </c>
      <c r="E19" s="1645"/>
    </row>
    <row r="20" spans="1:5" ht="15.75">
      <c r="A20" s="1645"/>
      <c r="B20" s="3290"/>
      <c r="C20" s="1648" t="s">
        <v>1541</v>
      </c>
      <c r="D20" s="959" t="e">
        <f>NUMBERSTRING(INT(D19*10000),2)&amp;"元整"</f>
        <v>#VALUE!</v>
      </c>
      <c r="E20" s="1645"/>
    </row>
    <row r="21" spans="1:5" ht="15.75" thickBot="1">
      <c r="A21" s="1645"/>
      <c r="B21" s="3291"/>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25377</v>
      </c>
      <c r="C2" s="2" t="s">
        <v>133</v>
      </c>
      <c r="D2" s="205"/>
      <c r="E2" s="205"/>
      <c r="F2" s="205"/>
      <c r="G2" s="205"/>
    </row>
    <row r="3" spans="1:7" s="206" customFormat="1" ht="18" customHeight="1" thickBot="1">
      <c r="A3" s="209" t="s">
        <v>85</v>
      </c>
      <c r="B3" s="210">
        <f ca="1">ROUND(B2*10000/'数据-汇总表'!E3,0)</f>
        <v>62628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81</v>
      </c>
      <c r="D10" s="954">
        <f>'数据-汇总表'!E6</f>
        <v>4052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81</v>
      </c>
      <c r="D19" s="958">
        <f>'数据-汇总表'!E3</f>
        <v>4052</v>
      </c>
      <c r="E19" s="217">
        <f>'数据-取费表'!B31</f>
        <v>200</v>
      </c>
      <c r="F19" s="237"/>
      <c r="G19" s="1" t="s">
        <v>1042</v>
      </c>
    </row>
    <row r="20" spans="1:7" s="220" customFormat="1" ht="13.5" customHeight="1">
      <c r="A20" s="885" t="s">
        <v>1025</v>
      </c>
      <c r="B20" s="216" t="s">
        <v>104</v>
      </c>
      <c r="C20" s="238">
        <f>ROUND((C5+C19)*F20,0)</f>
        <v>207</v>
      </c>
      <c r="D20" s="238"/>
      <c r="E20" s="238"/>
      <c r="F20" s="239">
        <f>'数据-取费表'!B37</f>
        <v>0.01</v>
      </c>
      <c r="G20" s="1199" t="s">
        <v>1036</v>
      </c>
    </row>
    <row r="21" spans="1:7" s="220" customFormat="1" ht="13.5" customHeight="1">
      <c r="A21" s="885" t="s">
        <v>1027</v>
      </c>
      <c r="B21" s="216" t="s">
        <v>105</v>
      </c>
      <c r="C21" s="241">
        <f>F21</f>
        <v>0.01</v>
      </c>
      <c r="D21" s="242" t="s">
        <v>126</v>
      </c>
      <c r="E21" s="238"/>
      <c r="F21" s="239">
        <f>'数据-取费表'!B38</f>
        <v>0.01</v>
      </c>
      <c r="G21" s="240" t="s">
        <v>106</v>
      </c>
    </row>
    <row r="22" spans="1:7" s="220" customFormat="1" ht="13.5" customHeight="1">
      <c r="A22" s="885" t="s">
        <v>786</v>
      </c>
      <c r="B22" s="216" t="s">
        <v>107</v>
      </c>
      <c r="C22" s="1236">
        <f ca="1">ROUND(SUM(C23:C25),0)</f>
        <v>873</v>
      </c>
      <c r="D22" s="241">
        <f ca="1">C26</f>
        <v>2.0000000000000001E-4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4</v>
      </c>
      <c r="D25" s="244"/>
      <c r="E25" s="247"/>
      <c r="F25" s="245"/>
      <c r="G25" s="248" t="s">
        <v>110</v>
      </c>
    </row>
    <row r="26" spans="1:7" s="220" customFormat="1">
      <c r="A26" s="888" t="s">
        <v>795</v>
      </c>
      <c r="B26" s="221" t="s">
        <v>1028</v>
      </c>
      <c r="C26" s="244">
        <f ca="1">ROUND(IF('数据-取费表'!B22&lt;=1,F21*F22*'数据-取费表'!B23/2,F21*(POWER((1+F22),'数据-取费表'!B23/2)-1)),4)</f>
        <v>2.0000000000000001E-4</v>
      </c>
      <c r="D26" s="244"/>
      <c r="E26" s="247"/>
      <c r="F26" s="245"/>
      <c r="G26" s="249"/>
    </row>
    <row r="27" spans="1:7" s="220" customFormat="1" ht="24.75">
      <c r="A27" s="885" t="s">
        <v>787</v>
      </c>
      <c r="B27" s="250" t="s">
        <v>112</v>
      </c>
      <c r="C27" s="251">
        <f>C28</f>
        <v>1045</v>
      </c>
      <c r="D27" s="241">
        <f>C29</f>
        <v>5.0000000000000001E-4</v>
      </c>
      <c r="E27" s="242" t="s">
        <v>126</v>
      </c>
      <c r="F27" s="252">
        <f>'数据-取费表'!Q16</f>
        <v>0.05</v>
      </c>
      <c r="G27" s="253" t="s">
        <v>1037</v>
      </c>
    </row>
    <row r="28" spans="1:7" s="220" customFormat="1" ht="13.5" customHeight="1">
      <c r="A28" s="888" t="s">
        <v>794</v>
      </c>
      <c r="B28" s="254" t="s">
        <v>1030</v>
      </c>
      <c r="C28" s="255">
        <f>ROUND((C5+C19+C20)*F27*'数据-取费表'!B21/'数据-取费表'!B20,0)</f>
        <v>1045</v>
      </c>
      <c r="D28" s="241"/>
      <c r="E28" s="242"/>
      <c r="F28" s="252"/>
      <c r="G28" s="253"/>
    </row>
    <row r="29" spans="1:7" s="220" customFormat="1" ht="13.5" customHeight="1">
      <c r="A29" s="888" t="s">
        <v>792</v>
      </c>
      <c r="B29" s="254" t="s">
        <v>1031</v>
      </c>
      <c r="C29" s="244">
        <f>ROUND(C21*F27*'数据-取费表'!B21/'数据-取费表'!B20,4)</f>
        <v>5.0000000000000001E-4</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24377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1013</v>
      </c>
      <c r="D34" s="223"/>
      <c r="E34" s="226"/>
      <c r="F34" s="263">
        <f>IF('数据-取费表'!B24=0,1,'数据-取费表'!N16)</f>
        <v>1</v>
      </c>
      <c r="G34" s="225" t="s">
        <v>116</v>
      </c>
    </row>
    <row r="35" spans="1:7" ht="13.5" customHeight="1">
      <c r="A35" s="888" t="s">
        <v>796</v>
      </c>
      <c r="B35" s="221" t="s">
        <v>60</v>
      </c>
      <c r="C35" s="226">
        <f>ROUND(C34*F35,0)</f>
        <v>30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81</v>
      </c>
      <c r="D37" s="223">
        <f>'数据-汇总表'!E3</f>
        <v>4052</v>
      </c>
      <c r="E37" s="255">
        <f>'数据-取费表'!B35</f>
        <v>200</v>
      </c>
      <c r="F37" s="265"/>
      <c r="G37" s="267" t="s">
        <v>119</v>
      </c>
    </row>
    <row r="38" spans="1:7" ht="13.5" customHeight="1">
      <c r="A38" s="888" t="s">
        <v>799</v>
      </c>
      <c r="B38" s="221" t="s">
        <v>63</v>
      </c>
      <c r="C38" s="226">
        <f>ROUND(C34*F38,0)</f>
        <v>15</v>
      </c>
      <c r="D38" s="226"/>
      <c r="E38" s="226"/>
      <c r="F38" s="265">
        <f>'数据-取费表'!B36</f>
        <v>1.4999999999999999E-2</v>
      </c>
      <c r="G38" s="225" t="s">
        <v>117</v>
      </c>
    </row>
    <row r="39" spans="1:7" s="220" customFormat="1" ht="13.5" customHeight="1">
      <c r="A39" s="885" t="s">
        <v>783</v>
      </c>
      <c r="B39" s="216" t="s">
        <v>104</v>
      </c>
      <c r="C39" s="238">
        <f>ROUND(C33*F20,0)</f>
        <v>11</v>
      </c>
      <c r="D39" s="238"/>
      <c r="E39" s="238"/>
      <c r="F39" s="239"/>
      <c r="G39" s="1199" t="s">
        <v>1039</v>
      </c>
    </row>
    <row r="40" spans="1:7" s="220" customFormat="1" ht="13.5" customHeight="1">
      <c r="A40" s="885" t="s">
        <v>784</v>
      </c>
      <c r="B40" s="216" t="s">
        <v>105</v>
      </c>
      <c r="C40" s="268">
        <f>F21</f>
        <v>0.01</v>
      </c>
      <c r="D40" s="242" t="s">
        <v>129</v>
      </c>
      <c r="E40" s="238"/>
      <c r="F40" s="239"/>
      <c r="G40" s="240" t="s">
        <v>120</v>
      </c>
    </row>
    <row r="41" spans="1:7" s="220" customFormat="1" ht="13.5" customHeight="1">
      <c r="A41" s="885" t="s">
        <v>785</v>
      </c>
      <c r="B41" s="216" t="s">
        <v>107</v>
      </c>
      <c r="C41" s="238">
        <f ca="1">ROUND(SUM(C42:C43),0)</f>
        <v>24</v>
      </c>
      <c r="D41" s="241">
        <f ca="1">C44</f>
        <v>2.0000000000000001E-4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24</v>
      </c>
      <c r="D42" s="244"/>
      <c r="E42" s="244"/>
      <c r="F42" s="245"/>
      <c r="G42" s="3477" t="s">
        <v>121</v>
      </c>
    </row>
    <row r="43" spans="1:7" ht="13.5" customHeight="1">
      <c r="A43" s="888" t="s">
        <v>792</v>
      </c>
      <c r="B43" s="221" t="s">
        <v>1032</v>
      </c>
      <c r="C43" s="244">
        <f ca="1">ROUND(IF('数据-取费表'!B22&lt;=1,C39*F22*'数据-取费表'!B21/2,C39*(POWER((1+F22),'数据-取费表'!B21/2)-1)),0)</f>
        <v>0</v>
      </c>
      <c r="D43" s="244"/>
      <c r="E43" s="244"/>
      <c r="F43" s="245"/>
      <c r="G43" s="3478"/>
    </row>
    <row r="44" spans="1:7" ht="13.5" customHeight="1">
      <c r="A44" s="888" t="s">
        <v>793</v>
      </c>
      <c r="B44" s="221" t="s">
        <v>1034</v>
      </c>
      <c r="C44" s="244">
        <f ca="1">ROUND(IF('数据-取费表'!B22&lt;=1,C40*F22*'数据-取费表'!B21/2,C40*(POWER((1+F22),'数据-取费表'!B21/2)-1)),4)</f>
        <v>2.0000000000000001E-4</v>
      </c>
      <c r="D44" s="244"/>
      <c r="E44" s="244"/>
      <c r="F44" s="245"/>
      <c r="G44" s="3479"/>
    </row>
    <row r="45" spans="1:7" s="220" customFormat="1" ht="13.5" customHeight="1">
      <c r="A45" s="885" t="s">
        <v>786</v>
      </c>
      <c r="B45" s="250" t="s">
        <v>112</v>
      </c>
      <c r="C45" s="251">
        <f>C46</f>
        <v>58</v>
      </c>
      <c r="D45" s="241">
        <f>C47</f>
        <v>5.0000000000000001E-4</v>
      </c>
      <c r="E45" s="242" t="s">
        <v>129</v>
      </c>
      <c r="F45" s="252"/>
      <c r="G45" s="253" t="s">
        <v>1040</v>
      </c>
    </row>
    <row r="46" spans="1:7" s="220" customFormat="1" ht="13.5" customHeight="1">
      <c r="A46" s="888" t="s">
        <v>794</v>
      </c>
      <c r="B46" s="254" t="s">
        <v>1033</v>
      </c>
      <c r="C46" s="255">
        <f>ROUND((C33+C39)*F27,0)</f>
        <v>58</v>
      </c>
      <c r="D46" s="269"/>
      <c r="E46" s="242"/>
      <c r="F46" s="252"/>
      <c r="G46" s="253"/>
    </row>
    <row r="47" spans="1:7" s="220" customFormat="1" ht="13.5" customHeight="1">
      <c r="A47" s="888" t="s">
        <v>792</v>
      </c>
      <c r="B47" s="254" t="s">
        <v>1035</v>
      </c>
      <c r="C47" s="244">
        <f>ROUND(C40*F27,4)</f>
        <v>5.0000000000000001E-4</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1316</v>
      </c>
      <c r="D49" s="238"/>
      <c r="E49" s="238"/>
      <c r="F49" s="270"/>
      <c r="G49" s="240" t="s">
        <v>1041</v>
      </c>
    </row>
    <row r="50" spans="1:7" s="264" customFormat="1" ht="24">
      <c r="A50" s="885" t="s">
        <v>789</v>
      </c>
      <c r="B50" s="216" t="s">
        <v>124</v>
      </c>
      <c r="C50" s="238"/>
      <c r="D50" s="238"/>
      <c r="E50" s="238"/>
      <c r="F50" s="270">
        <f>IF('数据-取费表'!B24=0,'数据-取费表'!N16,1)</f>
        <v>0.76</v>
      </c>
      <c r="G50" s="253" t="s">
        <v>125</v>
      </c>
    </row>
    <row r="51" spans="1:7" ht="16.5" customHeight="1">
      <c r="A51" s="885" t="s">
        <v>790</v>
      </c>
      <c r="B51" s="216" t="s">
        <v>132</v>
      </c>
      <c r="C51" s="238">
        <f ca="1">ROUND(C49*F50,0)</f>
        <v>1000</v>
      </c>
      <c r="D51" s="238"/>
      <c r="E51" s="238"/>
      <c r="F51" s="270"/>
      <c r="G51" s="240" t="s">
        <v>64</v>
      </c>
    </row>
    <row r="52" spans="1:7" s="214" customFormat="1" ht="16.5" thickBot="1">
      <c r="A52" s="271" t="s">
        <v>65</v>
      </c>
      <c r="B52" s="272"/>
      <c r="C52" s="273">
        <f ca="1">C31+C51</f>
        <v>25377</v>
      </c>
      <c r="D52" s="272"/>
      <c r="E52" s="272"/>
      <c r="F52" s="272"/>
      <c r="G52" s="274"/>
    </row>
    <row r="55" spans="1:7" ht="15">
      <c r="B55" s="276" t="s">
        <v>66</v>
      </c>
      <c r="C55" s="277"/>
    </row>
    <row r="56" spans="1:7">
      <c r="B56" s="279" t="s">
        <v>67</v>
      </c>
      <c r="C56" s="280">
        <f ca="1">ROUND(C51/C52,3)</f>
        <v>3.9E-2</v>
      </c>
    </row>
    <row r="57" spans="1:7">
      <c r="B57" s="279" t="s">
        <v>68</v>
      </c>
      <c r="C57" s="281">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21" t="s">
        <v>156</v>
      </c>
      <c r="B1" s="3621"/>
      <c r="C1" s="3621"/>
      <c r="D1" s="3621"/>
      <c r="E1" s="3621"/>
      <c r="F1" s="362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22" t="s">
        <v>169</v>
      </c>
      <c r="B2" s="3622"/>
      <c r="C2" s="3622"/>
      <c r="D2" s="3622"/>
      <c r="E2" s="3622"/>
      <c r="F2" s="362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2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62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21" t="s">
        <v>839</v>
      </c>
      <c r="B1" s="362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44607</v>
      </c>
      <c r="D1" s="1441" t="s">
        <v>1209</v>
      </c>
      <c r="E1" s="1436">
        <f>'数据-取费表'!B22</f>
        <v>1</v>
      </c>
      <c r="F1" s="1441" t="s">
        <v>1210</v>
      </c>
      <c r="G1" s="1437">
        <f ca="1">INDIRECT("d"&amp;$K$1)/100</f>
        <v>3.7000000000000005E-2</v>
      </c>
      <c r="H1" s="1441" t="s">
        <v>1240</v>
      </c>
      <c r="I1" s="1437">
        <f ca="1">F4/100</f>
        <v>1.4999999999999999E-2</v>
      </c>
      <c r="J1" s="1442">
        <f>IF(C1&gt;C13,0,MATCH(C1,C$13:C$107,-1))+IF(SUMIF(C13:C107,C1,D13:D107)=0,13,12)</f>
        <v>13</v>
      </c>
      <c r="K1" s="1442">
        <f ca="1">MATCH(E1,C3:C7,1)+IF(SUMIF(C3:C7,E1,D3:D7)=0,2,1)</f>
        <v>4</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0">
        <v>44581</v>
      </c>
      <c r="D13" s="3021">
        <v>3.7</v>
      </c>
      <c r="E13" s="3021">
        <f>D13</f>
        <v>3.7</v>
      </c>
      <c r="F13" s="3021">
        <f>D13</f>
        <v>3.7</v>
      </c>
      <c r="G13" s="3021">
        <f>D13</f>
        <v>3.7</v>
      </c>
      <c r="H13" s="3021">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6"/>
      <c r="C14" s="3017">
        <v>44550</v>
      </c>
      <c r="D14" s="3016">
        <v>3.8</v>
      </c>
      <c r="E14" s="3016">
        <f>D14</f>
        <v>3.8</v>
      </c>
      <c r="F14" s="3016">
        <f>D14</f>
        <v>3.8</v>
      </c>
      <c r="G14" s="3016">
        <f>D14</f>
        <v>3.8</v>
      </c>
      <c r="H14" s="3016">
        <v>4.6500000000000004</v>
      </c>
      <c r="I14" s="3016"/>
      <c r="J14" s="3021"/>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6"/>
      <c r="C15" s="3017">
        <v>43941</v>
      </c>
      <c r="D15" s="3016">
        <v>3.85</v>
      </c>
      <c r="E15" s="3016">
        <v>3.85</v>
      </c>
      <c r="F15" s="3016">
        <v>3.85</v>
      </c>
      <c r="G15" s="3016">
        <v>3.85</v>
      </c>
      <c r="H15" s="3016">
        <v>4.6500000000000004</v>
      </c>
      <c r="I15" s="3016"/>
      <c r="J15" s="3016"/>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6"/>
      <c r="C16" s="3017">
        <v>43881</v>
      </c>
      <c r="D16" s="3016">
        <v>4.05</v>
      </c>
      <c r="E16" s="3016">
        <v>4.05</v>
      </c>
      <c r="F16" s="3016">
        <v>4.05</v>
      </c>
      <c r="G16" s="3016">
        <v>4.05</v>
      </c>
      <c r="H16" s="3016">
        <v>4.75</v>
      </c>
      <c r="I16" s="3016"/>
      <c r="J16" s="3016"/>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6"/>
      <c r="C17" s="3017">
        <v>43789</v>
      </c>
      <c r="D17" s="3016">
        <v>4.1500000000000004</v>
      </c>
      <c r="E17" s="3016">
        <v>4.1500000000000004</v>
      </c>
      <c r="F17" s="3016">
        <v>4.1500000000000004</v>
      </c>
      <c r="G17" s="3016">
        <v>4.1500000000000004</v>
      </c>
      <c r="H17" s="3016">
        <v>4.8</v>
      </c>
      <c r="I17" s="3016"/>
      <c r="J17" s="3016"/>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3"/>
      <c r="B19" s="3015" t="s">
        <v>2997</v>
      </c>
      <c r="C19" s="3018">
        <v>43697</v>
      </c>
      <c r="D19" s="3019">
        <v>4.25</v>
      </c>
      <c r="E19" s="3019">
        <v>4.25</v>
      </c>
      <c r="F19" s="3019">
        <v>4.25</v>
      </c>
      <c r="G19" s="3019">
        <v>4.25</v>
      </c>
      <c r="H19" s="3019">
        <v>4.8499999999999996</v>
      </c>
      <c r="I19" s="3019"/>
      <c r="J19" s="3019"/>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2"/>
      <c r="B20" s="3023"/>
      <c r="C20" s="3024">
        <v>42301</v>
      </c>
      <c r="D20" s="3025">
        <v>4.3499999999999996</v>
      </c>
      <c r="E20" s="3025">
        <v>4.3499999999999996</v>
      </c>
      <c r="F20" s="3025">
        <v>4.75</v>
      </c>
      <c r="G20" s="3025">
        <v>4.75</v>
      </c>
      <c r="H20" s="3025">
        <v>4.9000000000000004</v>
      </c>
      <c r="I20" s="3025"/>
      <c r="J20" s="3025"/>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
  <sheetViews>
    <sheetView workbookViewId="0">
      <selection activeCell="A8" sqref="A8:XFD8"/>
    </sheetView>
  </sheetViews>
  <sheetFormatPr defaultRowHeight="13.5"/>
  <cols>
    <col min="1" max="1" width="30.625" customWidth="1"/>
    <col min="2" max="2" width="0" hidden="1" customWidth="1"/>
    <col min="7" max="7" width="0" hidden="1" customWidth="1"/>
    <col min="9" max="10" width="0" hidden="1" customWidth="1"/>
    <col min="15" max="17" width="0" hidden="1" customWidth="1"/>
    <col min="18" max="18" width="6.75" customWidth="1"/>
    <col min="19" max="19" width="11.625" customWidth="1"/>
  </cols>
  <sheetData>
    <row r="1" spans="1:25">
      <c r="A1" s="3206" t="s">
        <v>3153</v>
      </c>
      <c r="B1" s="3206" t="s">
        <v>3154</v>
      </c>
      <c r="C1" s="3206" t="s">
        <v>3155</v>
      </c>
      <c r="D1" s="3206" t="s">
        <v>3156</v>
      </c>
      <c r="E1" s="3206" t="s">
        <v>3157</v>
      </c>
      <c r="F1" s="3206" t="s">
        <v>3158</v>
      </c>
      <c r="G1" s="3206" t="s">
        <v>3159</v>
      </c>
      <c r="H1" s="3206" t="s">
        <v>3160</v>
      </c>
      <c r="I1" s="3206" t="s">
        <v>3161</v>
      </c>
      <c r="J1" s="3206" t="s">
        <v>3162</v>
      </c>
      <c r="K1" s="3206" t="s">
        <v>3163</v>
      </c>
      <c r="L1" s="3206" t="s">
        <v>3164</v>
      </c>
      <c r="M1" s="3206" t="s">
        <v>3165</v>
      </c>
      <c r="N1" s="3206" t="s">
        <v>3166</v>
      </c>
      <c r="O1" s="3206" t="s">
        <v>3167</v>
      </c>
      <c r="P1" s="3206" t="s">
        <v>3168</v>
      </c>
      <c r="Q1" s="3206" t="s">
        <v>3169</v>
      </c>
      <c r="S1" s="3211" t="s">
        <v>3235</v>
      </c>
      <c r="T1" s="3211" t="s">
        <v>3236</v>
      </c>
      <c r="U1" s="3211" t="s">
        <v>3237</v>
      </c>
      <c r="V1" s="3211" t="s">
        <v>3238</v>
      </c>
    </row>
    <row r="2" spans="1:25">
      <c r="A2" s="3206" t="s">
        <v>3170</v>
      </c>
      <c r="B2" s="3206" t="s">
        <v>3127</v>
      </c>
      <c r="C2" s="3206" t="s">
        <v>3137</v>
      </c>
      <c r="D2" s="3206">
        <v>13991.5</v>
      </c>
      <c r="E2" s="3206">
        <v>22386</v>
      </c>
      <c r="F2" s="3206" t="s">
        <v>3171</v>
      </c>
      <c r="G2" s="3206" t="s">
        <v>3172</v>
      </c>
      <c r="H2" s="3206" t="s">
        <v>3173</v>
      </c>
      <c r="I2" s="3206">
        <v>0</v>
      </c>
      <c r="J2" s="3206" t="s">
        <v>3174</v>
      </c>
      <c r="K2" s="3206" t="s">
        <v>3174</v>
      </c>
      <c r="L2" s="3206">
        <v>1811.03</v>
      </c>
      <c r="M2" s="3206">
        <v>1811.03</v>
      </c>
      <c r="N2" s="3206">
        <v>809</v>
      </c>
      <c r="O2" s="3206">
        <v>0</v>
      </c>
      <c r="P2" s="3206" t="s">
        <v>3175</v>
      </c>
      <c r="Q2" s="3206" t="s">
        <v>3176</v>
      </c>
      <c r="S2" s="3212"/>
      <c r="T2" s="3212"/>
      <c r="U2" s="3212"/>
      <c r="V2" s="3212"/>
    </row>
    <row r="3" spans="1:25" s="3216" customFormat="1">
      <c r="A3" s="3215" t="s">
        <v>3177</v>
      </c>
      <c r="B3" s="3215" t="s">
        <v>3127</v>
      </c>
      <c r="C3" s="3215" t="s">
        <v>3137</v>
      </c>
      <c r="D3" s="3215">
        <v>16627.21</v>
      </c>
      <c r="E3" s="3215">
        <v>29928.97</v>
      </c>
      <c r="F3" s="3215" t="s">
        <v>3178</v>
      </c>
      <c r="G3" s="3215" t="s">
        <v>3172</v>
      </c>
      <c r="H3" s="3215" t="s">
        <v>3173</v>
      </c>
      <c r="I3" s="3215">
        <v>0</v>
      </c>
      <c r="J3" s="3215" t="s">
        <v>3174</v>
      </c>
      <c r="K3" s="3215" t="s">
        <v>3174</v>
      </c>
      <c r="L3" s="3215">
        <v>5111.87</v>
      </c>
      <c r="M3" s="3215">
        <v>5111.87</v>
      </c>
      <c r="N3" s="3215">
        <v>1708</v>
      </c>
      <c r="O3" s="3215">
        <v>0</v>
      </c>
      <c r="P3" s="3215" t="s">
        <v>3179</v>
      </c>
      <c r="Q3" s="3215" t="s">
        <v>3176</v>
      </c>
      <c r="S3" s="3217">
        <f>年期修正系数!G10</f>
        <v>1.4649000000000001</v>
      </c>
      <c r="T3" s="3217">
        <f>ROUND(N3*S3,0)</f>
        <v>2502</v>
      </c>
      <c r="U3" s="3217">
        <f>容积率修正!J326</f>
        <v>0.74419999999999997</v>
      </c>
      <c r="V3" s="3217">
        <f>ROUND(T3/U3,0)</f>
        <v>3362</v>
      </c>
      <c r="W3" s="3216">
        <f>ROUND(V3*1.8*666.67/10000,0)</f>
        <v>403</v>
      </c>
      <c r="X3" s="3279" t="s">
        <v>3393</v>
      </c>
      <c r="Y3" s="3216">
        <f>V3*666.67/10000</f>
        <v>224.13445400000001</v>
      </c>
    </row>
    <row r="4" spans="1:25">
      <c r="A4" s="3206" t="s">
        <v>3180</v>
      </c>
      <c r="B4" s="3206" t="s">
        <v>3127</v>
      </c>
      <c r="C4" s="3206" t="s">
        <v>3137</v>
      </c>
      <c r="D4" s="3206">
        <v>7327.55</v>
      </c>
      <c r="E4" s="3206">
        <v>8060.31</v>
      </c>
      <c r="F4" s="3206" t="s">
        <v>3181</v>
      </c>
      <c r="G4" s="3206" t="s">
        <v>3172</v>
      </c>
      <c r="H4" s="3206" t="s">
        <v>3173</v>
      </c>
      <c r="I4" s="3206">
        <v>0</v>
      </c>
      <c r="J4" s="3206" t="s">
        <v>3182</v>
      </c>
      <c r="K4" s="3206" t="s">
        <v>3182</v>
      </c>
      <c r="L4" s="3206">
        <v>759.28</v>
      </c>
      <c r="M4" s="3206">
        <v>759.28</v>
      </c>
      <c r="N4" s="3206">
        <v>942</v>
      </c>
      <c r="O4" s="3206">
        <v>0</v>
      </c>
      <c r="P4" s="3206" t="s">
        <v>3183</v>
      </c>
      <c r="Q4" s="3206" t="s">
        <v>3176</v>
      </c>
      <c r="S4" s="3212"/>
      <c r="T4" s="3214"/>
      <c r="U4" s="3214"/>
      <c r="V4" s="3214"/>
      <c r="W4" s="3219"/>
    </row>
    <row r="5" spans="1:25">
      <c r="A5" s="3206" t="s">
        <v>3184</v>
      </c>
      <c r="B5" s="3206" t="s">
        <v>3127</v>
      </c>
      <c r="C5" s="3206" t="s">
        <v>3137</v>
      </c>
      <c r="D5" s="3206">
        <v>99235.68</v>
      </c>
      <c r="E5" s="3206">
        <v>99235.68</v>
      </c>
      <c r="F5" s="3206" t="s">
        <v>3185</v>
      </c>
      <c r="G5" s="3206" t="s">
        <v>3172</v>
      </c>
      <c r="H5" s="3206" t="s">
        <v>3173</v>
      </c>
      <c r="I5" s="3206">
        <v>0</v>
      </c>
      <c r="J5" s="3206" t="s">
        <v>3182</v>
      </c>
      <c r="K5" s="3206" t="s">
        <v>3182</v>
      </c>
      <c r="L5" s="3206">
        <v>9975.17</v>
      </c>
      <c r="M5" s="3206">
        <v>9975.17</v>
      </c>
      <c r="N5" s="3206">
        <v>1005.2</v>
      </c>
      <c r="O5" s="3206">
        <v>0</v>
      </c>
      <c r="P5" s="3206" t="s">
        <v>3186</v>
      </c>
      <c r="Q5" s="3206" t="s">
        <v>3176</v>
      </c>
      <c r="S5" s="3212"/>
      <c r="T5" s="3214"/>
      <c r="U5" s="3214"/>
      <c r="V5" s="3214"/>
      <c r="W5" s="3219"/>
    </row>
    <row r="6" spans="1:25" s="3219" customFormat="1">
      <c r="A6" s="3278" t="s">
        <v>3187</v>
      </c>
      <c r="B6" s="3278" t="s">
        <v>3127</v>
      </c>
      <c r="C6" s="3278" t="s">
        <v>3137</v>
      </c>
      <c r="D6" s="3278">
        <v>43490.16</v>
      </c>
      <c r="E6" s="3278">
        <v>69584.259999999995</v>
      </c>
      <c r="F6" s="3278" t="s">
        <v>3188</v>
      </c>
      <c r="G6" s="3278" t="s">
        <v>3172</v>
      </c>
      <c r="H6" s="3278" t="s">
        <v>3173</v>
      </c>
      <c r="I6" s="3278">
        <v>0</v>
      </c>
      <c r="J6" s="3278" t="s">
        <v>3189</v>
      </c>
      <c r="K6" s="3278" t="s">
        <v>3189</v>
      </c>
      <c r="L6" s="3278">
        <v>3931.51</v>
      </c>
      <c r="M6" s="3278">
        <v>3931.51</v>
      </c>
      <c r="N6" s="3278">
        <v>565</v>
      </c>
      <c r="O6" s="3278">
        <v>0</v>
      </c>
      <c r="P6" s="3278" t="s">
        <v>3190</v>
      </c>
      <c r="Q6" s="3278" t="s">
        <v>3176</v>
      </c>
      <c r="S6" s="3214">
        <f>S3</f>
        <v>1.4649000000000001</v>
      </c>
      <c r="T6" s="3214">
        <f t="shared" ref="T6:T16" si="0">ROUND(N6*S6,0)</f>
        <v>828</v>
      </c>
      <c r="U6" s="3214">
        <f>基准地价修正!S25</f>
        <v>0.78100000000000003</v>
      </c>
      <c r="V6" s="3214">
        <f>ROUND(T6/U6,0)</f>
        <v>1060</v>
      </c>
      <c r="W6" s="3219">
        <f>ROUND(V6*1.6*666.67/10000,0)</f>
        <v>113</v>
      </c>
    </row>
    <row r="7" spans="1:25">
      <c r="A7" s="3206" t="s">
        <v>3191</v>
      </c>
      <c r="B7" s="3206" t="s">
        <v>3127</v>
      </c>
      <c r="C7" s="3206" t="s">
        <v>3137</v>
      </c>
      <c r="D7" s="3206">
        <v>100000</v>
      </c>
      <c r="E7" s="3206">
        <v>200000</v>
      </c>
      <c r="F7" s="3206" t="s">
        <v>3192</v>
      </c>
      <c r="G7" s="3206" t="s">
        <v>3172</v>
      </c>
      <c r="H7" s="3206" t="s">
        <v>3193</v>
      </c>
      <c r="I7" s="3206">
        <v>0</v>
      </c>
      <c r="J7" s="3206" t="s">
        <v>3194</v>
      </c>
      <c r="K7" s="3206" t="s">
        <v>3194</v>
      </c>
      <c r="L7" s="3206">
        <v>13020</v>
      </c>
      <c r="M7" s="3206">
        <v>13020</v>
      </c>
      <c r="N7" s="3206">
        <v>651</v>
      </c>
      <c r="O7" s="3206">
        <v>0</v>
      </c>
      <c r="P7" s="3206" t="s">
        <v>3195</v>
      </c>
      <c r="Q7" s="3206" t="s">
        <v>3176</v>
      </c>
      <c r="S7" s="3212"/>
      <c r="T7" s="3214"/>
      <c r="U7" s="3214"/>
      <c r="V7" s="3214"/>
      <c r="W7" s="3219"/>
    </row>
    <row r="8" spans="1:25" s="3216" customFormat="1">
      <c r="A8" s="3215" t="s">
        <v>3196</v>
      </c>
      <c r="B8" s="3215" t="s">
        <v>3127</v>
      </c>
      <c r="C8" s="3215" t="s">
        <v>3137</v>
      </c>
      <c r="D8" s="3215">
        <v>45953.52</v>
      </c>
      <c r="E8" s="3215">
        <v>55144</v>
      </c>
      <c r="F8" s="3215" t="s">
        <v>3197</v>
      </c>
      <c r="G8" s="3215" t="s">
        <v>3172</v>
      </c>
      <c r="H8" s="3215" t="s">
        <v>3198</v>
      </c>
      <c r="I8" s="3215">
        <v>0</v>
      </c>
      <c r="J8" s="3215" t="s">
        <v>3199</v>
      </c>
      <c r="K8" s="3215" t="s">
        <v>3199</v>
      </c>
      <c r="L8" s="3215">
        <v>9213.09</v>
      </c>
      <c r="M8" s="3215">
        <v>9213.09</v>
      </c>
      <c r="N8" s="3215">
        <v>1670.73</v>
      </c>
      <c r="O8" s="3215">
        <v>0</v>
      </c>
      <c r="P8" s="3215" t="s">
        <v>3200</v>
      </c>
      <c r="Q8" s="3215" t="s">
        <v>3201</v>
      </c>
      <c r="S8" s="3217">
        <f>S3</f>
        <v>1.4649000000000001</v>
      </c>
      <c r="T8" s="3217">
        <f>ROUND(N8*S8,0)</f>
        <v>2447</v>
      </c>
      <c r="U8" s="3217">
        <f>基准地价修正!S24</f>
        <v>0.88890000000000002</v>
      </c>
      <c r="V8" s="3217">
        <f>ROUND(T8/U8,0)</f>
        <v>2753</v>
      </c>
      <c r="W8" s="3216">
        <f>ROUND(V8*1.2*666.67/10000,0)</f>
        <v>220</v>
      </c>
      <c r="X8" s="3279" t="s">
        <v>3394</v>
      </c>
      <c r="Y8" s="3216">
        <f>V8*666.67/10000</f>
        <v>183.53425099999998</v>
      </c>
    </row>
    <row r="9" spans="1:25" s="3219" customFormat="1">
      <c r="A9" s="3278" t="s">
        <v>3202</v>
      </c>
      <c r="B9" s="3278" t="s">
        <v>3127</v>
      </c>
      <c r="C9" s="3278" t="s">
        <v>3137</v>
      </c>
      <c r="D9" s="3278">
        <v>16189.08</v>
      </c>
      <c r="E9" s="3278">
        <v>32378.16</v>
      </c>
      <c r="F9" s="3278" t="s">
        <v>3203</v>
      </c>
      <c r="G9" s="3278" t="s">
        <v>3172</v>
      </c>
      <c r="H9" s="3278" t="s">
        <v>3198</v>
      </c>
      <c r="I9" s="3278">
        <v>0</v>
      </c>
      <c r="J9" s="3278" t="s">
        <v>3204</v>
      </c>
      <c r="K9" s="3278" t="s">
        <v>3204</v>
      </c>
      <c r="L9" s="3278">
        <v>2246.2600000000002</v>
      </c>
      <c r="M9" s="3278">
        <v>2246.2600000000002</v>
      </c>
      <c r="N9" s="3278">
        <v>693.76</v>
      </c>
      <c r="O9" s="3278">
        <v>0</v>
      </c>
      <c r="P9" s="3278" t="s">
        <v>3205</v>
      </c>
      <c r="Q9" s="3278" t="s">
        <v>3206</v>
      </c>
      <c r="S9" s="3214">
        <f>S3</f>
        <v>1.4649000000000001</v>
      </c>
      <c r="T9" s="3214">
        <f t="shared" si="0"/>
        <v>1016</v>
      </c>
      <c r="U9" s="3214">
        <f>基准地价修正!S27</f>
        <v>0.71160000000000001</v>
      </c>
      <c r="V9" s="3214">
        <f>ROUND(T9/U9,0)</f>
        <v>1428</v>
      </c>
      <c r="W9" s="3219">
        <f>ROUND(V9*2*666.67/10000,0)</f>
        <v>190</v>
      </c>
    </row>
    <row r="10" spans="1:25" s="3219" customFormat="1">
      <c r="A10" s="3278" t="s">
        <v>3207</v>
      </c>
      <c r="B10" s="3278" t="s">
        <v>3127</v>
      </c>
      <c r="C10" s="3278" t="s">
        <v>3137</v>
      </c>
      <c r="D10" s="3278">
        <v>10002.61</v>
      </c>
      <c r="E10" s="3278">
        <v>20005.22</v>
      </c>
      <c r="F10" s="3278" t="s">
        <v>3203</v>
      </c>
      <c r="G10" s="3278" t="s">
        <v>3172</v>
      </c>
      <c r="H10" s="3278" t="s">
        <v>3208</v>
      </c>
      <c r="I10" s="3278">
        <v>0</v>
      </c>
      <c r="J10" s="3278" t="s">
        <v>3209</v>
      </c>
      <c r="K10" s="3278" t="s">
        <v>3209</v>
      </c>
      <c r="L10" s="3278">
        <v>1039.07</v>
      </c>
      <c r="M10" s="3278">
        <v>1039.07</v>
      </c>
      <c r="N10" s="3278">
        <v>519.4</v>
      </c>
      <c r="O10" s="3278">
        <v>0</v>
      </c>
      <c r="P10" s="3278" t="s">
        <v>3210</v>
      </c>
      <c r="Q10" s="3278" t="s">
        <v>3206</v>
      </c>
      <c r="S10" s="3214">
        <f>S3</f>
        <v>1.4649000000000001</v>
      </c>
      <c r="T10" s="3214">
        <f t="shared" si="0"/>
        <v>761</v>
      </c>
      <c r="U10" s="3214">
        <f>U9</f>
        <v>0.71160000000000001</v>
      </c>
      <c r="V10" s="3214">
        <f>ROUND(T10/U10,0)</f>
        <v>1069</v>
      </c>
      <c r="W10" s="3219">
        <f>ROUND(V10*2*666.67/10000,0)</f>
        <v>143</v>
      </c>
    </row>
    <row r="11" spans="1:25">
      <c r="A11" s="3206" t="s">
        <v>3211</v>
      </c>
      <c r="B11" s="3206" t="s">
        <v>3127</v>
      </c>
      <c r="C11" s="3206" t="s">
        <v>3137</v>
      </c>
      <c r="D11" s="3206">
        <v>30231.14</v>
      </c>
      <c r="E11" s="3206">
        <v>30231.14</v>
      </c>
      <c r="F11" s="3206" t="s">
        <v>3212</v>
      </c>
      <c r="G11" s="3206" t="s">
        <v>3172</v>
      </c>
      <c r="H11" s="3206" t="s">
        <v>3213</v>
      </c>
      <c r="I11" s="3206">
        <v>0</v>
      </c>
      <c r="J11" s="3206" t="s">
        <v>3214</v>
      </c>
      <c r="K11" s="3206" t="s">
        <v>3214</v>
      </c>
      <c r="L11" s="3206">
        <v>2817.03</v>
      </c>
      <c r="M11" s="3206">
        <v>2817.03</v>
      </c>
      <c r="N11" s="3206">
        <v>931.83</v>
      </c>
      <c r="O11" s="3206">
        <v>0</v>
      </c>
      <c r="P11" s="3206" t="s">
        <v>3215</v>
      </c>
      <c r="Q11" s="3206" t="s">
        <v>3176</v>
      </c>
      <c r="S11" s="3212"/>
      <c r="T11" s="3214"/>
      <c r="U11" s="3214"/>
      <c r="V11" s="3214"/>
      <c r="W11" s="3219"/>
    </row>
    <row r="12" spans="1:25" s="3216" customFormat="1">
      <c r="A12" s="3215" t="s">
        <v>3216</v>
      </c>
      <c r="B12" s="3215" t="s">
        <v>3127</v>
      </c>
      <c r="C12" s="3215" t="s">
        <v>3137</v>
      </c>
      <c r="D12" s="3215">
        <v>19340</v>
      </c>
      <c r="E12" s="3215">
        <v>34812</v>
      </c>
      <c r="F12" s="3215" t="s">
        <v>3217</v>
      </c>
      <c r="G12" s="3215" t="s">
        <v>3172</v>
      </c>
      <c r="H12" s="3215" t="s">
        <v>3218</v>
      </c>
      <c r="I12" s="3215">
        <v>0</v>
      </c>
      <c r="J12" s="3215" t="s">
        <v>3219</v>
      </c>
      <c r="K12" s="3215" t="s">
        <v>3219</v>
      </c>
      <c r="L12" s="3215">
        <v>5764.87</v>
      </c>
      <c r="M12" s="3215">
        <v>5764.87</v>
      </c>
      <c r="N12" s="3215">
        <v>1656</v>
      </c>
      <c r="O12" s="3215">
        <v>0</v>
      </c>
      <c r="P12" s="3215" t="s">
        <v>3220</v>
      </c>
      <c r="Q12" s="3215" t="s">
        <v>3176</v>
      </c>
      <c r="S12" s="3217">
        <f>S3</f>
        <v>1.4649000000000001</v>
      </c>
      <c r="T12" s="3217">
        <f>ROUND(N12*S12,0)</f>
        <v>2426</v>
      </c>
      <c r="U12" s="3217">
        <f>U3</f>
        <v>0.74419999999999997</v>
      </c>
      <c r="V12" s="3217">
        <f>ROUND(T12/U12,0)</f>
        <v>3260</v>
      </c>
      <c r="W12" s="3216">
        <f>ROUND(V12*1.8*666.67/10000,0)</f>
        <v>391</v>
      </c>
      <c r="X12" s="3279" t="s">
        <v>3393</v>
      </c>
      <c r="Y12" s="3216">
        <f>V12*666.67/10000</f>
        <v>217.33441999999997</v>
      </c>
    </row>
    <row r="13" spans="1:25">
      <c r="A13" s="3206" t="s">
        <v>3221</v>
      </c>
      <c r="B13" s="3206" t="s">
        <v>3127</v>
      </c>
      <c r="C13" s="3206" t="s">
        <v>3137</v>
      </c>
      <c r="D13" s="3206">
        <v>34616.870000000003</v>
      </c>
      <c r="E13" s="3206">
        <v>34616.870000000003</v>
      </c>
      <c r="F13" s="3206">
        <v>1</v>
      </c>
      <c r="G13" s="3206" t="s">
        <v>3172</v>
      </c>
      <c r="H13" s="3206" t="s">
        <v>3137</v>
      </c>
      <c r="I13" s="3206">
        <v>0</v>
      </c>
      <c r="J13" s="3206" t="s">
        <v>3222</v>
      </c>
      <c r="K13" s="3206" t="s">
        <v>3222</v>
      </c>
      <c r="L13" s="3206">
        <v>3408.24</v>
      </c>
      <c r="M13" s="3206">
        <v>3408.24</v>
      </c>
      <c r="N13" s="3206">
        <v>984.56</v>
      </c>
      <c r="O13" s="3206">
        <v>0</v>
      </c>
      <c r="P13" s="3206" t="s">
        <v>3223</v>
      </c>
      <c r="Q13" s="3206" t="s">
        <v>3176</v>
      </c>
      <c r="S13" s="3212"/>
      <c r="T13" s="3214"/>
      <c r="U13" s="3214"/>
      <c r="V13" s="3214"/>
      <c r="W13" s="3219"/>
    </row>
    <row r="14" spans="1:25" s="3208" customFormat="1">
      <c r="A14" s="3207" t="s">
        <v>3224</v>
      </c>
      <c r="B14" s="3207" t="s">
        <v>3127</v>
      </c>
      <c r="C14" s="3207" t="s">
        <v>3137</v>
      </c>
      <c r="D14" s="3207">
        <v>16697.47</v>
      </c>
      <c r="E14" s="3207">
        <v>30055</v>
      </c>
      <c r="F14" s="3207">
        <v>1.8</v>
      </c>
      <c r="G14" s="3207" t="s">
        <v>3172</v>
      </c>
      <c r="H14" s="3207" t="s">
        <v>3225</v>
      </c>
      <c r="I14" s="3207">
        <v>0</v>
      </c>
      <c r="J14" s="3207" t="s">
        <v>3226</v>
      </c>
      <c r="K14" s="3207" t="s">
        <v>3226</v>
      </c>
      <c r="L14" s="3207">
        <v>4977.1099999999997</v>
      </c>
      <c r="M14" s="3207">
        <v>4977.1099999999997</v>
      </c>
      <c r="N14" s="3207">
        <v>1656</v>
      </c>
      <c r="O14" s="3207">
        <v>0</v>
      </c>
      <c r="P14" s="3207" t="s">
        <v>3227</v>
      </c>
      <c r="Q14" s="3207" t="s">
        <v>3176</v>
      </c>
      <c r="S14" s="3213">
        <f>S3</f>
        <v>1.4649000000000001</v>
      </c>
      <c r="T14" s="3213">
        <f t="shared" si="0"/>
        <v>2426</v>
      </c>
      <c r="U14" s="3213">
        <f>U12</f>
        <v>0.74419999999999997</v>
      </c>
      <c r="V14" s="3213">
        <f>ROUND(T14/U14,0)</f>
        <v>3260</v>
      </c>
      <c r="W14" s="3208">
        <f>ROUND(V14*1.8*666.67/10000,0)</f>
        <v>391</v>
      </c>
      <c r="X14" s="3280" t="s">
        <v>3395</v>
      </c>
      <c r="Y14" s="3208">
        <f>V14*666.67/10000</f>
        <v>217.33441999999997</v>
      </c>
    </row>
    <row r="15" spans="1:25">
      <c r="A15" s="3206" t="s">
        <v>3228</v>
      </c>
      <c r="B15" s="3206" t="s">
        <v>3127</v>
      </c>
      <c r="C15" s="3206" t="s">
        <v>3137</v>
      </c>
      <c r="D15" s="3206">
        <v>46618.33</v>
      </c>
      <c r="E15" s="3206">
        <v>93237</v>
      </c>
      <c r="F15" s="3206">
        <v>2</v>
      </c>
      <c r="G15" s="3206" t="s">
        <v>3172</v>
      </c>
      <c r="H15" s="3206" t="s">
        <v>3225</v>
      </c>
      <c r="I15" s="3206">
        <v>0</v>
      </c>
      <c r="J15" s="3206" t="s">
        <v>3229</v>
      </c>
      <c r="K15" s="3206" t="s">
        <v>3229</v>
      </c>
      <c r="L15" s="3206">
        <v>16204.59</v>
      </c>
      <c r="M15" s="3206">
        <v>16204.59</v>
      </c>
      <c r="N15" s="3206">
        <v>1738</v>
      </c>
      <c r="O15" s="3206">
        <v>0</v>
      </c>
      <c r="P15" s="3206" t="s">
        <v>3230</v>
      </c>
      <c r="Q15" s="3206" t="s">
        <v>3176</v>
      </c>
      <c r="S15" s="3212"/>
      <c r="T15" s="3214"/>
      <c r="U15" s="3214"/>
      <c r="V15" s="3214"/>
      <c r="W15" s="3219"/>
    </row>
    <row r="16" spans="1:25" s="3208" customFormat="1">
      <c r="A16" s="3207" t="s">
        <v>3231</v>
      </c>
      <c r="B16" s="3207" t="s">
        <v>3127</v>
      </c>
      <c r="C16" s="3207" t="s">
        <v>3137</v>
      </c>
      <c r="D16" s="3207">
        <v>8700</v>
      </c>
      <c r="E16" s="3207">
        <v>15660</v>
      </c>
      <c r="F16" s="3207">
        <v>1.8</v>
      </c>
      <c r="G16" s="3207" t="s">
        <v>3172</v>
      </c>
      <c r="H16" s="3207" t="s">
        <v>3225</v>
      </c>
      <c r="I16" s="3207">
        <v>0</v>
      </c>
      <c r="J16" s="3207" t="s">
        <v>3229</v>
      </c>
      <c r="K16" s="3207" t="s">
        <v>3229</v>
      </c>
      <c r="L16" s="3207">
        <v>2593.3000000000002</v>
      </c>
      <c r="M16" s="3207">
        <v>2593.3000000000002</v>
      </c>
      <c r="N16" s="3207">
        <v>1656</v>
      </c>
      <c r="O16" s="3207">
        <v>0</v>
      </c>
      <c r="P16" s="3207" t="s">
        <v>3232</v>
      </c>
      <c r="Q16" s="3207" t="s">
        <v>3176</v>
      </c>
      <c r="S16" s="3213">
        <f>S3</f>
        <v>1.4649000000000001</v>
      </c>
      <c r="T16" s="3213">
        <f t="shared" si="0"/>
        <v>2426</v>
      </c>
      <c r="U16" s="3213">
        <f>U14</f>
        <v>0.74419999999999997</v>
      </c>
      <c r="V16" s="3213">
        <f>ROUND(T16/U16,0)</f>
        <v>3260</v>
      </c>
      <c r="W16" s="3208">
        <f>ROUND(V16*1.8*666.67/10000,0)</f>
        <v>391</v>
      </c>
      <c r="X16" s="3280" t="s">
        <v>3395</v>
      </c>
      <c r="Y16" s="3208">
        <f>V16*666.67/10000</f>
        <v>217.33441999999997</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8"/>
  <sheetViews>
    <sheetView workbookViewId="0">
      <selection activeCell="J8" sqref="J8"/>
    </sheetView>
  </sheetViews>
  <sheetFormatPr defaultRowHeight="13.5"/>
  <sheetData>
    <row r="5" spans="4:10">
      <c r="E5" s="3231" t="s">
        <v>3264</v>
      </c>
      <c r="F5" s="3231" t="s">
        <v>3269</v>
      </c>
      <c r="G5" s="3231" t="s">
        <v>3265</v>
      </c>
      <c r="H5" s="3231" t="s">
        <v>3269</v>
      </c>
      <c r="I5" s="3231" t="s">
        <v>3268</v>
      </c>
      <c r="J5" s="3231" t="s">
        <v>3270</v>
      </c>
    </row>
    <row r="6" spans="4:10">
      <c r="D6" s="3231" t="s">
        <v>3263</v>
      </c>
      <c r="E6">
        <f>'土地比较法-工业'!B2</f>
        <v>4668</v>
      </c>
      <c r="F6" s="3232">
        <v>0.7</v>
      </c>
      <c r="G6">
        <f>基准地价修正!B2</f>
        <v>1539</v>
      </c>
      <c r="H6" s="3232">
        <f>1-F6</f>
        <v>0.30000000000000004</v>
      </c>
      <c r="J6">
        <f>ROUND(E6*F6+G6*H6,0)</f>
        <v>3729</v>
      </c>
    </row>
    <row r="7" spans="4:10">
      <c r="D7" s="3231" t="s">
        <v>3267</v>
      </c>
      <c r="I7">
        <f ca="1">成本法!C51</f>
        <v>1000</v>
      </c>
      <c r="J7">
        <f ca="1">I7</f>
        <v>1000</v>
      </c>
    </row>
    <row r="8" spans="4:10">
      <c r="J8">
        <f ca="1">J6+J7</f>
        <v>4729</v>
      </c>
    </row>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
  <sheetViews>
    <sheetView workbookViewId="0">
      <selection activeCell="N8" sqref="N8"/>
    </sheetView>
  </sheetViews>
  <sheetFormatPr defaultColWidth="8.875" defaultRowHeight="10.5"/>
  <cols>
    <col min="1" max="1" width="17.125" style="3236" customWidth="1"/>
    <col min="2" max="2" width="21" style="3236" customWidth="1"/>
    <col min="3" max="20" width="9.75" style="3236" customWidth="1"/>
    <col min="21" max="16384" width="8.875" style="3236"/>
  </cols>
  <sheetData>
    <row r="1" spans="1:19">
      <c r="A1" s="3235" t="s">
        <v>3153</v>
      </c>
      <c r="B1" s="3235" t="s">
        <v>3271</v>
      </c>
      <c r="C1" s="3235" t="s">
        <v>3272</v>
      </c>
      <c r="D1" s="3235" t="s">
        <v>3155</v>
      </c>
      <c r="E1" s="3235" t="s">
        <v>3273</v>
      </c>
      <c r="F1" s="3235" t="s">
        <v>3274</v>
      </c>
      <c r="G1" s="3235" t="s">
        <v>3158</v>
      </c>
      <c r="H1" s="3235" t="s">
        <v>3159</v>
      </c>
      <c r="I1" s="3235" t="s">
        <v>3160</v>
      </c>
      <c r="J1" s="3235" t="s">
        <v>3161</v>
      </c>
      <c r="K1" s="3235" t="s">
        <v>3163</v>
      </c>
      <c r="L1" s="3235" t="s">
        <v>3168</v>
      </c>
      <c r="M1" s="3235" t="s">
        <v>3275</v>
      </c>
      <c r="N1" s="3235" t="s">
        <v>3276</v>
      </c>
      <c r="O1" s="3235" t="s">
        <v>3277</v>
      </c>
      <c r="P1" s="3235" t="s">
        <v>3167</v>
      </c>
      <c r="Q1" s="3235" t="s">
        <v>3278</v>
      </c>
      <c r="R1" s="3235" t="s">
        <v>3279</v>
      </c>
      <c r="S1" s="3235" t="s">
        <v>3280</v>
      </c>
    </row>
    <row r="2" spans="1:19">
      <c r="A2" s="3235" t="s">
        <v>3281</v>
      </c>
      <c r="B2" s="3235" t="s">
        <v>3282</v>
      </c>
      <c r="C2" s="3235" t="s">
        <v>3283</v>
      </c>
      <c r="D2" s="3235" t="s">
        <v>3284</v>
      </c>
      <c r="E2" s="3235">
        <v>13991.5</v>
      </c>
      <c r="F2" s="3235">
        <v>22386</v>
      </c>
      <c r="G2" s="3235" t="s">
        <v>3285</v>
      </c>
      <c r="H2" s="3235" t="s">
        <v>3286</v>
      </c>
      <c r="I2" s="3235" t="s">
        <v>3287</v>
      </c>
      <c r="J2" s="3235" t="s">
        <v>3288</v>
      </c>
      <c r="K2" s="3237">
        <v>44446.000497685185</v>
      </c>
      <c r="L2" s="3235" t="s">
        <v>3289</v>
      </c>
      <c r="M2" s="3235">
        <v>1811.03</v>
      </c>
      <c r="N2" s="3235">
        <v>86.29</v>
      </c>
      <c r="O2" s="3235">
        <v>809</v>
      </c>
      <c r="P2" s="3235">
        <v>0</v>
      </c>
      <c r="Q2" s="3235" t="s">
        <v>3290</v>
      </c>
      <c r="R2" s="3235" t="s">
        <v>3291</v>
      </c>
      <c r="S2" s="3235" t="s">
        <v>3291</v>
      </c>
    </row>
    <row r="3" spans="1:19">
      <c r="A3" s="3235" t="s">
        <v>3292</v>
      </c>
      <c r="B3" s="3235" t="s">
        <v>3293</v>
      </c>
      <c r="C3" s="3235" t="s">
        <v>3283</v>
      </c>
      <c r="D3" s="3235" t="s">
        <v>3284</v>
      </c>
      <c r="E3" s="3235">
        <v>16627.21</v>
      </c>
      <c r="F3" s="3235">
        <v>29928.97</v>
      </c>
      <c r="G3" s="3235" t="s">
        <v>3294</v>
      </c>
      <c r="H3" s="3235" t="s">
        <v>3286</v>
      </c>
      <c r="I3" s="3235" t="s">
        <v>3287</v>
      </c>
      <c r="J3" s="3235" t="s">
        <v>3288</v>
      </c>
      <c r="K3" s="3237">
        <v>44446.000497685185</v>
      </c>
      <c r="L3" s="3235" t="s">
        <v>3295</v>
      </c>
      <c r="M3" s="3235">
        <v>5111.87</v>
      </c>
      <c r="N3" s="3235">
        <v>204.96</v>
      </c>
      <c r="O3" s="3235">
        <v>1708</v>
      </c>
      <c r="P3" s="3235">
        <v>0</v>
      </c>
      <c r="Q3" s="3235" t="s">
        <v>3290</v>
      </c>
      <c r="R3" s="3235" t="s">
        <v>3291</v>
      </c>
      <c r="S3" s="3235" t="s">
        <v>3291</v>
      </c>
    </row>
    <row r="4" spans="1:19">
      <c r="A4" s="3235" t="s">
        <v>3296</v>
      </c>
      <c r="B4" s="3235" t="s">
        <v>3297</v>
      </c>
      <c r="C4" s="3235" t="s">
        <v>3298</v>
      </c>
      <c r="D4" s="3235" t="s">
        <v>3284</v>
      </c>
      <c r="E4" s="3235">
        <v>7327.55</v>
      </c>
      <c r="F4" s="3235">
        <v>8060.31</v>
      </c>
      <c r="G4" s="3235" t="s">
        <v>3299</v>
      </c>
      <c r="H4" s="3235" t="s">
        <v>3286</v>
      </c>
      <c r="I4" s="3235" t="s">
        <v>3287</v>
      </c>
      <c r="J4" s="3235" t="s">
        <v>3288</v>
      </c>
      <c r="K4" s="3237">
        <v>44419.000497685185</v>
      </c>
      <c r="L4" s="3235" t="s">
        <v>3300</v>
      </c>
      <c r="M4" s="3235">
        <v>759.28</v>
      </c>
      <c r="N4" s="3235">
        <v>69.08</v>
      </c>
      <c r="O4" s="3235">
        <v>942</v>
      </c>
      <c r="P4" s="3235">
        <v>0</v>
      </c>
      <c r="Q4" s="3235" t="s">
        <v>3290</v>
      </c>
      <c r="R4" s="3235" t="s">
        <v>3291</v>
      </c>
      <c r="S4" s="3235" t="s">
        <v>3291</v>
      </c>
    </row>
    <row r="5" spans="1:19">
      <c r="A5" s="3235" t="s">
        <v>3301</v>
      </c>
      <c r="B5" s="3235" t="s">
        <v>3302</v>
      </c>
      <c r="C5" s="3235" t="s">
        <v>3298</v>
      </c>
      <c r="D5" s="3235" t="s">
        <v>3284</v>
      </c>
      <c r="E5" s="3235">
        <v>99235.68</v>
      </c>
      <c r="F5" s="3235">
        <v>99235.68</v>
      </c>
      <c r="G5" s="3235" t="s">
        <v>3303</v>
      </c>
      <c r="H5" s="3235" t="s">
        <v>3286</v>
      </c>
      <c r="I5" s="3235" t="s">
        <v>3287</v>
      </c>
      <c r="J5" s="3235" t="s">
        <v>3288</v>
      </c>
      <c r="K5" s="3237">
        <v>44419.000497685185</v>
      </c>
      <c r="L5" s="3235" t="s">
        <v>3304</v>
      </c>
      <c r="M5" s="3235">
        <v>9975.17</v>
      </c>
      <c r="N5" s="3235">
        <v>67.010000000000005</v>
      </c>
      <c r="O5" s="3235">
        <v>1005</v>
      </c>
      <c r="P5" s="3235">
        <v>0</v>
      </c>
      <c r="Q5" s="3235" t="s">
        <v>3290</v>
      </c>
      <c r="R5" s="3235" t="s">
        <v>3291</v>
      </c>
      <c r="S5" s="3235" t="s">
        <v>3291</v>
      </c>
    </row>
    <row r="6" spans="1:19">
      <c r="A6" s="3235" t="s">
        <v>3305</v>
      </c>
      <c r="B6" s="3235" t="s">
        <v>3306</v>
      </c>
      <c r="C6" s="3235" t="s">
        <v>3307</v>
      </c>
      <c r="D6" s="3235" t="s">
        <v>3284</v>
      </c>
      <c r="E6" s="3235">
        <v>43490.16</v>
      </c>
      <c r="F6" s="3235">
        <v>69584.259999999995</v>
      </c>
      <c r="G6" s="3235" t="s">
        <v>3308</v>
      </c>
      <c r="H6" s="3235" t="s">
        <v>3286</v>
      </c>
      <c r="I6" s="3235" t="s">
        <v>3287</v>
      </c>
      <c r="J6" s="3235" t="s">
        <v>3288</v>
      </c>
      <c r="K6" s="3237">
        <v>44308.000497685185</v>
      </c>
      <c r="L6" s="3235" t="s">
        <v>3309</v>
      </c>
      <c r="M6" s="3235">
        <v>3931.51</v>
      </c>
      <c r="N6" s="3235">
        <v>60.27</v>
      </c>
      <c r="O6" s="3235">
        <v>565</v>
      </c>
      <c r="P6" s="3235">
        <v>0</v>
      </c>
      <c r="Q6" s="3235" t="s">
        <v>3290</v>
      </c>
      <c r="R6" s="3235" t="s">
        <v>3291</v>
      </c>
      <c r="S6" s="3235" t="s">
        <v>3291</v>
      </c>
    </row>
    <row r="7" spans="1:19">
      <c r="A7" s="3235" t="s">
        <v>3310</v>
      </c>
      <c r="B7" s="3235" t="s">
        <v>3311</v>
      </c>
      <c r="C7" s="3235" t="s">
        <v>3283</v>
      </c>
      <c r="D7" s="3235" t="s">
        <v>3284</v>
      </c>
      <c r="E7" s="3235">
        <v>100000</v>
      </c>
      <c r="F7" s="3235">
        <v>200000</v>
      </c>
      <c r="G7" s="3235" t="s">
        <v>3312</v>
      </c>
      <c r="H7" s="3235" t="s">
        <v>3286</v>
      </c>
      <c r="I7" s="3235" t="s">
        <v>3313</v>
      </c>
      <c r="J7" s="3235" t="s">
        <v>3288</v>
      </c>
      <c r="K7" s="3237">
        <v>44307.000497685185</v>
      </c>
      <c r="L7" s="3235" t="s">
        <v>3314</v>
      </c>
      <c r="M7" s="3235">
        <v>13020</v>
      </c>
      <c r="N7" s="3235">
        <v>86.8</v>
      </c>
      <c r="O7" s="3235">
        <v>651</v>
      </c>
      <c r="P7" s="3235">
        <v>0</v>
      </c>
      <c r="Q7" s="3235" t="s">
        <v>3290</v>
      </c>
      <c r="R7" s="3235" t="s">
        <v>3291</v>
      </c>
      <c r="S7" s="3235" t="s">
        <v>3291</v>
      </c>
    </row>
    <row r="8" spans="1:19" s="3287" customFormat="1">
      <c r="A8" s="3285" t="s">
        <v>3315</v>
      </c>
      <c r="B8" s="3285" t="s">
        <v>3316</v>
      </c>
      <c r="C8" s="3285" t="s">
        <v>3317</v>
      </c>
      <c r="D8" s="3285" t="s">
        <v>3284</v>
      </c>
      <c r="E8" s="3285">
        <v>45953.52</v>
      </c>
      <c r="F8" s="3285">
        <v>55144</v>
      </c>
      <c r="G8" s="3285" t="s">
        <v>3318</v>
      </c>
      <c r="H8" s="3285" t="s">
        <v>3286</v>
      </c>
      <c r="I8" s="3285" t="s">
        <v>3319</v>
      </c>
      <c r="J8" s="3285" t="s">
        <v>3288</v>
      </c>
      <c r="K8" s="3286">
        <v>44145.000497685185</v>
      </c>
      <c r="L8" s="3285" t="s">
        <v>3320</v>
      </c>
      <c r="M8" s="3285">
        <v>9213.09</v>
      </c>
      <c r="N8" s="3285">
        <v>133.66</v>
      </c>
      <c r="O8" s="3285">
        <v>1671</v>
      </c>
      <c r="P8" s="3285">
        <v>0</v>
      </c>
      <c r="Q8" s="3285" t="s">
        <v>3290</v>
      </c>
      <c r="R8" s="3285" t="s">
        <v>3291</v>
      </c>
      <c r="S8" s="3285" t="s">
        <v>3291</v>
      </c>
    </row>
    <row r="9" spans="1:19">
      <c r="A9" s="3235" t="s">
        <v>3321</v>
      </c>
      <c r="B9" s="3235" t="s">
        <v>3322</v>
      </c>
      <c r="C9" s="3235" t="s">
        <v>3307</v>
      </c>
      <c r="D9" s="3235" t="s">
        <v>3284</v>
      </c>
      <c r="E9" s="3235">
        <v>16189.08</v>
      </c>
      <c r="F9" s="3235">
        <v>32378.16</v>
      </c>
      <c r="G9" s="3235" t="s">
        <v>3323</v>
      </c>
      <c r="H9" s="3235" t="s">
        <v>3286</v>
      </c>
      <c r="I9" s="3235" t="s">
        <v>3319</v>
      </c>
      <c r="J9" s="3235" t="s">
        <v>3288</v>
      </c>
      <c r="K9" s="3237">
        <v>44119.000497685185</v>
      </c>
      <c r="L9" s="3235" t="s">
        <v>3324</v>
      </c>
      <c r="M9" s="3235">
        <v>2246.2600000000002</v>
      </c>
      <c r="N9" s="3235">
        <v>92.5</v>
      </c>
      <c r="O9" s="3235">
        <v>694</v>
      </c>
      <c r="P9" s="3235">
        <v>0</v>
      </c>
      <c r="Q9" s="3235" t="s">
        <v>3290</v>
      </c>
      <c r="R9" s="3235" t="s">
        <v>3291</v>
      </c>
      <c r="S9" s="3235" t="s">
        <v>3291</v>
      </c>
    </row>
    <row r="10" spans="1:19">
      <c r="A10" s="3235" t="s">
        <v>3325</v>
      </c>
      <c r="B10" s="3235" t="s">
        <v>3326</v>
      </c>
      <c r="C10" s="3235" t="s">
        <v>3307</v>
      </c>
      <c r="D10" s="3235" t="s">
        <v>3284</v>
      </c>
      <c r="E10" s="3235">
        <v>10002.61</v>
      </c>
      <c r="F10" s="3235">
        <v>20005.22</v>
      </c>
      <c r="G10" s="3235" t="s">
        <v>3323</v>
      </c>
      <c r="H10" s="3235" t="s">
        <v>3286</v>
      </c>
      <c r="I10" s="3235" t="s">
        <v>3327</v>
      </c>
      <c r="J10" s="3235" t="s">
        <v>3288</v>
      </c>
      <c r="K10" s="3237">
        <v>44041.000497685185</v>
      </c>
      <c r="L10" s="3235" t="s">
        <v>3328</v>
      </c>
      <c r="M10" s="3235">
        <v>1039.07</v>
      </c>
      <c r="N10" s="3235">
        <v>69.25</v>
      </c>
      <c r="O10" s="3235">
        <v>519</v>
      </c>
      <c r="P10" s="3235">
        <v>0</v>
      </c>
      <c r="Q10" s="3235" t="s">
        <v>3290</v>
      </c>
      <c r="R10" s="3235" t="s">
        <v>3291</v>
      </c>
      <c r="S10" s="3235" t="s">
        <v>3291</v>
      </c>
    </row>
    <row r="11" spans="1:19">
      <c r="A11" s="3235" t="s">
        <v>3329</v>
      </c>
      <c r="B11" s="3235" t="s">
        <v>3330</v>
      </c>
      <c r="C11" s="3235" t="s">
        <v>3298</v>
      </c>
      <c r="D11" s="3235" t="s">
        <v>3284</v>
      </c>
      <c r="E11" s="3235">
        <v>30231.14</v>
      </c>
      <c r="F11" s="3235">
        <v>30231.14</v>
      </c>
      <c r="G11" s="3235" t="s">
        <v>3331</v>
      </c>
      <c r="H11" s="3235" t="s">
        <v>3286</v>
      </c>
      <c r="I11" s="3235" t="s">
        <v>3332</v>
      </c>
      <c r="J11" s="3235" t="s">
        <v>3288</v>
      </c>
      <c r="K11" s="3237">
        <v>43878.000497685185</v>
      </c>
      <c r="L11" s="3235" t="s">
        <v>3333</v>
      </c>
      <c r="M11" s="3235">
        <v>2817.03</v>
      </c>
      <c r="N11" s="3235">
        <v>62.12</v>
      </c>
      <c r="O11" s="3235">
        <v>932</v>
      </c>
      <c r="P11" s="3235">
        <v>0</v>
      </c>
      <c r="Q11" s="3235" t="s">
        <v>3290</v>
      </c>
      <c r="R11" s="3235" t="s">
        <v>3291</v>
      </c>
      <c r="S11" s="3235" t="s">
        <v>3291</v>
      </c>
    </row>
    <row r="12" spans="1:19">
      <c r="A12" s="3235" t="s">
        <v>3334</v>
      </c>
      <c r="B12" s="3235" t="s">
        <v>3335</v>
      </c>
      <c r="C12" s="3235" t="s">
        <v>3283</v>
      </c>
      <c r="D12" s="3235" t="s">
        <v>3284</v>
      </c>
      <c r="E12" s="3235">
        <v>19340</v>
      </c>
      <c r="F12" s="3235">
        <v>34812</v>
      </c>
      <c r="G12" s="3235" t="s">
        <v>3336</v>
      </c>
      <c r="H12" s="3235" t="s">
        <v>3286</v>
      </c>
      <c r="I12" s="3235" t="s">
        <v>3337</v>
      </c>
      <c r="J12" s="3235" t="s">
        <v>3288</v>
      </c>
      <c r="K12" s="3237">
        <v>43873.000497685185</v>
      </c>
      <c r="L12" s="3235" t="s">
        <v>3338</v>
      </c>
      <c r="M12" s="3235">
        <v>5764.87</v>
      </c>
      <c r="N12" s="3235">
        <v>198.72</v>
      </c>
      <c r="O12" s="3235">
        <v>1656</v>
      </c>
      <c r="P12" s="3235">
        <v>0</v>
      </c>
      <c r="Q12" s="3235" t="s">
        <v>3290</v>
      </c>
      <c r="R12" s="3235" t="s">
        <v>3291</v>
      </c>
      <c r="S12" s="3235" t="s">
        <v>3291</v>
      </c>
    </row>
    <row r="13" spans="1:19">
      <c r="A13" s="3235" t="s">
        <v>3339</v>
      </c>
      <c r="B13" s="3235" t="s">
        <v>3340</v>
      </c>
      <c r="C13" s="3235" t="s">
        <v>3298</v>
      </c>
      <c r="D13" s="3235" t="s">
        <v>3284</v>
      </c>
      <c r="E13" s="3235">
        <v>34616.870000000003</v>
      </c>
      <c r="F13" s="3235">
        <v>34616.870000000003</v>
      </c>
      <c r="G13" s="3235">
        <v>1</v>
      </c>
      <c r="H13" s="3235" t="s">
        <v>3286</v>
      </c>
      <c r="I13" s="3235" t="s">
        <v>3284</v>
      </c>
      <c r="J13" s="3235" t="s">
        <v>3288</v>
      </c>
      <c r="K13" s="3237">
        <v>43797.000497685185</v>
      </c>
      <c r="L13" s="3235" t="s">
        <v>3341</v>
      </c>
      <c r="M13" s="3235">
        <v>3408.24</v>
      </c>
      <c r="N13" s="3235">
        <v>65.64</v>
      </c>
      <c r="O13" s="3235">
        <v>985</v>
      </c>
      <c r="P13" s="3235">
        <v>0</v>
      </c>
      <c r="Q13" s="3235" t="s">
        <v>3290</v>
      </c>
      <c r="R13" s="3235" t="s">
        <v>3291</v>
      </c>
      <c r="S13" s="3235" t="s">
        <v>3291</v>
      </c>
    </row>
    <row r="14" spans="1:19">
      <c r="A14" s="3235" t="s">
        <v>3342</v>
      </c>
      <c r="B14" s="3235" t="s">
        <v>3343</v>
      </c>
      <c r="C14" s="3235" t="s">
        <v>3283</v>
      </c>
      <c r="D14" s="3235" t="s">
        <v>3284</v>
      </c>
      <c r="E14" s="3235">
        <v>16697.47</v>
      </c>
      <c r="F14" s="3235">
        <v>30055</v>
      </c>
      <c r="G14" s="3235">
        <v>1.8</v>
      </c>
      <c r="H14" s="3235" t="s">
        <v>3286</v>
      </c>
      <c r="I14" s="3235" t="s">
        <v>3344</v>
      </c>
      <c r="J14" s="3235" t="s">
        <v>3288</v>
      </c>
      <c r="K14" s="3237">
        <v>43662.000497685185</v>
      </c>
      <c r="L14" s="3235" t="s">
        <v>3345</v>
      </c>
      <c r="M14" s="3235">
        <v>4977.1099999999997</v>
      </c>
      <c r="N14" s="3235">
        <v>198.72</v>
      </c>
      <c r="O14" s="3235">
        <v>1656</v>
      </c>
      <c r="P14" s="3235">
        <v>0</v>
      </c>
      <c r="Q14" s="3235">
        <v>20</v>
      </c>
      <c r="R14" s="3235" t="s">
        <v>3291</v>
      </c>
      <c r="S14" s="3235" t="s">
        <v>3291</v>
      </c>
    </row>
    <row r="15" spans="1:19">
      <c r="A15" s="3235" t="s">
        <v>3346</v>
      </c>
      <c r="B15" s="3235" t="s">
        <v>3347</v>
      </c>
      <c r="C15" s="3235" t="s">
        <v>3283</v>
      </c>
      <c r="D15" s="3235" t="s">
        <v>3284</v>
      </c>
      <c r="E15" s="3235">
        <v>46618.33</v>
      </c>
      <c r="F15" s="3235">
        <v>93237</v>
      </c>
      <c r="G15" s="3235">
        <v>2</v>
      </c>
      <c r="H15" s="3235" t="s">
        <v>3286</v>
      </c>
      <c r="I15" s="3235" t="s">
        <v>3344</v>
      </c>
      <c r="J15" s="3235" t="s">
        <v>3288</v>
      </c>
      <c r="K15" s="3237">
        <v>43577.000497685185</v>
      </c>
      <c r="L15" s="3235" t="s">
        <v>3348</v>
      </c>
      <c r="M15" s="3235">
        <v>16204.59</v>
      </c>
      <c r="N15" s="3235">
        <v>231.73</v>
      </c>
      <c r="O15" s="3235">
        <v>1738</v>
      </c>
      <c r="P15" s="3235">
        <v>0</v>
      </c>
      <c r="Q15" s="3235">
        <v>20</v>
      </c>
      <c r="R15" s="3235" t="s">
        <v>3291</v>
      </c>
      <c r="S15" s="3235" t="s">
        <v>3291</v>
      </c>
    </row>
    <row r="16" spans="1:19">
      <c r="A16" s="3235" t="s">
        <v>3349</v>
      </c>
      <c r="B16" s="3235" t="s">
        <v>3350</v>
      </c>
      <c r="C16" s="3235" t="s">
        <v>3283</v>
      </c>
      <c r="D16" s="3235" t="s">
        <v>3284</v>
      </c>
      <c r="E16" s="3235">
        <v>8700</v>
      </c>
      <c r="F16" s="3235">
        <v>15660</v>
      </c>
      <c r="G16" s="3235">
        <v>1.8</v>
      </c>
      <c r="H16" s="3235" t="s">
        <v>3286</v>
      </c>
      <c r="I16" s="3235" t="s">
        <v>3344</v>
      </c>
      <c r="J16" s="3235" t="s">
        <v>3288</v>
      </c>
      <c r="K16" s="3237">
        <v>43577.000497685185</v>
      </c>
      <c r="L16" s="3235" t="s">
        <v>3351</v>
      </c>
      <c r="M16" s="3235">
        <v>2593.3000000000002</v>
      </c>
      <c r="N16" s="3235">
        <v>198.72</v>
      </c>
      <c r="O16" s="3235">
        <v>1656</v>
      </c>
      <c r="P16" s="3235">
        <v>0</v>
      </c>
      <c r="Q16" s="3235">
        <v>20</v>
      </c>
      <c r="R16" s="3235" t="s">
        <v>3291</v>
      </c>
      <c r="S16" s="3235" t="s">
        <v>3291</v>
      </c>
    </row>
    <row r="17" spans="1:19">
      <c r="A17" s="3235" t="s">
        <v>3352</v>
      </c>
      <c r="B17" s="3235" t="s">
        <v>3353</v>
      </c>
      <c r="C17" s="3235" t="s">
        <v>3298</v>
      </c>
      <c r="D17" s="3235" t="s">
        <v>3284</v>
      </c>
      <c r="E17" s="3235">
        <v>17333.330000000002</v>
      </c>
      <c r="F17" s="3235">
        <v>17333</v>
      </c>
      <c r="G17" s="3235">
        <v>1</v>
      </c>
      <c r="H17" s="3235" t="s">
        <v>3286</v>
      </c>
      <c r="I17" s="3235" t="s">
        <v>3354</v>
      </c>
      <c r="J17" s="3235" t="s">
        <v>3288</v>
      </c>
      <c r="K17" s="3237">
        <v>43468.000497685185</v>
      </c>
      <c r="L17" s="3235" t="s">
        <v>3355</v>
      </c>
      <c r="M17" s="3235">
        <v>1659.76</v>
      </c>
      <c r="N17" s="3235">
        <v>63.84</v>
      </c>
      <c r="O17" s="3235">
        <v>958</v>
      </c>
      <c r="P17" s="3235">
        <v>0</v>
      </c>
      <c r="Q17" s="3235" t="s">
        <v>3290</v>
      </c>
      <c r="R17" s="3235" t="s">
        <v>3291</v>
      </c>
      <c r="S17" s="3235" t="s">
        <v>3291</v>
      </c>
    </row>
    <row r="18" spans="1:19">
      <c r="A18" s="3235" t="s">
        <v>3356</v>
      </c>
      <c r="B18" s="3235" t="s">
        <v>3357</v>
      </c>
      <c r="C18" s="3235" t="s">
        <v>3298</v>
      </c>
      <c r="D18" s="3235" t="s">
        <v>3284</v>
      </c>
      <c r="E18" s="3235">
        <v>17333.330000000002</v>
      </c>
      <c r="F18" s="3235">
        <v>17333</v>
      </c>
      <c r="G18" s="3235">
        <v>1</v>
      </c>
      <c r="H18" s="3235" t="s">
        <v>3286</v>
      </c>
      <c r="I18" s="3235" t="s">
        <v>3354</v>
      </c>
      <c r="J18" s="3235" t="s">
        <v>3288</v>
      </c>
      <c r="K18" s="3237">
        <v>43468.000497685185</v>
      </c>
      <c r="L18" s="3235" t="s">
        <v>3358</v>
      </c>
      <c r="M18" s="3235">
        <v>1658.02</v>
      </c>
      <c r="N18" s="3235">
        <v>63.77</v>
      </c>
      <c r="O18" s="3235">
        <v>957</v>
      </c>
      <c r="P18" s="3235">
        <v>0</v>
      </c>
      <c r="Q18" s="3235" t="s">
        <v>3290</v>
      </c>
      <c r="R18" s="3235" t="s">
        <v>3291</v>
      </c>
      <c r="S18" s="3235" t="s">
        <v>3291</v>
      </c>
    </row>
    <row r="19" spans="1:19">
      <c r="A19" s="3235" t="s">
        <v>3359</v>
      </c>
      <c r="B19" s="3235" t="s">
        <v>3360</v>
      </c>
      <c r="C19" s="3235" t="s">
        <v>3283</v>
      </c>
      <c r="D19" s="3235" t="s">
        <v>3284</v>
      </c>
      <c r="E19" s="3235">
        <v>4280.58</v>
      </c>
      <c r="F19" s="3235">
        <v>3424</v>
      </c>
      <c r="G19" s="3235">
        <v>0.8</v>
      </c>
      <c r="H19" s="3235" t="s">
        <v>3286</v>
      </c>
      <c r="I19" s="3235" t="s">
        <v>3319</v>
      </c>
      <c r="J19" s="3235" t="s">
        <v>3288</v>
      </c>
      <c r="K19" s="3237">
        <v>43094.000497685185</v>
      </c>
      <c r="L19" s="3235" t="s">
        <v>3361</v>
      </c>
      <c r="M19" s="3235">
        <v>642.09</v>
      </c>
      <c r="N19" s="3235">
        <v>100</v>
      </c>
      <c r="O19" s="3235">
        <v>1875</v>
      </c>
      <c r="P19" s="3235">
        <v>0</v>
      </c>
      <c r="Q19" s="3235" t="s">
        <v>3362</v>
      </c>
      <c r="R19" s="3235" t="s">
        <v>3291</v>
      </c>
      <c r="S19" s="3235" t="s">
        <v>3291</v>
      </c>
    </row>
    <row r="20" spans="1:19">
      <c r="A20" s="3235" t="s">
        <v>3363</v>
      </c>
      <c r="B20" s="3235" t="s">
        <v>3364</v>
      </c>
      <c r="C20" s="3235" t="s">
        <v>3283</v>
      </c>
      <c r="D20" s="3235" t="s">
        <v>3284</v>
      </c>
      <c r="E20" s="3235">
        <v>31386.9</v>
      </c>
      <c r="F20" s="3235">
        <v>25110</v>
      </c>
      <c r="G20" s="3235">
        <v>0.8</v>
      </c>
      <c r="H20" s="3235" t="s">
        <v>3286</v>
      </c>
      <c r="I20" s="3235" t="s">
        <v>3365</v>
      </c>
      <c r="J20" s="3235" t="s">
        <v>3288</v>
      </c>
      <c r="K20" s="3237">
        <v>42859.000497685185</v>
      </c>
      <c r="L20" s="3235" t="s">
        <v>3366</v>
      </c>
      <c r="M20" s="3235">
        <v>11547.52</v>
      </c>
      <c r="N20" s="3235">
        <v>245.27</v>
      </c>
      <c r="O20" s="3235">
        <v>4599</v>
      </c>
      <c r="P20" s="3235">
        <v>0</v>
      </c>
      <c r="Q20" s="3235" t="s">
        <v>3362</v>
      </c>
      <c r="R20" s="3235" t="s">
        <v>3291</v>
      </c>
      <c r="S20" s="3235" t="s">
        <v>3291</v>
      </c>
    </row>
    <row r="21" spans="1:19">
      <c r="A21" s="3235" t="s">
        <v>3367</v>
      </c>
      <c r="B21" s="3235" t="s">
        <v>3368</v>
      </c>
      <c r="C21" s="3235" t="s">
        <v>3283</v>
      </c>
      <c r="D21" s="3235" t="s">
        <v>3284</v>
      </c>
      <c r="E21" s="3235">
        <v>45231.1</v>
      </c>
      <c r="F21" s="3235">
        <v>36185</v>
      </c>
      <c r="G21" s="3235">
        <v>0.8</v>
      </c>
      <c r="H21" s="3235" t="s">
        <v>3286</v>
      </c>
      <c r="I21" s="3235" t="s">
        <v>3365</v>
      </c>
      <c r="J21" s="3235" t="s">
        <v>3288</v>
      </c>
      <c r="K21" s="3237">
        <v>42846.000497685185</v>
      </c>
      <c r="L21" s="3235" t="s">
        <v>3369</v>
      </c>
      <c r="M21" s="3235">
        <v>13943.25</v>
      </c>
      <c r="N21" s="3235">
        <v>205.51</v>
      </c>
      <c r="O21" s="3235">
        <v>3853</v>
      </c>
      <c r="P21" s="3235">
        <v>0</v>
      </c>
      <c r="Q21" s="3235" t="s">
        <v>3362</v>
      </c>
      <c r="R21" s="3235" t="s">
        <v>3291</v>
      </c>
      <c r="S21" s="3235" t="s">
        <v>3291</v>
      </c>
    </row>
    <row r="22" spans="1:19">
      <c r="A22" s="3235" t="s">
        <v>3370</v>
      </c>
      <c r="B22" s="3235" t="s">
        <v>3371</v>
      </c>
      <c r="C22" s="3235" t="s">
        <v>3283</v>
      </c>
      <c r="D22" s="3235" t="s">
        <v>3284</v>
      </c>
      <c r="E22" s="3235">
        <v>401615.3</v>
      </c>
      <c r="F22" s="3235">
        <v>401615</v>
      </c>
      <c r="G22" s="3235">
        <v>1</v>
      </c>
      <c r="H22" s="3235" t="s">
        <v>3286</v>
      </c>
      <c r="I22" s="3235" t="s">
        <v>3319</v>
      </c>
      <c r="J22" s="3235" t="s">
        <v>3288</v>
      </c>
      <c r="K22" s="3237">
        <v>42846.000497685185</v>
      </c>
      <c r="L22" s="3235" t="s">
        <v>3372</v>
      </c>
      <c r="M22" s="3235">
        <v>109378.8</v>
      </c>
      <c r="N22" s="3235">
        <v>181.56</v>
      </c>
      <c r="O22" s="3235">
        <v>2723</v>
      </c>
      <c r="P22" s="3235">
        <v>0</v>
      </c>
      <c r="Q22" s="3235" t="s">
        <v>3362</v>
      </c>
      <c r="R22" s="3235" t="s">
        <v>3291</v>
      </c>
      <c r="S22" s="3235" t="s">
        <v>3291</v>
      </c>
    </row>
  </sheetData>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G10" sqref="G10"/>
    </sheetView>
  </sheetViews>
  <sheetFormatPr defaultColWidth="9" defaultRowHeight="20.25" customHeight="1"/>
  <cols>
    <col min="1" max="1" width="14.25" style="3240" customWidth="1"/>
    <col min="2" max="2" width="18.75" style="3240" customWidth="1"/>
    <col min="3" max="5" width="14.25" style="3240" customWidth="1"/>
    <col min="6" max="6" width="11" style="3240" customWidth="1"/>
    <col min="7" max="7" width="9" style="3240"/>
    <col min="8" max="8" width="13.75" style="3240" customWidth="1"/>
    <col min="9" max="256" width="9" style="3240"/>
    <col min="257" max="257" width="14.25" style="3240" customWidth="1"/>
    <col min="258" max="258" width="18.75" style="3240" customWidth="1"/>
    <col min="259" max="261" width="14.25" style="3240" customWidth="1"/>
    <col min="262" max="262" width="11" style="3240" customWidth="1"/>
    <col min="263" max="263" width="9" style="3240"/>
    <col min="264" max="264" width="13.75" style="3240" customWidth="1"/>
    <col min="265" max="512" width="9" style="3240"/>
    <col min="513" max="513" width="14.25" style="3240" customWidth="1"/>
    <col min="514" max="514" width="18.75" style="3240" customWidth="1"/>
    <col min="515" max="517" width="14.25" style="3240" customWidth="1"/>
    <col min="518" max="518" width="11" style="3240" customWidth="1"/>
    <col min="519" max="519" width="9" style="3240"/>
    <col min="520" max="520" width="13.75" style="3240" customWidth="1"/>
    <col min="521" max="768" width="9" style="3240"/>
    <col min="769" max="769" width="14.25" style="3240" customWidth="1"/>
    <col min="770" max="770" width="18.75" style="3240" customWidth="1"/>
    <col min="771" max="773" width="14.25" style="3240" customWidth="1"/>
    <col min="774" max="774" width="11" style="3240" customWidth="1"/>
    <col min="775" max="775" width="9" style="3240"/>
    <col min="776" max="776" width="13.75" style="3240" customWidth="1"/>
    <col min="777" max="1024" width="9" style="3240"/>
    <col min="1025" max="1025" width="14.25" style="3240" customWidth="1"/>
    <col min="1026" max="1026" width="18.75" style="3240" customWidth="1"/>
    <col min="1027" max="1029" width="14.25" style="3240" customWidth="1"/>
    <col min="1030" max="1030" width="11" style="3240" customWidth="1"/>
    <col min="1031" max="1031" width="9" style="3240"/>
    <col min="1032" max="1032" width="13.75" style="3240" customWidth="1"/>
    <col min="1033" max="1280" width="9" style="3240"/>
    <col min="1281" max="1281" width="14.25" style="3240" customWidth="1"/>
    <col min="1282" max="1282" width="18.75" style="3240" customWidth="1"/>
    <col min="1283" max="1285" width="14.25" style="3240" customWidth="1"/>
    <col min="1286" max="1286" width="11" style="3240" customWidth="1"/>
    <col min="1287" max="1287" width="9" style="3240"/>
    <col min="1288" max="1288" width="13.75" style="3240" customWidth="1"/>
    <col min="1289" max="1536" width="9" style="3240"/>
    <col min="1537" max="1537" width="14.25" style="3240" customWidth="1"/>
    <col min="1538" max="1538" width="18.75" style="3240" customWidth="1"/>
    <col min="1539" max="1541" width="14.25" style="3240" customWidth="1"/>
    <col min="1542" max="1542" width="11" style="3240" customWidth="1"/>
    <col min="1543" max="1543" width="9" style="3240"/>
    <col min="1544" max="1544" width="13.75" style="3240" customWidth="1"/>
    <col min="1545" max="1792" width="9" style="3240"/>
    <col min="1793" max="1793" width="14.25" style="3240" customWidth="1"/>
    <col min="1794" max="1794" width="18.75" style="3240" customWidth="1"/>
    <col min="1795" max="1797" width="14.25" style="3240" customWidth="1"/>
    <col min="1798" max="1798" width="11" style="3240" customWidth="1"/>
    <col min="1799" max="1799" width="9" style="3240"/>
    <col min="1800" max="1800" width="13.75" style="3240" customWidth="1"/>
    <col min="1801" max="2048" width="9" style="3240"/>
    <col min="2049" max="2049" width="14.25" style="3240" customWidth="1"/>
    <col min="2050" max="2050" width="18.75" style="3240" customWidth="1"/>
    <col min="2051" max="2053" width="14.25" style="3240" customWidth="1"/>
    <col min="2054" max="2054" width="11" style="3240" customWidth="1"/>
    <col min="2055" max="2055" width="9" style="3240"/>
    <col min="2056" max="2056" width="13.75" style="3240" customWidth="1"/>
    <col min="2057" max="2304" width="9" style="3240"/>
    <col min="2305" max="2305" width="14.25" style="3240" customWidth="1"/>
    <col min="2306" max="2306" width="18.75" style="3240" customWidth="1"/>
    <col min="2307" max="2309" width="14.25" style="3240" customWidth="1"/>
    <col min="2310" max="2310" width="11" style="3240" customWidth="1"/>
    <col min="2311" max="2311" width="9" style="3240"/>
    <col min="2312" max="2312" width="13.75" style="3240" customWidth="1"/>
    <col min="2313" max="2560" width="9" style="3240"/>
    <col min="2561" max="2561" width="14.25" style="3240" customWidth="1"/>
    <col min="2562" max="2562" width="18.75" style="3240" customWidth="1"/>
    <col min="2563" max="2565" width="14.25" style="3240" customWidth="1"/>
    <col min="2566" max="2566" width="11" style="3240" customWidth="1"/>
    <col min="2567" max="2567" width="9" style="3240"/>
    <col min="2568" max="2568" width="13.75" style="3240" customWidth="1"/>
    <col min="2569" max="2816" width="9" style="3240"/>
    <col min="2817" max="2817" width="14.25" style="3240" customWidth="1"/>
    <col min="2818" max="2818" width="18.75" style="3240" customWidth="1"/>
    <col min="2819" max="2821" width="14.25" style="3240" customWidth="1"/>
    <col min="2822" max="2822" width="11" style="3240" customWidth="1"/>
    <col min="2823" max="2823" width="9" style="3240"/>
    <col min="2824" max="2824" width="13.75" style="3240" customWidth="1"/>
    <col min="2825" max="3072" width="9" style="3240"/>
    <col min="3073" max="3073" width="14.25" style="3240" customWidth="1"/>
    <col min="3074" max="3074" width="18.75" style="3240" customWidth="1"/>
    <col min="3075" max="3077" width="14.25" style="3240" customWidth="1"/>
    <col min="3078" max="3078" width="11" style="3240" customWidth="1"/>
    <col min="3079" max="3079" width="9" style="3240"/>
    <col min="3080" max="3080" width="13.75" style="3240" customWidth="1"/>
    <col min="3081" max="3328" width="9" style="3240"/>
    <col min="3329" max="3329" width="14.25" style="3240" customWidth="1"/>
    <col min="3330" max="3330" width="18.75" style="3240" customWidth="1"/>
    <col min="3331" max="3333" width="14.25" style="3240" customWidth="1"/>
    <col min="3334" max="3334" width="11" style="3240" customWidth="1"/>
    <col min="3335" max="3335" width="9" style="3240"/>
    <col min="3336" max="3336" width="13.75" style="3240" customWidth="1"/>
    <col min="3337" max="3584" width="9" style="3240"/>
    <col min="3585" max="3585" width="14.25" style="3240" customWidth="1"/>
    <col min="3586" max="3586" width="18.75" style="3240" customWidth="1"/>
    <col min="3587" max="3589" width="14.25" style="3240" customWidth="1"/>
    <col min="3590" max="3590" width="11" style="3240" customWidth="1"/>
    <col min="3591" max="3591" width="9" style="3240"/>
    <col min="3592" max="3592" width="13.75" style="3240" customWidth="1"/>
    <col min="3593" max="3840" width="9" style="3240"/>
    <col min="3841" max="3841" width="14.25" style="3240" customWidth="1"/>
    <col min="3842" max="3842" width="18.75" style="3240" customWidth="1"/>
    <col min="3843" max="3845" width="14.25" style="3240" customWidth="1"/>
    <col min="3846" max="3846" width="11" style="3240" customWidth="1"/>
    <col min="3847" max="3847" width="9" style="3240"/>
    <col min="3848" max="3848" width="13.75" style="3240" customWidth="1"/>
    <col min="3849" max="4096" width="9" style="3240"/>
    <col min="4097" max="4097" width="14.25" style="3240" customWidth="1"/>
    <col min="4098" max="4098" width="18.75" style="3240" customWidth="1"/>
    <col min="4099" max="4101" width="14.25" style="3240" customWidth="1"/>
    <col min="4102" max="4102" width="11" style="3240" customWidth="1"/>
    <col min="4103" max="4103" width="9" style="3240"/>
    <col min="4104" max="4104" width="13.75" style="3240" customWidth="1"/>
    <col min="4105" max="4352" width="9" style="3240"/>
    <col min="4353" max="4353" width="14.25" style="3240" customWidth="1"/>
    <col min="4354" max="4354" width="18.75" style="3240" customWidth="1"/>
    <col min="4355" max="4357" width="14.25" style="3240" customWidth="1"/>
    <col min="4358" max="4358" width="11" style="3240" customWidth="1"/>
    <col min="4359" max="4359" width="9" style="3240"/>
    <col min="4360" max="4360" width="13.75" style="3240" customWidth="1"/>
    <col min="4361" max="4608" width="9" style="3240"/>
    <col min="4609" max="4609" width="14.25" style="3240" customWidth="1"/>
    <col min="4610" max="4610" width="18.75" style="3240" customWidth="1"/>
    <col min="4611" max="4613" width="14.25" style="3240" customWidth="1"/>
    <col min="4614" max="4614" width="11" style="3240" customWidth="1"/>
    <col min="4615" max="4615" width="9" style="3240"/>
    <col min="4616" max="4616" width="13.75" style="3240" customWidth="1"/>
    <col min="4617" max="4864" width="9" style="3240"/>
    <col min="4865" max="4865" width="14.25" style="3240" customWidth="1"/>
    <col min="4866" max="4866" width="18.75" style="3240" customWidth="1"/>
    <col min="4867" max="4869" width="14.25" style="3240" customWidth="1"/>
    <col min="4870" max="4870" width="11" style="3240" customWidth="1"/>
    <col min="4871" max="4871" width="9" style="3240"/>
    <col min="4872" max="4872" width="13.75" style="3240" customWidth="1"/>
    <col min="4873" max="5120" width="9" style="3240"/>
    <col min="5121" max="5121" width="14.25" style="3240" customWidth="1"/>
    <col min="5122" max="5122" width="18.75" style="3240" customWidth="1"/>
    <col min="5123" max="5125" width="14.25" style="3240" customWidth="1"/>
    <col min="5126" max="5126" width="11" style="3240" customWidth="1"/>
    <col min="5127" max="5127" width="9" style="3240"/>
    <col min="5128" max="5128" width="13.75" style="3240" customWidth="1"/>
    <col min="5129" max="5376" width="9" style="3240"/>
    <col min="5377" max="5377" width="14.25" style="3240" customWidth="1"/>
    <col min="5378" max="5378" width="18.75" style="3240" customWidth="1"/>
    <col min="5379" max="5381" width="14.25" style="3240" customWidth="1"/>
    <col min="5382" max="5382" width="11" style="3240" customWidth="1"/>
    <col min="5383" max="5383" width="9" style="3240"/>
    <col min="5384" max="5384" width="13.75" style="3240" customWidth="1"/>
    <col min="5385" max="5632" width="9" style="3240"/>
    <col min="5633" max="5633" width="14.25" style="3240" customWidth="1"/>
    <col min="5634" max="5634" width="18.75" style="3240" customWidth="1"/>
    <col min="5635" max="5637" width="14.25" style="3240" customWidth="1"/>
    <col min="5638" max="5638" width="11" style="3240" customWidth="1"/>
    <col min="5639" max="5639" width="9" style="3240"/>
    <col min="5640" max="5640" width="13.75" style="3240" customWidth="1"/>
    <col min="5641" max="5888" width="9" style="3240"/>
    <col min="5889" max="5889" width="14.25" style="3240" customWidth="1"/>
    <col min="5890" max="5890" width="18.75" style="3240" customWidth="1"/>
    <col min="5891" max="5893" width="14.25" style="3240" customWidth="1"/>
    <col min="5894" max="5894" width="11" style="3240" customWidth="1"/>
    <col min="5895" max="5895" width="9" style="3240"/>
    <col min="5896" max="5896" width="13.75" style="3240" customWidth="1"/>
    <col min="5897" max="6144" width="9" style="3240"/>
    <col min="6145" max="6145" width="14.25" style="3240" customWidth="1"/>
    <col min="6146" max="6146" width="18.75" style="3240" customWidth="1"/>
    <col min="6147" max="6149" width="14.25" style="3240" customWidth="1"/>
    <col min="6150" max="6150" width="11" style="3240" customWidth="1"/>
    <col min="6151" max="6151" width="9" style="3240"/>
    <col min="6152" max="6152" width="13.75" style="3240" customWidth="1"/>
    <col min="6153" max="6400" width="9" style="3240"/>
    <col min="6401" max="6401" width="14.25" style="3240" customWidth="1"/>
    <col min="6402" max="6402" width="18.75" style="3240" customWidth="1"/>
    <col min="6403" max="6405" width="14.25" style="3240" customWidth="1"/>
    <col min="6406" max="6406" width="11" style="3240" customWidth="1"/>
    <col min="6407" max="6407" width="9" style="3240"/>
    <col min="6408" max="6408" width="13.75" style="3240" customWidth="1"/>
    <col min="6409" max="6656" width="9" style="3240"/>
    <col min="6657" max="6657" width="14.25" style="3240" customWidth="1"/>
    <col min="6658" max="6658" width="18.75" style="3240" customWidth="1"/>
    <col min="6659" max="6661" width="14.25" style="3240" customWidth="1"/>
    <col min="6662" max="6662" width="11" style="3240" customWidth="1"/>
    <col min="6663" max="6663" width="9" style="3240"/>
    <col min="6664" max="6664" width="13.75" style="3240" customWidth="1"/>
    <col min="6665" max="6912" width="9" style="3240"/>
    <col min="6913" max="6913" width="14.25" style="3240" customWidth="1"/>
    <col min="6914" max="6914" width="18.75" style="3240" customWidth="1"/>
    <col min="6915" max="6917" width="14.25" style="3240" customWidth="1"/>
    <col min="6918" max="6918" width="11" style="3240" customWidth="1"/>
    <col min="6919" max="6919" width="9" style="3240"/>
    <col min="6920" max="6920" width="13.75" style="3240" customWidth="1"/>
    <col min="6921" max="7168" width="9" style="3240"/>
    <col min="7169" max="7169" width="14.25" style="3240" customWidth="1"/>
    <col min="7170" max="7170" width="18.75" style="3240" customWidth="1"/>
    <col min="7171" max="7173" width="14.25" style="3240" customWidth="1"/>
    <col min="7174" max="7174" width="11" style="3240" customWidth="1"/>
    <col min="7175" max="7175" width="9" style="3240"/>
    <col min="7176" max="7176" width="13.75" style="3240" customWidth="1"/>
    <col min="7177" max="7424" width="9" style="3240"/>
    <col min="7425" max="7425" width="14.25" style="3240" customWidth="1"/>
    <col min="7426" max="7426" width="18.75" style="3240" customWidth="1"/>
    <col min="7427" max="7429" width="14.25" style="3240" customWidth="1"/>
    <col min="7430" max="7430" width="11" style="3240" customWidth="1"/>
    <col min="7431" max="7431" width="9" style="3240"/>
    <col min="7432" max="7432" width="13.75" style="3240" customWidth="1"/>
    <col min="7433" max="7680" width="9" style="3240"/>
    <col min="7681" max="7681" width="14.25" style="3240" customWidth="1"/>
    <col min="7682" max="7682" width="18.75" style="3240" customWidth="1"/>
    <col min="7683" max="7685" width="14.25" style="3240" customWidth="1"/>
    <col min="7686" max="7686" width="11" style="3240" customWidth="1"/>
    <col min="7687" max="7687" width="9" style="3240"/>
    <col min="7688" max="7688" width="13.75" style="3240" customWidth="1"/>
    <col min="7689" max="7936" width="9" style="3240"/>
    <col min="7937" max="7937" width="14.25" style="3240" customWidth="1"/>
    <col min="7938" max="7938" width="18.75" style="3240" customWidth="1"/>
    <col min="7939" max="7941" width="14.25" style="3240" customWidth="1"/>
    <col min="7942" max="7942" width="11" style="3240" customWidth="1"/>
    <col min="7943" max="7943" width="9" style="3240"/>
    <col min="7944" max="7944" width="13.75" style="3240" customWidth="1"/>
    <col min="7945" max="8192" width="9" style="3240"/>
    <col min="8193" max="8193" width="14.25" style="3240" customWidth="1"/>
    <col min="8194" max="8194" width="18.75" style="3240" customWidth="1"/>
    <col min="8195" max="8197" width="14.25" style="3240" customWidth="1"/>
    <col min="8198" max="8198" width="11" style="3240" customWidth="1"/>
    <col min="8199" max="8199" width="9" style="3240"/>
    <col min="8200" max="8200" width="13.75" style="3240" customWidth="1"/>
    <col min="8201" max="8448" width="9" style="3240"/>
    <col min="8449" max="8449" width="14.25" style="3240" customWidth="1"/>
    <col min="8450" max="8450" width="18.75" style="3240" customWidth="1"/>
    <col min="8451" max="8453" width="14.25" style="3240" customWidth="1"/>
    <col min="8454" max="8454" width="11" style="3240" customWidth="1"/>
    <col min="8455" max="8455" width="9" style="3240"/>
    <col min="8456" max="8456" width="13.75" style="3240" customWidth="1"/>
    <col min="8457" max="8704" width="9" style="3240"/>
    <col min="8705" max="8705" width="14.25" style="3240" customWidth="1"/>
    <col min="8706" max="8706" width="18.75" style="3240" customWidth="1"/>
    <col min="8707" max="8709" width="14.25" style="3240" customWidth="1"/>
    <col min="8710" max="8710" width="11" style="3240" customWidth="1"/>
    <col min="8711" max="8711" width="9" style="3240"/>
    <col min="8712" max="8712" width="13.75" style="3240" customWidth="1"/>
    <col min="8713" max="8960" width="9" style="3240"/>
    <col min="8961" max="8961" width="14.25" style="3240" customWidth="1"/>
    <col min="8962" max="8962" width="18.75" style="3240" customWidth="1"/>
    <col min="8963" max="8965" width="14.25" style="3240" customWidth="1"/>
    <col min="8966" max="8966" width="11" style="3240" customWidth="1"/>
    <col min="8967" max="8967" width="9" style="3240"/>
    <col min="8968" max="8968" width="13.75" style="3240" customWidth="1"/>
    <col min="8969" max="9216" width="9" style="3240"/>
    <col min="9217" max="9217" width="14.25" style="3240" customWidth="1"/>
    <col min="9218" max="9218" width="18.75" style="3240" customWidth="1"/>
    <col min="9219" max="9221" width="14.25" style="3240" customWidth="1"/>
    <col min="9222" max="9222" width="11" style="3240" customWidth="1"/>
    <col min="9223" max="9223" width="9" style="3240"/>
    <col min="9224" max="9224" width="13.75" style="3240" customWidth="1"/>
    <col min="9225" max="9472" width="9" style="3240"/>
    <col min="9473" max="9473" width="14.25" style="3240" customWidth="1"/>
    <col min="9474" max="9474" width="18.75" style="3240" customWidth="1"/>
    <col min="9475" max="9477" width="14.25" style="3240" customWidth="1"/>
    <col min="9478" max="9478" width="11" style="3240" customWidth="1"/>
    <col min="9479" max="9479" width="9" style="3240"/>
    <col min="9480" max="9480" width="13.75" style="3240" customWidth="1"/>
    <col min="9481" max="9728" width="9" style="3240"/>
    <col min="9729" max="9729" width="14.25" style="3240" customWidth="1"/>
    <col min="9730" max="9730" width="18.75" style="3240" customWidth="1"/>
    <col min="9731" max="9733" width="14.25" style="3240" customWidth="1"/>
    <col min="9734" max="9734" width="11" style="3240" customWidth="1"/>
    <col min="9735" max="9735" width="9" style="3240"/>
    <col min="9736" max="9736" width="13.75" style="3240" customWidth="1"/>
    <col min="9737" max="9984" width="9" style="3240"/>
    <col min="9985" max="9985" width="14.25" style="3240" customWidth="1"/>
    <col min="9986" max="9986" width="18.75" style="3240" customWidth="1"/>
    <col min="9987" max="9989" width="14.25" style="3240" customWidth="1"/>
    <col min="9990" max="9990" width="11" style="3240" customWidth="1"/>
    <col min="9991" max="9991" width="9" style="3240"/>
    <col min="9992" max="9992" width="13.75" style="3240" customWidth="1"/>
    <col min="9993" max="10240" width="9" style="3240"/>
    <col min="10241" max="10241" width="14.25" style="3240" customWidth="1"/>
    <col min="10242" max="10242" width="18.75" style="3240" customWidth="1"/>
    <col min="10243" max="10245" width="14.25" style="3240" customWidth="1"/>
    <col min="10246" max="10246" width="11" style="3240" customWidth="1"/>
    <col min="10247" max="10247" width="9" style="3240"/>
    <col min="10248" max="10248" width="13.75" style="3240" customWidth="1"/>
    <col min="10249" max="10496" width="9" style="3240"/>
    <col min="10497" max="10497" width="14.25" style="3240" customWidth="1"/>
    <col min="10498" max="10498" width="18.75" style="3240" customWidth="1"/>
    <col min="10499" max="10501" width="14.25" style="3240" customWidth="1"/>
    <col min="10502" max="10502" width="11" style="3240" customWidth="1"/>
    <col min="10503" max="10503" width="9" style="3240"/>
    <col min="10504" max="10504" width="13.75" style="3240" customWidth="1"/>
    <col min="10505" max="10752" width="9" style="3240"/>
    <col min="10753" max="10753" width="14.25" style="3240" customWidth="1"/>
    <col min="10754" max="10754" width="18.75" style="3240" customWidth="1"/>
    <col min="10755" max="10757" width="14.25" style="3240" customWidth="1"/>
    <col min="10758" max="10758" width="11" style="3240" customWidth="1"/>
    <col min="10759" max="10759" width="9" style="3240"/>
    <col min="10760" max="10760" width="13.75" style="3240" customWidth="1"/>
    <col min="10761" max="11008" width="9" style="3240"/>
    <col min="11009" max="11009" width="14.25" style="3240" customWidth="1"/>
    <col min="11010" max="11010" width="18.75" style="3240" customWidth="1"/>
    <col min="11011" max="11013" width="14.25" style="3240" customWidth="1"/>
    <col min="11014" max="11014" width="11" style="3240" customWidth="1"/>
    <col min="11015" max="11015" width="9" style="3240"/>
    <col min="11016" max="11016" width="13.75" style="3240" customWidth="1"/>
    <col min="11017" max="11264" width="9" style="3240"/>
    <col min="11265" max="11265" width="14.25" style="3240" customWidth="1"/>
    <col min="11266" max="11266" width="18.75" style="3240" customWidth="1"/>
    <col min="11267" max="11269" width="14.25" style="3240" customWidth="1"/>
    <col min="11270" max="11270" width="11" style="3240" customWidth="1"/>
    <col min="11271" max="11271" width="9" style="3240"/>
    <col min="11272" max="11272" width="13.75" style="3240" customWidth="1"/>
    <col min="11273" max="11520" width="9" style="3240"/>
    <col min="11521" max="11521" width="14.25" style="3240" customWidth="1"/>
    <col min="11522" max="11522" width="18.75" style="3240" customWidth="1"/>
    <col min="11523" max="11525" width="14.25" style="3240" customWidth="1"/>
    <col min="11526" max="11526" width="11" style="3240" customWidth="1"/>
    <col min="11527" max="11527" width="9" style="3240"/>
    <col min="11528" max="11528" width="13.75" style="3240" customWidth="1"/>
    <col min="11529" max="11776" width="9" style="3240"/>
    <col min="11777" max="11777" width="14.25" style="3240" customWidth="1"/>
    <col min="11778" max="11778" width="18.75" style="3240" customWidth="1"/>
    <col min="11779" max="11781" width="14.25" style="3240" customWidth="1"/>
    <col min="11782" max="11782" width="11" style="3240" customWidth="1"/>
    <col min="11783" max="11783" width="9" style="3240"/>
    <col min="11784" max="11784" width="13.75" style="3240" customWidth="1"/>
    <col min="11785" max="12032" width="9" style="3240"/>
    <col min="12033" max="12033" width="14.25" style="3240" customWidth="1"/>
    <col min="12034" max="12034" width="18.75" style="3240" customWidth="1"/>
    <col min="12035" max="12037" width="14.25" style="3240" customWidth="1"/>
    <col min="12038" max="12038" width="11" style="3240" customWidth="1"/>
    <col min="12039" max="12039" width="9" style="3240"/>
    <col min="12040" max="12040" width="13.75" style="3240" customWidth="1"/>
    <col min="12041" max="12288" width="9" style="3240"/>
    <col min="12289" max="12289" width="14.25" style="3240" customWidth="1"/>
    <col min="12290" max="12290" width="18.75" style="3240" customWidth="1"/>
    <col min="12291" max="12293" width="14.25" style="3240" customWidth="1"/>
    <col min="12294" max="12294" width="11" style="3240" customWidth="1"/>
    <col min="12295" max="12295" width="9" style="3240"/>
    <col min="12296" max="12296" width="13.75" style="3240" customWidth="1"/>
    <col min="12297" max="12544" width="9" style="3240"/>
    <col min="12545" max="12545" width="14.25" style="3240" customWidth="1"/>
    <col min="12546" max="12546" width="18.75" style="3240" customWidth="1"/>
    <col min="12547" max="12549" width="14.25" style="3240" customWidth="1"/>
    <col min="12550" max="12550" width="11" style="3240" customWidth="1"/>
    <col min="12551" max="12551" width="9" style="3240"/>
    <col min="12552" max="12552" width="13.75" style="3240" customWidth="1"/>
    <col min="12553" max="12800" width="9" style="3240"/>
    <col min="12801" max="12801" width="14.25" style="3240" customWidth="1"/>
    <col min="12802" max="12802" width="18.75" style="3240" customWidth="1"/>
    <col min="12803" max="12805" width="14.25" style="3240" customWidth="1"/>
    <col min="12806" max="12806" width="11" style="3240" customWidth="1"/>
    <col min="12807" max="12807" width="9" style="3240"/>
    <col min="12808" max="12808" width="13.75" style="3240" customWidth="1"/>
    <col min="12809" max="13056" width="9" style="3240"/>
    <col min="13057" max="13057" width="14.25" style="3240" customWidth="1"/>
    <col min="13058" max="13058" width="18.75" style="3240" customWidth="1"/>
    <col min="13059" max="13061" width="14.25" style="3240" customWidth="1"/>
    <col min="13062" max="13062" width="11" style="3240" customWidth="1"/>
    <col min="13063" max="13063" width="9" style="3240"/>
    <col min="13064" max="13064" width="13.75" style="3240" customWidth="1"/>
    <col min="13065" max="13312" width="9" style="3240"/>
    <col min="13313" max="13313" width="14.25" style="3240" customWidth="1"/>
    <col min="13314" max="13314" width="18.75" style="3240" customWidth="1"/>
    <col min="13315" max="13317" width="14.25" style="3240" customWidth="1"/>
    <col min="13318" max="13318" width="11" style="3240" customWidth="1"/>
    <col min="13319" max="13319" width="9" style="3240"/>
    <col min="13320" max="13320" width="13.75" style="3240" customWidth="1"/>
    <col min="13321" max="13568" width="9" style="3240"/>
    <col min="13569" max="13569" width="14.25" style="3240" customWidth="1"/>
    <col min="13570" max="13570" width="18.75" style="3240" customWidth="1"/>
    <col min="13571" max="13573" width="14.25" style="3240" customWidth="1"/>
    <col min="13574" max="13574" width="11" style="3240" customWidth="1"/>
    <col min="13575" max="13575" width="9" style="3240"/>
    <col min="13576" max="13576" width="13.75" style="3240" customWidth="1"/>
    <col min="13577" max="13824" width="9" style="3240"/>
    <col min="13825" max="13825" width="14.25" style="3240" customWidth="1"/>
    <col min="13826" max="13826" width="18.75" style="3240" customWidth="1"/>
    <col min="13827" max="13829" width="14.25" style="3240" customWidth="1"/>
    <col min="13830" max="13830" width="11" style="3240" customWidth="1"/>
    <col min="13831" max="13831" width="9" style="3240"/>
    <col min="13832" max="13832" width="13.75" style="3240" customWidth="1"/>
    <col min="13833" max="14080" width="9" style="3240"/>
    <col min="14081" max="14081" width="14.25" style="3240" customWidth="1"/>
    <col min="14082" max="14082" width="18.75" style="3240" customWidth="1"/>
    <col min="14083" max="14085" width="14.25" style="3240" customWidth="1"/>
    <col min="14086" max="14086" width="11" style="3240" customWidth="1"/>
    <col min="14087" max="14087" width="9" style="3240"/>
    <col min="14088" max="14088" width="13.75" style="3240" customWidth="1"/>
    <col min="14089" max="14336" width="9" style="3240"/>
    <col min="14337" max="14337" width="14.25" style="3240" customWidth="1"/>
    <col min="14338" max="14338" width="18.75" style="3240" customWidth="1"/>
    <col min="14339" max="14341" width="14.25" style="3240" customWidth="1"/>
    <col min="14342" max="14342" width="11" style="3240" customWidth="1"/>
    <col min="14343" max="14343" width="9" style="3240"/>
    <col min="14344" max="14344" width="13.75" style="3240" customWidth="1"/>
    <col min="14345" max="14592" width="9" style="3240"/>
    <col min="14593" max="14593" width="14.25" style="3240" customWidth="1"/>
    <col min="14594" max="14594" width="18.75" style="3240" customWidth="1"/>
    <col min="14595" max="14597" width="14.25" style="3240" customWidth="1"/>
    <col min="14598" max="14598" width="11" style="3240" customWidth="1"/>
    <col min="14599" max="14599" width="9" style="3240"/>
    <col min="14600" max="14600" width="13.75" style="3240" customWidth="1"/>
    <col min="14601" max="14848" width="9" style="3240"/>
    <col min="14849" max="14849" width="14.25" style="3240" customWidth="1"/>
    <col min="14850" max="14850" width="18.75" style="3240" customWidth="1"/>
    <col min="14851" max="14853" width="14.25" style="3240" customWidth="1"/>
    <col min="14854" max="14854" width="11" style="3240" customWidth="1"/>
    <col min="14855" max="14855" width="9" style="3240"/>
    <col min="14856" max="14856" width="13.75" style="3240" customWidth="1"/>
    <col min="14857" max="15104" width="9" style="3240"/>
    <col min="15105" max="15105" width="14.25" style="3240" customWidth="1"/>
    <col min="15106" max="15106" width="18.75" style="3240" customWidth="1"/>
    <col min="15107" max="15109" width="14.25" style="3240" customWidth="1"/>
    <col min="15110" max="15110" width="11" style="3240" customWidth="1"/>
    <col min="15111" max="15111" width="9" style="3240"/>
    <col min="15112" max="15112" width="13.75" style="3240" customWidth="1"/>
    <col min="15113" max="15360" width="9" style="3240"/>
    <col min="15361" max="15361" width="14.25" style="3240" customWidth="1"/>
    <col min="15362" max="15362" width="18.75" style="3240" customWidth="1"/>
    <col min="15363" max="15365" width="14.25" style="3240" customWidth="1"/>
    <col min="15366" max="15366" width="11" style="3240" customWidth="1"/>
    <col min="15367" max="15367" width="9" style="3240"/>
    <col min="15368" max="15368" width="13.75" style="3240" customWidth="1"/>
    <col min="15369" max="15616" width="9" style="3240"/>
    <col min="15617" max="15617" width="14.25" style="3240" customWidth="1"/>
    <col min="15618" max="15618" width="18.75" style="3240" customWidth="1"/>
    <col min="15619" max="15621" width="14.25" style="3240" customWidth="1"/>
    <col min="15622" max="15622" width="11" style="3240" customWidth="1"/>
    <col min="15623" max="15623" width="9" style="3240"/>
    <col min="15624" max="15624" width="13.75" style="3240" customWidth="1"/>
    <col min="15625" max="15872" width="9" style="3240"/>
    <col min="15873" max="15873" width="14.25" style="3240" customWidth="1"/>
    <col min="15874" max="15874" width="18.75" style="3240" customWidth="1"/>
    <col min="15875" max="15877" width="14.25" style="3240" customWidth="1"/>
    <col min="15878" max="15878" width="11" style="3240" customWidth="1"/>
    <col min="15879" max="15879" width="9" style="3240"/>
    <col min="15880" max="15880" width="13.75" style="3240" customWidth="1"/>
    <col min="15881" max="16128" width="9" style="3240"/>
    <col min="16129" max="16129" width="14.25" style="3240" customWidth="1"/>
    <col min="16130" max="16130" width="18.75" style="3240" customWidth="1"/>
    <col min="16131" max="16133" width="14.25" style="3240" customWidth="1"/>
    <col min="16134" max="16134" width="11" style="3240" customWidth="1"/>
    <col min="16135" max="16135" width="9" style="3240"/>
    <col min="16136" max="16136" width="13.75" style="3240" customWidth="1"/>
    <col min="16137" max="16384" width="9" style="3240"/>
  </cols>
  <sheetData>
    <row r="1" spans="1:7" ht="20.25" customHeight="1" thickBot="1">
      <c r="A1" s="3238" t="s">
        <v>3373</v>
      </c>
      <c r="B1" s="3239">
        <f>项目基本情况!D3</f>
        <v>44607</v>
      </c>
    </row>
    <row r="2" spans="1:7" ht="33" customHeight="1">
      <c r="A2" s="3241" t="s">
        <v>3374</v>
      </c>
      <c r="B2" s="3242" t="s">
        <v>3375</v>
      </c>
      <c r="C2" s="3243" t="s">
        <v>3376</v>
      </c>
      <c r="D2" s="3242" t="s">
        <v>3377</v>
      </c>
      <c r="E2" s="3244" t="s">
        <v>3378</v>
      </c>
    </row>
    <row r="3" spans="1:7" ht="20.25" customHeight="1">
      <c r="A3" s="3245">
        <v>40</v>
      </c>
      <c r="B3" s="3246">
        <f>项目基本情况!I13</f>
        <v>55474</v>
      </c>
      <c r="C3" s="68">
        <f>ROUNDDOWN(MIN((B3-$B$1)/365,A3),2)</f>
        <v>29.77</v>
      </c>
      <c r="D3" s="69">
        <f>IF(ISERROR(ROUND(POWER(1+E3,A3-C3)*(POWER(1+E3,C3)-1)/(POWER(1+E3,A3)-1),3)),0,ROUND(POWER(1+E3,A3-C3)*(POWER(1+E3,C3)-1)/(POWER(1+E3,A3)-1),3))</f>
        <v>0.88200000000000001</v>
      </c>
      <c r="E3" s="3247">
        <v>4.4999999999999998E-2</v>
      </c>
    </row>
    <row r="4" spans="1:7" ht="20.25" customHeight="1">
      <c r="A4" s="3245">
        <v>50</v>
      </c>
      <c r="B4" s="3246">
        <v>50028</v>
      </c>
      <c r="C4" s="68">
        <f>ROUNDDOWN(MIN((B4-$B$1)/365,A4),2)</f>
        <v>14.85</v>
      </c>
      <c r="D4" s="69">
        <f>IF(ISERROR(ROUND(POWER(1+E4,A4-C4)*(POWER(1+E4,C4)-1)/(POWER(1+E4,A4)-1),3)),0,ROUND(POWER(1+E4,A4-C4)*(POWER(1+E4,C4)-1)/(POWER(1+E4,A4)-1),3))</f>
        <v>0.51400000000000001</v>
      </c>
      <c r="E4" s="3247">
        <v>0.04</v>
      </c>
    </row>
    <row r="5" spans="1:7" ht="20.25" customHeight="1" thickBot="1">
      <c r="A5" s="3248">
        <v>70</v>
      </c>
      <c r="B5" s="3249">
        <v>57333</v>
      </c>
      <c r="C5" s="3250">
        <f>ROUNDDOWN(MIN((B5-$B$1)/365,A5),2)</f>
        <v>34.86</v>
      </c>
      <c r="D5" s="3251">
        <f>IF(ISERROR(ROUND(POWER(1+E5,A5-C5)*(POWER(1+E5,C5)-1)/(POWER(1+E5,A5)-1),3)),0,ROUND(POWER(1+E5,A5-C5)*(POWER(1+E5,C5)-1)/(POWER(1+E5,A5)-1),3))</f>
        <v>0.79600000000000004</v>
      </c>
      <c r="E5" s="3252">
        <v>0.04</v>
      </c>
    </row>
    <row r="6" spans="1:7" ht="20.25" customHeight="1" thickBot="1"/>
    <row r="7" spans="1:7" s="3255" customFormat="1" ht="20.25" customHeight="1" thickBot="1">
      <c r="A7" s="3253" t="s">
        <v>3379</v>
      </c>
      <c r="B7" s="3254"/>
    </row>
    <row r="8" spans="1:7" ht="20.25" customHeight="1" thickBot="1">
      <c r="A8" s="3625" t="s">
        <v>3380</v>
      </c>
      <c r="B8" s="3626"/>
      <c r="C8" s="3256"/>
      <c r="D8" s="3257" t="s">
        <v>3378</v>
      </c>
      <c r="E8" s="3256"/>
      <c r="F8" s="3258" t="s">
        <v>3377</v>
      </c>
    </row>
    <row r="9" spans="1:7" ht="20.25" customHeight="1">
      <c r="A9" s="3259" t="s">
        <v>3381</v>
      </c>
      <c r="B9" s="3260">
        <v>50</v>
      </c>
      <c r="C9" s="3261" t="s">
        <v>3382</v>
      </c>
      <c r="D9" s="3276">
        <f>'数据-取费表'!H6</f>
        <v>0.05</v>
      </c>
      <c r="E9" s="3261" t="s">
        <v>3383</v>
      </c>
      <c r="F9" s="3262">
        <f>1-(1/(POWER(1+D9,B9)))</f>
        <v>0.91279627302761945</v>
      </c>
    </row>
    <row r="10" spans="1:7" ht="20.25" customHeight="1" thickBot="1">
      <c r="A10" s="3263" t="s">
        <v>3384</v>
      </c>
      <c r="B10" s="3264">
        <v>20</v>
      </c>
      <c r="C10" s="3265" t="s">
        <v>3385</v>
      </c>
      <c r="D10" s="3277">
        <f>D9</f>
        <v>0.05</v>
      </c>
      <c r="E10" s="3265" t="s">
        <v>3386</v>
      </c>
      <c r="F10" s="3266">
        <f>1-(1/(POWER(1+D10,B10)))</f>
        <v>0.62311051712699939</v>
      </c>
      <c r="G10" s="3240">
        <f>ROUND(F9/F10,4)</f>
        <v>1.4649000000000001</v>
      </c>
    </row>
    <row r="11" spans="1:7" ht="20.25" customHeight="1" thickBot="1">
      <c r="A11" s="3267" t="s">
        <v>3387</v>
      </c>
      <c r="B11" s="3268"/>
      <c r="C11" s="3268"/>
      <c r="D11" s="3268"/>
      <c r="E11" s="3268"/>
      <c r="F11" s="3268"/>
    </row>
    <row r="12" spans="1:7" ht="20.25" customHeight="1">
      <c r="A12" s="3259" t="s">
        <v>3388</v>
      </c>
      <c r="B12" s="3269">
        <v>5000</v>
      </c>
      <c r="E12" s="3270"/>
      <c r="F12" s="3270"/>
    </row>
    <row r="13" spans="1:7" ht="20.25" customHeight="1" thickBot="1">
      <c r="A13" s="3263" t="s">
        <v>3389</v>
      </c>
      <c r="B13" s="3271">
        <f>ROUND(B12*F10/F9,2)</f>
        <v>3413.2</v>
      </c>
      <c r="C13" s="3272">
        <f>ROUND(F10/F9,4)</f>
        <v>0.68259999999999998</v>
      </c>
      <c r="E13" s="3270"/>
      <c r="F13" s="3270"/>
    </row>
    <row r="14" spans="1:7" ht="20.25" customHeight="1" thickBot="1">
      <c r="A14" s="3267" t="s">
        <v>3390</v>
      </c>
      <c r="B14" s="3273"/>
      <c r="C14" s="3270"/>
    </row>
    <row r="15" spans="1:7" ht="20.25" customHeight="1">
      <c r="A15" s="3261" t="s">
        <v>3391</v>
      </c>
      <c r="B15" s="3274">
        <v>4810</v>
      </c>
      <c r="C15" s="3270"/>
    </row>
    <row r="16" spans="1:7" ht="20.25" customHeight="1" thickBot="1">
      <c r="A16" s="3265" t="s">
        <v>3392</v>
      </c>
      <c r="B16" s="3275">
        <f>ROUND(B15*F9/F10,2)</f>
        <v>7046.18</v>
      </c>
      <c r="C16" s="3272">
        <f>ROUND(F9/F10,4)</f>
        <v>1.4649000000000001</v>
      </c>
    </row>
    <row r="17" spans="3:3" ht="20.25" customHeight="1">
      <c r="C17" s="3270"/>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73" sqref="M73"/>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99" t="str">
        <f>IF(项目基本情况!B9="房地产市场价值","估价结果一览表","结果表-2")</f>
        <v>结果表-2</v>
      </c>
      <c r="B1" s="3299"/>
      <c r="C1" s="3299"/>
      <c r="D1" s="3299"/>
      <c r="E1" s="3299"/>
      <c r="F1" s="3299"/>
      <c r="G1" s="3299"/>
      <c r="H1" s="3299"/>
      <c r="I1" s="3299"/>
    </row>
    <row r="2" spans="1:9" ht="30" customHeight="1" thickTop="1">
      <c r="A2" s="3300" t="s">
        <v>1546</v>
      </c>
      <c r="B2" s="3300" t="s">
        <v>1547</v>
      </c>
      <c r="C2" s="3300" t="s">
        <v>1548</v>
      </c>
      <c r="D2" s="3300" t="str">
        <f>结果表!D116</f>
        <v>出让国有建设用地使用权价值</v>
      </c>
      <c r="E2" s="3300"/>
      <c r="F2" s="3300" t="str">
        <f>结果表!F116</f>
        <v>建筑物价值</v>
      </c>
      <c r="G2" s="3300"/>
      <c r="H2" s="3300" t="str">
        <f>IF(项目基本情况!B9="房地产市场价值","房地产市场价值","房地产价值")</f>
        <v>房地产价值</v>
      </c>
      <c r="I2" s="3300"/>
    </row>
    <row r="3" spans="1:9" ht="15">
      <c r="A3" s="3301"/>
      <c r="B3" s="3301"/>
      <c r="C3" s="3301"/>
      <c r="D3" s="963" t="s">
        <v>1543</v>
      </c>
      <c r="E3" s="963" t="s">
        <v>1549</v>
      </c>
      <c r="F3" s="963" t="s">
        <v>1543</v>
      </c>
      <c r="G3" s="963" t="s">
        <v>1544</v>
      </c>
      <c r="H3" s="963" t="s">
        <v>1543</v>
      </c>
      <c r="I3" s="963" t="s">
        <v>1544</v>
      </c>
    </row>
    <row r="4" spans="1:9" ht="15">
      <c r="A4" s="1659" t="str">
        <f>项目基本情况!S2</f>
        <v>北京市房地产</v>
      </c>
      <c r="B4" s="963">
        <f>项目基本情况!C17</f>
        <v>4052</v>
      </c>
      <c r="C4" s="963">
        <f>项目基本情况!C18</f>
        <v>19466.48</v>
      </c>
      <c r="D4" s="963">
        <f ca="1">结果表!D118</f>
        <v>4148</v>
      </c>
      <c r="E4" s="963">
        <f ca="1">结果表!E118</f>
        <v>10237</v>
      </c>
      <c r="F4" s="963">
        <f ca="1">结果表!F118</f>
        <v>720</v>
      </c>
      <c r="G4" s="963">
        <f ca="1">结果表!G118</f>
        <v>1777</v>
      </c>
      <c r="H4" s="963">
        <f ca="1">结果表!H118</f>
        <v>4868</v>
      </c>
      <c r="I4" s="963">
        <f ca="1">结果表!I118</f>
        <v>12014</v>
      </c>
    </row>
    <row r="5" spans="1:9" ht="30" customHeight="1">
      <c r="A5" s="3301" t="s">
        <v>1545</v>
      </c>
      <c r="B5" s="3301"/>
      <c r="C5" s="3301"/>
      <c r="D5" s="3302" t="str">
        <f ca="1">结果表!D119</f>
        <v>肆仟壹佰肆拾捌万元整</v>
      </c>
      <c r="E5" s="3302"/>
      <c r="F5" s="3302" t="str">
        <f ca="1">结果表!F119</f>
        <v>柒佰贰拾万元整</v>
      </c>
      <c r="G5" s="3302"/>
      <c r="H5" s="3302" t="str">
        <f ca="1">结果表!H119</f>
        <v>肆仟捌佰陆拾捌万元整</v>
      </c>
      <c r="I5" s="3302"/>
    </row>
    <row r="6" spans="1:9" ht="15.75">
      <c r="A6" s="3303" t="str">
        <f>结果表!A120</f>
        <v>估价师知悉的法定优先受偿款</v>
      </c>
      <c r="B6" s="3303"/>
      <c r="C6" s="3303"/>
      <c r="D6" s="3303">
        <f>结果表!D120</f>
        <v>0</v>
      </c>
      <c r="E6" s="3303"/>
      <c r="F6" s="3303"/>
      <c r="G6" s="3303"/>
      <c r="H6" s="3303"/>
      <c r="I6" s="3303"/>
    </row>
    <row r="7" spans="1:9" ht="15">
      <c r="A7" s="3301" t="s">
        <v>1545</v>
      </c>
      <c r="B7" s="3301"/>
      <c r="C7" s="3301"/>
      <c r="D7" s="3304" t="str">
        <f>结果表!D121</f>
        <v>零元整</v>
      </c>
      <c r="E7" s="3305"/>
      <c r="F7" s="3305"/>
      <c r="G7" s="3305"/>
      <c r="H7" s="3305"/>
      <c r="I7" s="3306"/>
    </row>
    <row r="8" spans="1:9" ht="15.75">
      <c r="A8" s="3303" t="str">
        <f>结果表!A122</f>
        <v>房地产抵押价值</v>
      </c>
      <c r="B8" s="3303"/>
      <c r="C8" s="3303"/>
      <c r="D8" s="3303">
        <f ca="1">结果表!D122</f>
        <v>4868</v>
      </c>
      <c r="E8" s="3303"/>
      <c r="F8" s="3303"/>
      <c r="G8" s="3303"/>
      <c r="H8" s="3303"/>
      <c r="I8" s="3303"/>
    </row>
    <row r="9" spans="1:9" ht="15">
      <c r="A9" s="3301" t="s">
        <v>1545</v>
      </c>
      <c r="B9" s="3301"/>
      <c r="C9" s="3301"/>
      <c r="D9" s="3302" t="str">
        <f ca="1">结果表!D123</f>
        <v>肆仟捌佰陆拾捌万元整</v>
      </c>
      <c r="E9" s="3302"/>
      <c r="F9" s="3302"/>
      <c r="G9" s="3302"/>
      <c r="H9" s="3302"/>
      <c r="I9" s="3302"/>
    </row>
    <row r="10" spans="1:9" ht="15.75">
      <c r="A10" s="3303" t="str">
        <f>结果表!A124</f>
        <v/>
      </c>
      <c r="B10" s="3303"/>
      <c r="C10" s="3303"/>
      <c r="D10" s="3303" t="str">
        <f>结果表!D124</f>
        <v>——</v>
      </c>
      <c r="E10" s="3303"/>
      <c r="F10" s="3303"/>
      <c r="G10" s="3303"/>
      <c r="H10" s="3303"/>
      <c r="I10" s="3303"/>
    </row>
    <row r="11" spans="1:9" ht="15">
      <c r="A11" s="3301" t="s">
        <v>1545</v>
      </c>
      <c r="B11" s="3301"/>
      <c r="C11" s="3301"/>
      <c r="D11" s="3302" t="e">
        <f>结果表!D125</f>
        <v>#VALUE!</v>
      </c>
      <c r="E11" s="3302"/>
      <c r="F11" s="3302"/>
      <c r="G11" s="3302"/>
      <c r="H11" s="3302"/>
      <c r="I11" s="3302"/>
    </row>
    <row r="12" spans="1:9" ht="15.75">
      <c r="A12" s="3303" t="str">
        <f>结果表!A126</f>
        <v/>
      </c>
      <c r="B12" s="3303"/>
      <c r="C12" s="3303"/>
      <c r="D12" s="3303" t="str">
        <f>结果表!D126</f>
        <v>——</v>
      </c>
      <c r="E12" s="3303"/>
      <c r="F12" s="3303"/>
      <c r="G12" s="3303"/>
      <c r="H12" s="3303"/>
      <c r="I12" s="3303"/>
    </row>
    <row r="13" spans="1:9" ht="15.75" thickBot="1">
      <c r="A13" s="3307" t="s">
        <v>1545</v>
      </c>
      <c r="B13" s="3307"/>
      <c r="C13" s="3307"/>
      <c r="D13" s="3308" t="e">
        <f>结果表!D127</f>
        <v>#VALUE!</v>
      </c>
      <c r="E13" s="3308"/>
      <c r="F13" s="3308"/>
      <c r="G13" s="3308"/>
      <c r="H13" s="3308"/>
      <c r="I13" s="3308"/>
    </row>
    <row r="14" spans="1:9" ht="15" thickTop="1">
      <c r="A14" s="3309" t="s">
        <v>1550</v>
      </c>
      <c r="B14" s="3309"/>
      <c r="C14" s="3309"/>
      <c r="D14" s="3309"/>
      <c r="E14" s="3309"/>
      <c r="F14" s="3309"/>
      <c r="G14" s="3309"/>
      <c r="H14" s="3309"/>
      <c r="I14" s="3309"/>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310" t="s">
        <v>1567</v>
      </c>
      <c r="B1" s="3310"/>
      <c r="C1" s="3310"/>
      <c r="D1" s="3310"/>
    </row>
    <row r="2" spans="1:4" ht="18">
      <c r="A2" s="3311" t="s">
        <v>1551</v>
      </c>
      <c r="B2" s="3311"/>
      <c r="C2" s="3311"/>
      <c r="D2" s="3311"/>
    </row>
    <row r="3" spans="1:4" ht="18.75">
      <c r="A3" s="1663" t="s">
        <v>1552</v>
      </c>
      <c r="B3" s="1663" t="s">
        <v>1553</v>
      </c>
      <c r="C3" s="1663" t="s">
        <v>1554</v>
      </c>
      <c r="D3" s="1663" t="s">
        <v>1555</v>
      </c>
    </row>
    <row r="4" spans="1:4" ht="56.25" customHeight="1">
      <c r="A4" s="1664" t="str">
        <f>项目基本情况!B4</f>
        <v>吴薇</v>
      </c>
      <c r="B4" s="1665">
        <f ca="1">项目基本情况!C4</f>
        <v>1419970001</v>
      </c>
      <c r="C4" s="1666"/>
      <c r="D4" s="1667" t="s">
        <v>1556</v>
      </c>
    </row>
    <row r="5" spans="1:4" ht="56.25" customHeight="1">
      <c r="A5" s="1664" t="str">
        <f>项目基本情况!D4</f>
        <v>郑燚</v>
      </c>
      <c r="B5" s="1665">
        <f ca="1">项目基本情况!E4</f>
        <v>1120070131</v>
      </c>
      <c r="C5" s="1668"/>
      <c r="D5" s="1667" t="s">
        <v>1556</v>
      </c>
    </row>
    <row r="6" spans="1:4" ht="18">
      <c r="A6" s="3311" t="s">
        <v>1557</v>
      </c>
      <c r="B6" s="3311"/>
      <c r="C6" s="3311"/>
      <c r="D6" s="3311"/>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312" t="s">
        <v>1560</v>
      </c>
      <c r="B11" s="3313"/>
      <c r="C11" s="3313"/>
      <c r="D11" s="3313"/>
    </row>
    <row r="12" spans="1:4" ht="15.75">
      <c r="A12" s="33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4"/>
      <c r="C12" s="3314"/>
      <c r="D12" s="3314"/>
    </row>
    <row r="13" spans="1:4" ht="30" customHeight="1">
      <c r="A13" s="33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4"/>
      <c r="C13" s="3314"/>
      <c r="D13" s="3314"/>
    </row>
    <row r="14" spans="1:4" ht="15.75" customHeight="1">
      <c r="A14" s="3313" t="str">
        <f>IF(项目基本情况!B8="抵押","4.本次评估估价师所知悉的法定优先受偿款情况说明如下：","——")</f>
        <v>4.本次评估估价师所知悉的法定优先受偿款情况说明如下：</v>
      </c>
      <c r="B14" s="3314"/>
      <c r="C14" s="3314"/>
      <c r="D14" s="3314"/>
    </row>
    <row r="15" spans="1:4" ht="42" customHeight="1">
      <c r="A15" s="33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3"/>
      <c r="C15" s="3313"/>
      <c r="D15" s="3313"/>
    </row>
    <row r="16" spans="1:4" ht="30" customHeight="1">
      <c r="A16" s="3316" t="s">
        <v>1561</v>
      </c>
      <c r="B16" s="3316"/>
      <c r="C16" s="3316"/>
      <c r="D16" s="3316"/>
    </row>
    <row r="17" spans="1:4" ht="144" customHeight="1">
      <c r="A17" s="3316" t="s">
        <v>1562</v>
      </c>
      <c r="B17" s="3316"/>
      <c r="C17" s="3316"/>
      <c r="D17" s="3316"/>
    </row>
    <row r="18" spans="1:4" ht="15.75" customHeight="1">
      <c r="A18" s="3313" t="str">
        <f>IF(项目基本情况!B8="抵押",结果表!K120,"——")</f>
        <v>故，本次评估不存在估价师知悉的法定优先受偿款</v>
      </c>
      <c r="B18" s="3313"/>
      <c r="C18" s="3313"/>
      <c r="D18" s="3313"/>
    </row>
    <row r="19" spans="1:4" ht="46.5" customHeight="1">
      <c r="A19" s="33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3"/>
      <c r="C19" s="3313"/>
      <c r="D19" s="3313"/>
    </row>
    <row r="20" spans="1:4" ht="57.75" customHeight="1">
      <c r="A20" s="33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3"/>
      <c r="C20" s="3313"/>
      <c r="D20" s="3313"/>
    </row>
    <row r="21" spans="1:4" ht="57.75" customHeight="1">
      <c r="A21" s="3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7"/>
      <c r="C21" s="3317"/>
      <c r="D21" s="3317"/>
    </row>
    <row r="22" spans="1:4" ht="18.75" customHeight="1">
      <c r="A22" s="3318" t="s">
        <v>1563</v>
      </c>
      <c r="B22" s="3318"/>
      <c r="C22" s="3318"/>
      <c r="D22" s="3318"/>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315">
        <v>42551</v>
      </c>
      <c r="D31" s="33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324" t="s">
        <v>1574</v>
      </c>
      <c r="B15" s="3319" t="s">
        <v>136</v>
      </c>
      <c r="C15" s="3320"/>
    </row>
    <row r="16" spans="1:7" ht="13.5">
      <c r="A16" s="3325"/>
      <c r="B16" s="3319" t="s">
        <v>69</v>
      </c>
      <c r="C16" s="3320"/>
    </row>
    <row r="17" spans="1:3" ht="13.5">
      <c r="A17" s="3325"/>
      <c r="B17" s="3322" t="s">
        <v>1575</v>
      </c>
      <c r="C17" s="1686" t="s">
        <v>1574</v>
      </c>
    </row>
    <row r="18" spans="1:3" ht="13.5">
      <c r="A18" s="3325"/>
      <c r="B18" s="3322"/>
      <c r="C18" s="1686" t="s">
        <v>1576</v>
      </c>
    </row>
    <row r="19" spans="1:3" ht="13.5">
      <c r="A19" s="3325"/>
      <c r="B19" s="3322"/>
      <c r="C19" s="1686" t="s">
        <v>1577</v>
      </c>
    </row>
    <row r="20" spans="1:3" ht="13.5">
      <c r="A20" s="3326"/>
      <c r="B20" s="3321" t="s">
        <v>1578</v>
      </c>
      <c r="C20" s="3320"/>
    </row>
    <row r="21" spans="1:3" ht="13.5">
      <c r="A21" s="1687" t="s">
        <v>1579</v>
      </c>
      <c r="B21" s="1688"/>
      <c r="C21" s="1689"/>
    </row>
    <row r="22" spans="1:3" ht="13.5">
      <c r="A22" s="3323" t="s">
        <v>1580</v>
      </c>
      <c r="B22" s="3321" t="s">
        <v>1581</v>
      </c>
      <c r="C22" s="3320"/>
    </row>
    <row r="23" spans="1:3" ht="13.5">
      <c r="A23" s="3323"/>
      <c r="B23" s="3321" t="s">
        <v>1582</v>
      </c>
      <c r="C23" s="3320"/>
    </row>
    <row r="24" spans="1:3" ht="13.5">
      <c r="A24" s="3323"/>
      <c r="B24" s="3321" t="s">
        <v>1583</v>
      </c>
      <c r="C24" s="3320"/>
    </row>
    <row r="25" spans="1:3" ht="13.5">
      <c r="A25" s="3323"/>
      <c r="B25" s="3322" t="s">
        <v>1584</v>
      </c>
      <c r="C25" s="1686" t="s">
        <v>1585</v>
      </c>
    </row>
    <row r="26" spans="1:3" ht="13.5">
      <c r="A26" s="3323"/>
      <c r="B26" s="3322"/>
      <c r="C26" s="1686" t="s">
        <v>1586</v>
      </c>
    </row>
    <row r="27" spans="1:3" ht="13.5">
      <c r="A27" s="3323"/>
      <c r="B27" s="3322"/>
      <c r="C27" s="1686" t="s">
        <v>1587</v>
      </c>
    </row>
    <row r="28" spans="1:3" ht="13.5">
      <c r="A28" s="3323"/>
      <c r="B28" s="3322"/>
      <c r="C28" s="1686" t="s">
        <v>1588</v>
      </c>
    </row>
    <row r="29" spans="1:3" ht="13.5">
      <c r="A29" s="3323"/>
      <c r="B29" s="3322"/>
      <c r="C29" s="1686" t="s">
        <v>1589</v>
      </c>
    </row>
    <row r="30" spans="1:3" ht="13.5">
      <c r="A30" s="3323"/>
      <c r="B30" s="3322"/>
      <c r="C30" s="1686" t="s">
        <v>1590</v>
      </c>
    </row>
    <row r="31" spans="1:3" ht="13.5">
      <c r="A31" s="3323"/>
      <c r="B31" s="3322"/>
      <c r="C31" s="1686" t="s">
        <v>1591</v>
      </c>
    </row>
    <row r="32" spans="1:3" ht="13.5">
      <c r="A32" s="3323"/>
      <c r="B32" s="3322"/>
      <c r="C32" s="1686" t="s">
        <v>1592</v>
      </c>
    </row>
    <row r="33" spans="1:3" ht="13.5">
      <c r="A33" s="3323"/>
      <c r="B33" s="3322"/>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2818</v>
      </c>
      <c r="B2" s="2531">
        <f ca="1">TODAY()</f>
        <v>44608</v>
      </c>
      <c r="C2" s="2532" t="s">
        <v>2819</v>
      </c>
      <c r="D2" s="2532"/>
      <c r="E2" s="2532"/>
      <c r="F2" s="2528"/>
      <c r="G2" s="2528"/>
      <c r="H2" s="2528"/>
    </row>
    <row r="3" spans="1:8" ht="24" customHeight="1">
      <c r="A3" s="2533" t="s">
        <v>2820</v>
      </c>
      <c r="B3" s="2534" t="s">
        <v>2821</v>
      </c>
      <c r="C3" s="2534" t="s">
        <v>2822</v>
      </c>
      <c r="D3" s="2535" t="s">
        <v>2823</v>
      </c>
      <c r="E3" s="2536" t="s">
        <v>2824</v>
      </c>
      <c r="F3" s="1443" t="s">
        <v>2825</v>
      </c>
      <c r="G3" s="2534" t="s">
        <v>2822</v>
      </c>
      <c r="H3" s="2535" t="s">
        <v>2826</v>
      </c>
    </row>
    <row r="4" spans="1:8" ht="24" customHeight="1">
      <c r="A4" s="1443" t="s">
        <v>2827</v>
      </c>
      <c r="B4" s="1443">
        <f ca="1">IF(C4&lt;B2,"已过期",1119970066)</f>
        <v>1119970066</v>
      </c>
      <c r="C4" s="2537">
        <v>44876</v>
      </c>
      <c r="D4" s="2538" t="str">
        <f ca="1">A4&amp;"（注册号："&amp;B4&amp;"）"</f>
        <v>梁津（注册号：1119970066）</v>
      </c>
      <c r="E4" s="2539" t="s">
        <v>2827</v>
      </c>
      <c r="F4" s="1443">
        <f ca="1">IF(G4&lt;B2,"已过期",96010014)</f>
        <v>96010014</v>
      </c>
      <c r="G4" s="2540">
        <v>47118</v>
      </c>
      <c r="H4" s="2541" t="str">
        <f ca="1">E4&amp;"（注册号："&amp;F4&amp;"）"</f>
        <v>梁津（注册号：96010014）</v>
      </c>
    </row>
    <row r="5" spans="1:8" ht="24" customHeight="1">
      <c r="A5" s="1443" t="s">
        <v>2828</v>
      </c>
      <c r="B5" s="1443">
        <f ca="1">IF(C5&lt;B2,"已过期",1119970111)</f>
        <v>1119970111</v>
      </c>
      <c r="C5" s="2537">
        <v>44876</v>
      </c>
      <c r="D5" s="2538" t="str">
        <f t="shared" ref="D5:D15" ca="1" si="0">A5&amp;"（注册号："&amp;B5&amp;"）"</f>
        <v>叶凌（注册号：1119970111）</v>
      </c>
      <c r="E5" s="2539" t="s">
        <v>2828</v>
      </c>
      <c r="F5" s="1443">
        <f ca="1">IF(G5&lt;B2,"已过期",94010078)</f>
        <v>94010078</v>
      </c>
      <c r="G5" s="2540">
        <v>46387</v>
      </c>
      <c r="H5" s="2541" t="str">
        <f t="shared" ref="H5:H16" ca="1" si="1">E5&amp;"（注册号："&amp;F5&amp;"）"</f>
        <v>叶凌（注册号：94010078）</v>
      </c>
    </row>
    <row r="6" spans="1:8" ht="24" customHeight="1">
      <c r="A6" s="1443" t="s">
        <v>2829</v>
      </c>
      <c r="B6" s="1443" t="str">
        <f ca="1">IF(C6&lt;B2,"已过期",1120050019)</f>
        <v>已过期</v>
      </c>
      <c r="C6" s="2537">
        <v>44395</v>
      </c>
      <c r="D6" s="2538" t="str">
        <f t="shared" ca="1" si="0"/>
        <v>王鹏（注册号：已过期）</v>
      </c>
      <c r="E6" s="2539" t="s">
        <v>2829</v>
      </c>
      <c r="F6" s="1443">
        <f ca="1">IF(G6&lt;B2,"已过期",2002110030)</f>
        <v>2002110030</v>
      </c>
      <c r="G6" s="2540">
        <v>46387</v>
      </c>
      <c r="H6" s="2541" t="str">
        <f t="shared" ca="1" si="1"/>
        <v>王鹏（注册号：2002110030）</v>
      </c>
    </row>
    <row r="7" spans="1:8" ht="24" customHeight="1">
      <c r="A7" s="1443" t="s">
        <v>2830</v>
      </c>
      <c r="B7" s="1443">
        <f ca="1">IF(C7&lt;B2,"已过期",1120000080)</f>
        <v>1120000080</v>
      </c>
      <c r="C7" s="2537">
        <v>44876</v>
      </c>
      <c r="D7" s="2538" t="str">
        <f t="shared" ca="1" si="0"/>
        <v>欧红伟（注册号：1120000080）</v>
      </c>
      <c r="E7" s="2539" t="s">
        <v>2830</v>
      </c>
      <c r="F7" s="1443">
        <f ca="1">IF(G7&lt;B2,"已过期",2000110082)</f>
        <v>2000110082</v>
      </c>
      <c r="G7" s="2540">
        <v>46387</v>
      </c>
      <c r="H7" s="2541" t="str">
        <f t="shared" ca="1" si="1"/>
        <v>欧红伟（注册号：2000110082）</v>
      </c>
    </row>
    <row r="8" spans="1:8" ht="24" customHeight="1">
      <c r="A8" s="1443" t="s">
        <v>2831</v>
      </c>
      <c r="B8" s="1443">
        <f ca="1">IF(C8&lt;B2,"已过期",1419970001)</f>
        <v>1419970001</v>
      </c>
      <c r="C8" s="2537">
        <v>44899</v>
      </c>
      <c r="D8" s="2538" t="str">
        <f t="shared" ca="1" si="0"/>
        <v>吴薇（注册号：1419970001）</v>
      </c>
      <c r="E8" s="2539" t="s">
        <v>2831</v>
      </c>
      <c r="F8" s="1443">
        <f ca="1">IF(G8&lt;B2,"已过期",2002110125)</f>
        <v>2002110125</v>
      </c>
      <c r="G8" s="2540">
        <v>47118</v>
      </c>
      <c r="H8" s="2541" t="str">
        <f t="shared" ca="1" si="1"/>
        <v>吴薇（注册号：2002110125）</v>
      </c>
    </row>
    <row r="9" spans="1:8" ht="24" customHeight="1">
      <c r="A9" s="1443" t="s">
        <v>2832</v>
      </c>
      <c r="B9" s="1443" t="str">
        <f ca="1">IF(C9&lt;B2,"已过期",1120060040)</f>
        <v>已过期</v>
      </c>
      <c r="C9" s="2542">
        <v>44554</v>
      </c>
      <c r="D9" s="2538" t="str">
        <f t="shared" ca="1" si="0"/>
        <v>陈颖（注册号：已过期）</v>
      </c>
      <c r="E9" s="2539" t="s">
        <v>2832</v>
      </c>
      <c r="F9" s="1443">
        <f ca="1">IF(G9&lt;B2,"已过期",2004110096)</f>
        <v>2004110096</v>
      </c>
      <c r="G9" s="2540">
        <v>47118</v>
      </c>
      <c r="H9" s="2541" t="str">
        <f t="shared" ca="1" si="1"/>
        <v>陈颖（注册号：2004110096）</v>
      </c>
    </row>
    <row r="10" spans="1:8" ht="24" customHeight="1">
      <c r="A10" s="1443" t="s">
        <v>2833</v>
      </c>
      <c r="B10" s="1443">
        <f ca="1">IF(C10&lt;B2,"已过期",1120100036)</f>
        <v>1120100036</v>
      </c>
      <c r="C10" s="2542">
        <v>44675</v>
      </c>
      <c r="D10" s="2538" t="str">
        <f t="shared" ca="1" si="0"/>
        <v>崔锴（注册号：1120100036）</v>
      </c>
      <c r="E10" s="2539" t="s">
        <v>2833</v>
      </c>
      <c r="F10" s="1443">
        <f ca="1">IF(G10&lt;B2,"已过期",2010110070)</f>
        <v>2010110070</v>
      </c>
      <c r="G10" s="2540">
        <v>47907</v>
      </c>
      <c r="H10" s="2541" t="str">
        <f t="shared" ca="1" si="1"/>
        <v>崔锴（注册号：2010110070）</v>
      </c>
    </row>
    <row r="11" spans="1:8" ht="24" customHeight="1">
      <c r="A11" s="1443" t="s">
        <v>2834</v>
      </c>
      <c r="B11" s="1443">
        <f ca="1">IF(C11&lt;B2,"已过期",1120070131)</f>
        <v>1120070131</v>
      </c>
      <c r="C11" s="2537">
        <v>44849</v>
      </c>
      <c r="D11" s="2538" t="str">
        <f t="shared" ca="1" si="0"/>
        <v>郑燚（注册号：1120070131）</v>
      </c>
      <c r="E11" s="2539" t="s">
        <v>2834</v>
      </c>
      <c r="F11" s="1443">
        <f ca="1">IF(G11&lt;B2,"已过期",2014110011)</f>
        <v>2014110011</v>
      </c>
      <c r="G11" s="2540">
        <v>49302</v>
      </c>
      <c r="H11" s="2541" t="str">
        <f t="shared" ca="1" si="1"/>
        <v>郑燚（注册号：2014110011）</v>
      </c>
    </row>
    <row r="12" spans="1:8" ht="24" customHeight="1">
      <c r="A12" s="1443" t="s">
        <v>2835</v>
      </c>
      <c r="B12" s="1443">
        <f ca="1">IF(C12&lt;B2,"已过期",1120040230)</f>
        <v>1120040230</v>
      </c>
      <c r="C12" s="2542">
        <v>44864</v>
      </c>
      <c r="D12" s="2538" t="str">
        <f t="shared" ca="1" si="0"/>
        <v>苏海（注册号：1120040230）</v>
      </c>
      <c r="E12" s="2539" t="s">
        <v>2835</v>
      </c>
      <c r="F12" s="1443">
        <f ca="1">IF(G12&lt;B2,"已过期",98030020)</f>
        <v>98030020</v>
      </c>
      <c r="G12" s="2540">
        <v>47118</v>
      </c>
      <c r="H12" s="2541" t="str">
        <f t="shared" ca="1" si="1"/>
        <v>苏海（注册号：98030020）</v>
      </c>
    </row>
    <row r="13" spans="1:8" ht="24" customHeight="1">
      <c r="A13" s="1443" t="s">
        <v>2836</v>
      </c>
      <c r="B13" s="1443" t="str">
        <f ca="1">IF(C13&lt;B2,"已过期",1120020033)</f>
        <v>已过期</v>
      </c>
      <c r="C13" s="2537">
        <v>44339</v>
      </c>
      <c r="D13" s="2538" t="str">
        <f t="shared" ca="1" si="0"/>
        <v>刘敬东（注册号：已过期）</v>
      </c>
      <c r="E13" s="2539" t="s">
        <v>2836</v>
      </c>
      <c r="F13" s="1443">
        <f ca="1">IF(G13&lt;B2,"已过期",2000110137)</f>
        <v>2000110137</v>
      </c>
      <c r="G13" s="2540">
        <v>46387</v>
      </c>
      <c r="H13" s="2541" t="str">
        <f t="shared" ca="1" si="1"/>
        <v>刘敬东（注册号：2000110137）</v>
      </c>
    </row>
    <row r="14" spans="1:8" ht="24" customHeight="1">
      <c r="A14" s="1443" t="s">
        <v>2837</v>
      </c>
      <c r="B14" s="1443">
        <f ca="1">IF(C14&lt;B2,"已过期",1119980106)</f>
        <v>1119980106</v>
      </c>
      <c r="C14" s="2542">
        <v>44969</v>
      </c>
      <c r="D14" s="2538" t="str">
        <f t="shared" ca="1" si="0"/>
        <v>刘俊财（注册号：1119980106）</v>
      </c>
      <c r="E14" s="2539" t="s">
        <v>2837</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2838</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27" t="s">
        <v>2839</v>
      </c>
      <c r="B17" s="3327"/>
      <c r="C17" s="3327"/>
      <c r="D17" s="3327"/>
      <c r="E17" s="3327"/>
      <c r="F17" s="3327"/>
      <c r="G17" s="3327"/>
      <c r="H17" s="3327"/>
    </row>
    <row r="18" spans="1:8" ht="24" customHeight="1">
      <c r="A18" s="3328" t="s">
        <v>2840</v>
      </c>
      <c r="B18" s="3328"/>
      <c r="C18" s="3328"/>
      <c r="D18" s="2535"/>
      <c r="E18" s="3329" t="s">
        <v>2841</v>
      </c>
      <c r="F18" s="3328"/>
      <c r="G18" s="3328"/>
    </row>
    <row r="19" spans="1:8" s="2546" customFormat="1" ht="24" customHeight="1">
      <c r="A19" s="2545" t="s">
        <v>2842</v>
      </c>
      <c r="B19" s="2534" t="s">
        <v>2843</v>
      </c>
      <c r="C19" s="2534" t="s">
        <v>2822</v>
      </c>
      <c r="D19" s="2535"/>
      <c r="E19" s="2539" t="s">
        <v>2842</v>
      </c>
      <c r="F19" s="2534" t="s">
        <v>2843</v>
      </c>
      <c r="G19" s="2534" t="s">
        <v>2822</v>
      </c>
    </row>
    <row r="20" spans="1:8" s="2546" customFormat="1" ht="24" customHeight="1">
      <c r="A20" s="2547" t="s">
        <v>2844</v>
      </c>
      <c r="B20" s="2547" t="s">
        <v>2845</v>
      </c>
      <c r="C20" s="2540">
        <v>44820</v>
      </c>
      <c r="D20" s="2548"/>
      <c r="E20" s="2549" t="s">
        <v>2846</v>
      </c>
      <c r="F20" s="2547" t="s">
        <v>2847</v>
      </c>
      <c r="G20" s="2550">
        <v>44377</v>
      </c>
    </row>
    <row r="21" spans="1:8" s="2546" customFormat="1" ht="24" customHeight="1">
      <c r="A21" s="2547"/>
      <c r="B21" s="2547"/>
      <c r="C21" s="2551"/>
      <c r="D21" s="2552"/>
      <c r="E21" s="2549" t="s">
        <v>2848</v>
      </c>
      <c r="F21" s="2553" t="s">
        <v>2849</v>
      </c>
      <c r="G21" s="2554">
        <v>44012</v>
      </c>
    </row>
    <row r="22" spans="1:8" ht="24" customHeight="1">
      <c r="C22" s="2555"/>
      <c r="D22" s="2555"/>
      <c r="E22" s="2556"/>
      <c r="F22" s="2557"/>
      <c r="G22" s="2558"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房地分估</vt:lpstr>
      <vt:lpstr>土地案例</vt:lpstr>
      <vt:lpstr>年期修正系数</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2022-02-16T08:47:29Z</dcterms:modified>
</cp:coreProperties>
</file>