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state="hidden" r:id="rId30"/>
    <sheet name="不动产收益法（商业）" sheetId="15" r:id="rId31"/>
    <sheet name="不动产收益法（地下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7" i="39" l="1"/>
  <c r="J34" i="70" l="1"/>
  <c r="I34" i="70"/>
  <c r="D86" i="39" l="1"/>
  <c r="C15" i="39" s="1"/>
  <c r="C87" i="39"/>
  <c r="C86" i="39"/>
  <c r="I15" i="39" s="1"/>
  <c r="I7" i="6"/>
  <c r="AL13" i="3"/>
  <c r="K13" i="3"/>
  <c r="I13" i="3"/>
  <c r="A3" i="3"/>
  <c r="G15" i="39" l="1"/>
  <c r="E15" i="39"/>
  <c r="B38" i="1"/>
  <c r="F20" i="6" l="1"/>
  <c r="F19" i="6"/>
  <c r="I48" i="39"/>
  <c r="G48" i="39"/>
  <c r="E48" i="39"/>
  <c r="I40" i="39"/>
  <c r="G40" i="39"/>
  <c r="E40" i="39"/>
  <c r="K34" i="39"/>
  <c r="K31" i="39"/>
  <c r="K29" i="39"/>
  <c r="K27" i="39"/>
  <c r="K25" i="39"/>
  <c r="K23" i="39"/>
  <c r="K19" i="39"/>
  <c r="K17" i="39"/>
  <c r="I14" i="39"/>
  <c r="G14" i="39"/>
  <c r="E14" i="39"/>
  <c r="C14" i="39"/>
  <c r="K13" i="39"/>
  <c r="I13" i="39"/>
  <c r="G13" i="39"/>
  <c r="E13" i="39"/>
  <c r="I5" i="39"/>
  <c r="G5" i="39"/>
  <c r="E5" i="39"/>
  <c r="I9" i="39"/>
  <c r="I8" i="39"/>
  <c r="I7" i="39"/>
  <c r="G9" i="39"/>
  <c r="G8" i="39"/>
  <c r="G7" i="39"/>
  <c r="E73" i="39"/>
  <c r="F73" i="39" s="1"/>
  <c r="G73" i="39" s="1"/>
  <c r="H73" i="39" s="1"/>
  <c r="I73" i="39" s="1"/>
  <c r="J73" i="39" s="1"/>
  <c r="K73" i="39" s="1"/>
  <c r="L73" i="39" s="1"/>
  <c r="M73" i="39" s="1"/>
  <c r="N73" i="39" s="1"/>
  <c r="D73" i="39"/>
  <c r="D85" i="39"/>
  <c r="D84" i="39"/>
  <c r="C85" i="39"/>
  <c r="C84" i="39"/>
  <c r="G82" i="39"/>
  <c r="F82" i="39"/>
  <c r="E82" i="39"/>
  <c r="D82" i="39"/>
  <c r="F78" i="39"/>
  <c r="E78" i="39"/>
  <c r="D78" i="39"/>
  <c r="F77" i="39"/>
  <c r="E77" i="39"/>
  <c r="D77" i="39"/>
  <c r="C77" i="39"/>
  <c r="E9" i="39"/>
  <c r="E8" i="39"/>
  <c r="E7" i="39"/>
  <c r="E68" i="21"/>
  <c r="D68" i="21"/>
  <c r="C68" i="21"/>
  <c r="K23" i="21"/>
  <c r="K21" i="21"/>
  <c r="K19" i="21"/>
  <c r="K17" i="21"/>
  <c r="K15" i="21"/>
  <c r="K42" i="21"/>
  <c r="I47" i="21"/>
  <c r="G47" i="21"/>
  <c r="E47" i="21"/>
  <c r="K11" i="21"/>
  <c r="K10" i="21"/>
  <c r="I11" i="21"/>
  <c r="G11" i="21"/>
  <c r="E11" i="21"/>
  <c r="I7" i="21"/>
  <c r="G7" i="21"/>
  <c r="E7" i="21"/>
  <c r="I6" i="21"/>
  <c r="I5" i="21"/>
  <c r="G6" i="21"/>
  <c r="G5" i="21"/>
  <c r="E6" i="21"/>
  <c r="E5" i="21"/>
  <c r="B54" i="1"/>
  <c r="B49" i="1"/>
  <c r="B48" i="1"/>
  <c r="B42" i="1"/>
  <c r="B37" i="1"/>
  <c r="B36" i="1"/>
  <c r="F18" i="69" s="1"/>
  <c r="B35" i="1"/>
  <c r="B34" i="1"/>
  <c r="B33" i="1"/>
  <c r="B30" i="1"/>
  <c r="B28" i="1"/>
  <c r="B27" i="1"/>
  <c r="J8" i="1"/>
  <c r="J7" i="1"/>
  <c r="J6" i="1"/>
  <c r="I8" i="1"/>
  <c r="I7" i="1"/>
  <c r="I6" i="1"/>
  <c r="H8" i="1"/>
  <c r="H7" i="1"/>
  <c r="H6" i="1"/>
  <c r="L8" i="1"/>
  <c r="L7" i="1"/>
  <c r="L6" i="1"/>
  <c r="Q8" i="1"/>
  <c r="Q7" i="1"/>
  <c r="Q6" i="1"/>
  <c r="U8" i="1"/>
  <c r="V8" i="1"/>
  <c r="V7" i="1"/>
  <c r="W7" i="1"/>
  <c r="W8" i="1"/>
  <c r="AM8" i="1"/>
  <c r="AM7" i="1"/>
  <c r="AL8" i="1"/>
  <c r="AL7" i="1"/>
  <c r="AK8" i="1"/>
  <c r="AK7" i="1"/>
  <c r="Q73" i="69"/>
  <c r="Q60" i="69"/>
  <c r="D60" i="69"/>
  <c r="Q59" i="69"/>
  <c r="K59" i="69"/>
  <c r="F58" i="69"/>
  <c r="Q52" i="69"/>
  <c r="J50" i="69"/>
  <c r="M47" i="69"/>
  <c r="F33" i="69"/>
  <c r="F60" i="69" s="1"/>
  <c r="F31" i="69"/>
  <c r="F23" i="69"/>
  <c r="F21" i="69"/>
  <c r="F20" i="69"/>
  <c r="M19" i="69"/>
  <c r="M17" i="69"/>
  <c r="F17" i="69"/>
  <c r="F15" i="69"/>
  <c r="G17" i="4"/>
  <c r="E17" i="4"/>
  <c r="D17" i="4"/>
  <c r="C11" i="4"/>
  <c r="C10" i="4"/>
  <c r="B6" i="4"/>
  <c r="B5" i="4"/>
  <c r="D3" i="4"/>
  <c r="B3" i="4"/>
  <c r="D23" i="69" l="1"/>
  <c r="D22" i="69"/>
  <c r="D24" i="69"/>
  <c r="P75" i="69"/>
  <c r="P62" i="69"/>
  <c r="J51" i="69"/>
  <c r="AB5" i="59" l="1"/>
  <c r="AA5" i="59"/>
  <c r="Y5" i="59"/>
  <c r="X5" i="59"/>
  <c r="X6" i="59"/>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Z5" i="59" s="1"/>
  <c r="N6" i="59"/>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B66" i="63" s="1"/>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s="1"/>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A4" i="55"/>
  <c r="B57" i="63"/>
  <c r="B41" i="63"/>
  <c r="G5" i="54"/>
  <c r="B34" i="63"/>
  <c r="E5" i="54"/>
  <c r="B32" i="63"/>
  <c r="R2" i="54"/>
  <c r="B24" i="63"/>
  <c r="B19" i="63"/>
  <c r="B49" i="50"/>
  <c r="B5" i="63"/>
  <c r="B40" i="50"/>
  <c r="B3" i="63" s="1"/>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AC21" i="21" s="1"/>
  <c r="F96" i="40"/>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F6" i="1" s="1"/>
  <c r="AP6" i="1" s="1"/>
  <c r="I19" i="4"/>
  <c r="H19" i="4"/>
  <c r="G19" i="4"/>
  <c r="F8" i="1" s="1"/>
  <c r="F9" i="1"/>
  <c r="AP9" i="1" s="1"/>
  <c r="F19" i="4"/>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L19" i="6" s="1"/>
  <c r="E20" i="6"/>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s="1"/>
  <c r="H10" i="39"/>
  <c r="AB10" i="39" s="1"/>
  <c r="H11" i="39"/>
  <c r="AB11" i="39" s="1"/>
  <c r="H36" i="39"/>
  <c r="AB36" i="39"/>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B5" i="3" s="1"/>
  <c r="E5" i="6" s="1"/>
  <c r="D21" i="12" s="1"/>
  <c r="C21" i="12" s="1"/>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s="1"/>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E97" i="39" s="1"/>
  <c r="F97" i="39" s="1"/>
  <c r="G97" i="39" s="1"/>
  <c r="D95" i="39"/>
  <c r="E95" i="39" s="1"/>
  <c r="F95" i="39" s="1"/>
  <c r="G95" i="39" s="1"/>
  <c r="D93" i="39"/>
  <c r="E93" i="39" s="1"/>
  <c r="D91" i="39"/>
  <c r="E91" i="39" s="1"/>
  <c r="B88" i="39"/>
  <c r="B86" i="39"/>
  <c r="B84" i="39"/>
  <c r="M81" i="39"/>
  <c r="L81" i="39"/>
  <c r="K81" i="39"/>
  <c r="J81" i="39"/>
  <c r="I81" i="39"/>
  <c r="H81" i="39"/>
  <c r="G81" i="39"/>
  <c r="F81" i="39"/>
  <c r="E81" i="39"/>
  <c r="D81" i="39"/>
  <c r="P50" i="39"/>
  <c r="P49" i="39"/>
  <c r="V48" i="39"/>
  <c r="T48" i="39"/>
  <c r="R48" i="39"/>
  <c r="P48" i="39"/>
  <c r="Q37" i="39"/>
  <c r="Z37" i="39" s="1"/>
  <c r="Q36" i="39"/>
  <c r="Z36" i="39"/>
  <c r="Q34" i="39"/>
  <c r="Z34" i="39"/>
  <c r="Q33" i="39"/>
  <c r="Z33" i="39"/>
  <c r="Q29" i="39"/>
  <c r="Z29" i="39"/>
  <c r="Q27" i="39"/>
  <c r="Z27" i="39"/>
  <c r="Q25" i="39"/>
  <c r="Z25" i="39"/>
  <c r="Q23" i="39"/>
  <c r="Z23" i="39"/>
  <c r="Q21" i="39"/>
  <c r="Z21" i="39" s="1"/>
  <c r="Q19" i="39"/>
  <c r="Z19" i="39"/>
  <c r="Q17" i="39"/>
  <c r="Z17" i="39"/>
  <c r="Q16" i="39"/>
  <c r="Z16" i="39" s="1"/>
  <c r="Q15" i="39"/>
  <c r="Z15" i="39" s="1"/>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G9" i="12"/>
  <c r="K5" i="3"/>
  <c r="J5" i="3"/>
  <c r="BE10"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10" i="21"/>
  <c r="AC10" i="21" s="1"/>
  <c r="H26" i="2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AB30" i="21"/>
  <c r="AA28"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U39" i="21"/>
  <c r="W9" i="21"/>
  <c r="J32" i="21"/>
  <c r="AC32" i="21" s="1"/>
  <c r="H17" i="21"/>
  <c r="AB17"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F27" i="39"/>
  <c r="AA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J23" i="39"/>
  <c r="AC23" i="39" s="1"/>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B11" i="1"/>
  <c r="E11" i="1"/>
  <c r="K11" i="1"/>
  <c r="M11" i="1" s="1"/>
  <c r="B9" i="1"/>
  <c r="E9" i="1"/>
  <c r="K9" i="1"/>
  <c r="M9" i="1" s="1"/>
  <c r="B7" i="1"/>
  <c r="E7" i="1"/>
  <c r="K7" i="1"/>
  <c r="M7" i="1" s="1"/>
  <c r="C20" i="43"/>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S23" i="21" s="1"/>
  <c r="H23" i="21"/>
  <c r="U23" i="21" s="1"/>
  <c r="J15" i="21"/>
  <c r="W15" i="21" s="1"/>
  <c r="H15" i="21"/>
  <c r="U15" i="21" s="1"/>
  <c r="W13" i="21"/>
  <c r="AC23" i="21"/>
  <c r="W21" i="21"/>
  <c r="W44"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C38" i="39"/>
  <c r="S29" i="39"/>
  <c r="AC21" i="39"/>
  <c r="U11" i="39"/>
  <c r="AB38" i="39"/>
  <c r="S25" i="39"/>
  <c r="S38" i="39"/>
  <c r="S22" i="31"/>
  <c r="D96" i="9"/>
  <c r="F28" i="15"/>
  <c r="M18" i="15"/>
  <c r="A18" i="64"/>
  <c r="B74" i="63"/>
  <c r="C53" i="10"/>
  <c r="A25" i="64" s="1"/>
  <c r="A18" i="51"/>
  <c r="B14" i="63"/>
  <c r="BA16" i="3"/>
  <c r="BA17" i="3"/>
  <c r="AZ17" i="3"/>
  <c r="F3" i="35"/>
  <c r="K1" i="43"/>
  <c r="K1" i="12"/>
  <c r="G1" i="44"/>
  <c r="AZ15" i="3"/>
  <c r="BK5" i="3"/>
  <c r="BO5" i="3"/>
  <c r="BP5" i="3"/>
  <c r="BN5" i="3"/>
  <c r="BL18" i="3"/>
  <c r="AZ18" i="3"/>
  <c r="BC5" i="3"/>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c r="B10" i="1"/>
  <c r="E10" i="1"/>
  <c r="S10" i="1"/>
  <c r="B8" i="1"/>
  <c r="E8" i="1" s="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AC27" i="21"/>
  <c r="G96" i="40"/>
  <c r="J27" i="40"/>
  <c r="W37" i="40"/>
  <c r="S17" i="40"/>
  <c r="W30" i="40"/>
  <c r="S34" i="40"/>
  <c r="U17" i="40"/>
  <c r="U38" i="40"/>
  <c r="S40" i="40"/>
  <c r="S42" i="40"/>
  <c r="S45" i="39"/>
  <c r="AB43" i="39"/>
  <c r="AB33" i="39"/>
  <c r="AC46" i="39"/>
  <c r="W42" i="39"/>
  <c r="W36" i="39"/>
  <c r="AC37" i="39"/>
  <c r="U14" i="39"/>
  <c r="W16"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B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AZ16" i="3"/>
  <c r="A25" i="51"/>
  <c r="B18" i="63" s="1"/>
  <c r="A3" i="55"/>
  <c r="B56" i="63"/>
  <c r="E4" i="4"/>
  <c r="C4" i="4"/>
  <c r="B20" i="55" s="1"/>
  <c r="B70" i="63" s="1"/>
  <c r="G66" i="36"/>
  <c r="J18" i="36"/>
  <c r="AE6" i="1"/>
  <c r="W18" i="36"/>
  <c r="AC18" i="36"/>
  <c r="AG6" i="1"/>
  <c r="L20" i="6"/>
  <c r="B21" i="55"/>
  <c r="B72" i="63" s="1"/>
  <c r="F7" i="21"/>
  <c r="AA7" i="21" s="1"/>
  <c r="H7" i="21"/>
  <c r="AB7" i="21" s="1"/>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M9" i="15"/>
  <c r="F18" i="44"/>
  <c r="J36" i="15"/>
  <c r="J15" i="15"/>
  <c r="F26" i="69"/>
  <c r="F13" i="67"/>
  <c r="F38" i="69"/>
  <c r="F9" i="44"/>
  <c r="F43" i="44"/>
  <c r="B9" i="67"/>
  <c r="M24" i="69"/>
  <c r="N7" i="65"/>
  <c r="F8" i="69"/>
  <c r="F9" i="15"/>
  <c r="E8" i="67"/>
  <c r="B14" i="67"/>
  <c r="L47" i="15"/>
  <c r="M26" i="69"/>
  <c r="E9" i="67"/>
  <c r="F37" i="69"/>
  <c r="F37" i="15"/>
  <c r="M30" i="44"/>
  <c r="M22" i="69"/>
  <c r="M23" i="69"/>
  <c r="M23" i="44"/>
  <c r="M27" i="69"/>
  <c r="F11" i="44"/>
  <c r="M28" i="69"/>
  <c r="F40" i="44"/>
  <c r="J15" i="69"/>
  <c r="F26" i="15"/>
  <c r="F36" i="15"/>
  <c r="M28" i="15"/>
  <c r="M8" i="69"/>
  <c r="F8" i="67"/>
  <c r="F16" i="69"/>
  <c r="E14" i="67"/>
  <c r="F14" i="67"/>
  <c r="F8" i="44"/>
  <c r="F15" i="44"/>
  <c r="M9" i="69"/>
  <c r="N5" i="65"/>
  <c r="F36" i="69"/>
  <c r="F45" i="44"/>
  <c r="M22" i="15"/>
  <c r="F10" i="67"/>
  <c r="L47" i="69"/>
  <c r="J17" i="44"/>
  <c r="F13" i="69"/>
  <c r="F46" i="44"/>
  <c r="F8" i="15"/>
  <c r="L48" i="69"/>
  <c r="F38" i="44"/>
  <c r="M6" i="69"/>
  <c r="B12" i="67"/>
  <c r="F6" i="69"/>
  <c r="F39" i="44"/>
  <c r="M11" i="44"/>
  <c r="M28" i="44"/>
  <c r="J36" i="69"/>
  <c r="F7" i="15"/>
  <c r="F40" i="69"/>
  <c r="M10" i="44"/>
  <c r="F40" i="15"/>
  <c r="M24" i="15"/>
  <c r="F10" i="44"/>
  <c r="F16" i="15"/>
  <c r="L49" i="44"/>
  <c r="F12" i="67"/>
  <c r="M24" i="44"/>
  <c r="C19" i="44"/>
  <c r="M29" i="15"/>
  <c r="F11" i="67"/>
  <c r="M26" i="44"/>
  <c r="F42" i="15"/>
  <c r="B11" i="67"/>
  <c r="F9" i="67"/>
  <c r="M26" i="15"/>
  <c r="N6" i="65"/>
  <c r="M8" i="15"/>
  <c r="F13" i="15"/>
  <c r="E12" i="67"/>
  <c r="M31" i="44"/>
  <c r="M6" i="15"/>
  <c r="E10" i="67"/>
  <c r="M25" i="44"/>
  <c r="F37" i="44"/>
  <c r="N3" i="65"/>
  <c r="F43" i="15"/>
  <c r="F6" i="15"/>
  <c r="M23" i="15"/>
  <c r="F42" i="69"/>
  <c r="B13" i="67"/>
  <c r="E13" i="67"/>
  <c r="E11" i="67"/>
  <c r="F38" i="15"/>
  <c r="M29" i="44"/>
  <c r="B10" i="67"/>
  <c r="L48" i="15"/>
  <c r="M27" i="15"/>
  <c r="B8" i="67"/>
  <c r="N4" i="65"/>
  <c r="F28" i="44"/>
  <c r="L48" i="44"/>
  <c r="F9" i="69"/>
  <c r="M8" i="44"/>
  <c r="E8" i="6" l="1"/>
  <c r="E58" i="39" s="1"/>
  <c r="J7" i="21"/>
  <c r="AC7" i="21" s="1"/>
  <c r="J31" i="39"/>
  <c r="AC31" i="39" s="1"/>
  <c r="K6" i="1"/>
  <c r="M6" i="1" s="1"/>
  <c r="O6" i="1" s="1"/>
  <c r="P6" i="1" s="1"/>
  <c r="M20" i="15"/>
  <c r="H23" i="39"/>
  <c r="AB23" i="39" s="1"/>
  <c r="H27" i="39"/>
  <c r="AB27" i="39" s="1"/>
  <c r="J17" i="21"/>
  <c r="AC17" i="21" s="1"/>
  <c r="F17" i="21"/>
  <c r="S17" i="21" s="1"/>
  <c r="J57" i="39"/>
  <c r="S10" i="21"/>
  <c r="H19" i="21"/>
  <c r="AB19" i="21" s="1"/>
  <c r="G12" i="1"/>
  <c r="C18" i="9"/>
  <c r="D18" i="9" s="1"/>
  <c r="M44" i="9" s="1"/>
  <c r="E53" i="40"/>
  <c r="G11" i="1"/>
  <c r="G10" i="1"/>
  <c r="C110" i="9"/>
  <c r="S15" i="39"/>
  <c r="I4" i="6"/>
  <c r="G3" i="46" s="1"/>
  <c r="H22" i="46" s="1"/>
  <c r="AP8" i="1"/>
  <c r="G8" i="1"/>
  <c r="H31" i="39"/>
  <c r="D70" i="39"/>
  <c r="C72" i="39"/>
  <c r="C67" i="40"/>
  <c r="D65" i="40"/>
  <c r="E65" i="40" s="1"/>
  <c r="D58" i="33"/>
  <c r="E58" i="33" s="1"/>
  <c r="F58" i="33" s="1"/>
  <c r="G58" i="33" s="1"/>
  <c r="H58" i="33" s="1"/>
  <c r="I58" i="33" s="1"/>
  <c r="J58" i="33" s="1"/>
  <c r="K58" i="33" s="1"/>
  <c r="L58" i="33" s="1"/>
  <c r="M58" i="33" s="1"/>
  <c r="N58" i="33" s="1"/>
  <c r="O58" i="33" s="1"/>
  <c r="L16" i="4"/>
  <c r="L76" i="9"/>
  <c r="F31" i="39"/>
  <c r="AA31" i="39" s="1"/>
  <c r="D23" i="15"/>
  <c r="L27" i="6"/>
  <c r="A30" i="64"/>
  <c r="A30" i="51"/>
  <c r="B22" i="63" s="1"/>
  <c r="W41" i="39"/>
  <c r="AC43" i="39"/>
  <c r="H109" i="39"/>
  <c r="I109" i="39" s="1"/>
  <c r="J109" i="39" s="1"/>
  <c r="K109" i="39" s="1"/>
  <c r="L109" i="39" s="1"/>
  <c r="M109" i="39" s="1"/>
  <c r="F34" i="39"/>
  <c r="J34" i="39"/>
  <c r="AC34" i="39" s="1"/>
  <c r="H34" i="39"/>
  <c r="AB34" i="39" s="1"/>
  <c r="H19" i="39"/>
  <c r="F93" i="39"/>
  <c r="G93" i="39" s="1"/>
  <c r="F19" i="39"/>
  <c r="J19" i="39"/>
  <c r="F91" i="39"/>
  <c r="G91" i="39" s="1"/>
  <c r="H17" i="39"/>
  <c r="U17" i="39" s="1"/>
  <c r="AC17" i="39"/>
  <c r="W33" i="39"/>
  <c r="U23" i="39"/>
  <c r="S33" i="39"/>
  <c r="AA21" i="39"/>
  <c r="W31" i="39"/>
  <c r="S31" i="39"/>
  <c r="W29" i="39"/>
  <c r="W27" i="39"/>
  <c r="W25" i="39"/>
  <c r="W23" i="39"/>
  <c r="S23" i="39"/>
  <c r="U21" i="39"/>
  <c r="S17" i="39"/>
  <c r="AB17" i="39"/>
  <c r="AB15" i="39"/>
  <c r="W15" i="39"/>
  <c r="AB16" i="39"/>
  <c r="AC44" i="39"/>
  <c r="AB44" i="39"/>
  <c r="U41" i="39"/>
  <c r="W34" i="39"/>
  <c r="U34" i="39"/>
  <c r="S14" i="39"/>
  <c r="W14" i="39"/>
  <c r="U40" i="21"/>
  <c r="AA36" i="21"/>
  <c r="AB36" i="21"/>
  <c r="AC35" i="21"/>
  <c r="AB13" i="21"/>
  <c r="F81" i="21"/>
  <c r="G81" i="21" s="1"/>
  <c r="F19" i="21"/>
  <c r="AA19" i="21" s="1"/>
  <c r="W17" i="21"/>
  <c r="F15" i="21"/>
  <c r="F77" i="21"/>
  <c r="G77" i="21" s="1"/>
  <c r="U19" i="21"/>
  <c r="AC15" i="21"/>
  <c r="AA17" i="21"/>
  <c r="U17" i="21"/>
  <c r="AC19" i="21"/>
  <c r="S21" i="21"/>
  <c r="AA23" i="21"/>
  <c r="W32" i="21"/>
  <c r="H113" i="21"/>
  <c r="J37" i="21"/>
  <c r="H37" i="21"/>
  <c r="U37" i="21" s="1"/>
  <c r="F37" i="21"/>
  <c r="AB32" i="21"/>
  <c r="AC40" i="21"/>
  <c r="AB37" i="21"/>
  <c r="S39" i="21"/>
  <c r="AA40" i="21"/>
  <c r="S35" i="21"/>
  <c r="W42" i="21"/>
  <c r="S42" i="21"/>
  <c r="AA25" i="21"/>
  <c r="AA30" i="21"/>
  <c r="S26" i="21"/>
  <c r="W29" i="21"/>
  <c r="W31" i="21"/>
  <c r="AA29" i="21"/>
  <c r="U28" i="21"/>
  <c r="W10" i="21"/>
  <c r="W8" i="21"/>
  <c r="AB10" i="21"/>
  <c r="S7" i="21"/>
  <c r="M20" i="69"/>
  <c r="F34" i="69"/>
  <c r="F61" i="69" s="1"/>
  <c r="F34" i="15"/>
  <c r="F61" i="15" s="1"/>
  <c r="F28" i="69"/>
  <c r="C28" i="69" s="1"/>
  <c r="F32" i="69"/>
  <c r="F59" i="69" s="1"/>
  <c r="M18" i="69"/>
  <c r="L56" i="69"/>
  <c r="I54" i="69"/>
  <c r="J57" i="69"/>
  <c r="J55" i="69" s="1"/>
  <c r="J58" i="69" s="1"/>
  <c r="Q51" i="69" s="1"/>
  <c r="J53" i="69"/>
  <c r="C27" i="69"/>
  <c r="F65" i="69"/>
  <c r="L58" i="69"/>
  <c r="L59" i="69"/>
  <c r="F63" i="69"/>
  <c r="F50" i="69"/>
  <c r="F64" i="69"/>
  <c r="Q72" i="69"/>
  <c r="F67" i="69"/>
  <c r="D12" i="11"/>
  <c r="C12" i="11" s="1"/>
  <c r="E29" i="6"/>
  <c r="K15" i="1" s="1"/>
  <c r="F30" i="6"/>
  <c r="K17" i="4"/>
  <c r="A22" i="51" s="1"/>
  <c r="B16" i="63" s="1"/>
  <c r="K76" i="9"/>
  <c r="K77" i="9" s="1"/>
  <c r="K79" i="9" s="1"/>
  <c r="K81" i="9" s="1"/>
  <c r="U7" i="21"/>
  <c r="D67" i="40"/>
  <c r="E14" i="52"/>
  <c r="C30" i="44"/>
  <c r="C25" i="12"/>
  <c r="C15" i="43"/>
  <c r="C27" i="43"/>
  <c r="C31" i="43"/>
  <c r="C28" i="15"/>
  <c r="C15" i="12"/>
  <c r="H1" i="65"/>
  <c r="W7" i="21"/>
  <c r="H51" i="46"/>
  <c r="X7" i="46"/>
  <c r="E17" i="46"/>
  <c r="N17" i="46"/>
  <c r="O17" i="46"/>
  <c r="M17" i="46"/>
  <c r="L17" i="46"/>
  <c r="Y11" i="46"/>
  <c r="Y13" i="46" s="1"/>
  <c r="G22" i="46"/>
  <c r="F101" i="46"/>
  <c r="F106" i="46" s="1"/>
  <c r="O7" i="1"/>
  <c r="P7" i="1" s="1"/>
  <c r="O11" i="1"/>
  <c r="P11" i="1" s="1"/>
  <c r="O13" i="1"/>
  <c r="P13" i="1" s="1"/>
  <c r="O9" i="1"/>
  <c r="P9" i="1" s="1"/>
  <c r="O12" i="1"/>
  <c r="P12" i="1" s="1"/>
  <c r="AP7" i="1"/>
  <c r="G13" i="1"/>
  <c r="E52" i="37"/>
  <c r="D46" i="36"/>
  <c r="E48" i="35"/>
  <c r="D59" i="34"/>
  <c r="G6" i="1"/>
  <c r="H7" i="33"/>
  <c r="H70" i="46"/>
  <c r="H73" i="46"/>
  <c r="H50" i="46"/>
  <c r="H48" i="46"/>
  <c r="F35" i="46"/>
  <c r="I17" i="46"/>
  <c r="H63" i="46"/>
  <c r="I101" i="46"/>
  <c r="I102" i="46" s="1"/>
  <c r="N101" i="46"/>
  <c r="N105" i="46" s="1"/>
  <c r="AD11" i="46"/>
  <c r="H64" i="46"/>
  <c r="H66" i="46"/>
  <c r="D100" i="46"/>
  <c r="F109" i="46"/>
  <c r="H62" i="46"/>
  <c r="AF12" i="46"/>
  <c r="K100" i="46"/>
  <c r="AB12" i="46"/>
  <c r="AJ12" i="46"/>
  <c r="F102" i="46"/>
  <c r="F103" i="46"/>
  <c r="G101" i="46"/>
  <c r="B113" i="46"/>
  <c r="L101" i="46"/>
  <c r="E101" i="46"/>
  <c r="K101" i="46"/>
  <c r="AG11" i="46"/>
  <c r="AG13" i="46" s="1"/>
  <c r="AH11" i="46"/>
  <c r="AI11" i="46"/>
  <c r="AI13" i="46" s="1"/>
  <c r="AE11" i="46"/>
  <c r="AE13" i="46" s="1"/>
  <c r="H60" i="46"/>
  <c r="H59" i="46"/>
  <c r="H74" i="46"/>
  <c r="H65" i="46"/>
  <c r="H75" i="46"/>
  <c r="E10" i="46"/>
  <c r="E9" i="46"/>
  <c r="E11" i="46"/>
  <c r="E8" i="46"/>
  <c r="H72" i="46"/>
  <c r="H69" i="46"/>
  <c r="H77" i="46"/>
  <c r="H76" i="46"/>
  <c r="H55" i="46"/>
  <c r="H54" i="46"/>
  <c r="H52" i="46"/>
  <c r="H47" i="46"/>
  <c r="AD12" i="46"/>
  <c r="AH12" i="46"/>
  <c r="C7" i="59"/>
  <c r="C6" i="59" s="1"/>
  <c r="B6" i="52"/>
  <c r="E7" i="52"/>
  <c r="E6" i="52"/>
  <c r="E4" i="52"/>
  <c r="B7" i="52"/>
  <c r="E5" i="52"/>
  <c r="P21" i="46"/>
  <c r="B7" i="59"/>
  <c r="B6" i="59" s="1"/>
  <c r="D7" i="59"/>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58" i="15"/>
  <c r="F33" i="44"/>
  <c r="F31" i="15"/>
  <c r="M19" i="44"/>
  <c r="C16" i="15"/>
  <c r="J7" i="65"/>
  <c r="J4" i="65"/>
  <c r="I6" i="65"/>
  <c r="I3" i="65"/>
  <c r="J3" i="65"/>
  <c r="J6" i="65"/>
  <c r="I4" i="65"/>
  <c r="I5" i="65"/>
  <c r="J5" i="65"/>
  <c r="I7" i="65"/>
  <c r="C18" i="44"/>
  <c r="AB11" i="46" l="1"/>
  <c r="AF11" i="46"/>
  <c r="AF13" i="46" s="1"/>
  <c r="AA11" i="46"/>
  <c r="AA13" i="46" s="1"/>
  <c r="Z11" i="46"/>
  <c r="Z13" i="46" s="1"/>
  <c r="E22" i="46"/>
  <c r="Z7" i="46"/>
  <c r="F22" i="46"/>
  <c r="N104" i="45"/>
  <c r="J101" i="46"/>
  <c r="C101" i="46"/>
  <c r="C109" i="46" s="1"/>
  <c r="F105" i="46"/>
  <c r="F104" i="46"/>
  <c r="AJ11" i="46"/>
  <c r="AC11" i="46"/>
  <c r="AC13" i="46" s="1"/>
  <c r="M101" i="46"/>
  <c r="M107" i="46" s="1"/>
  <c r="F107" i="46"/>
  <c r="F7" i="33"/>
  <c r="D101" i="46"/>
  <c r="D106" i="46" s="1"/>
  <c r="J22" i="46"/>
  <c r="H101" i="46"/>
  <c r="H102" i="46" s="1"/>
  <c r="U27" i="39"/>
  <c r="F27" i="6"/>
  <c r="F31" i="6" s="1"/>
  <c r="M43" i="9"/>
  <c r="S19" i="21"/>
  <c r="M109" i="46"/>
  <c r="M103" i="46"/>
  <c r="AB31" i="39"/>
  <c r="U31" i="39"/>
  <c r="J7" i="33"/>
  <c r="E67" i="40"/>
  <c r="F65" i="40"/>
  <c r="B73" i="39"/>
  <c r="E70" i="39"/>
  <c r="D72" i="39"/>
  <c r="AH13" i="46"/>
  <c r="I106" i="46"/>
  <c r="AA34" i="39"/>
  <c r="S34" i="39"/>
  <c r="W19" i="39"/>
  <c r="AC19" i="39"/>
  <c r="S19" i="39"/>
  <c r="AA19" i="39"/>
  <c r="U19" i="39"/>
  <c r="AB19" i="39"/>
  <c r="S15" i="21"/>
  <c r="AA15" i="21"/>
  <c r="S37" i="21"/>
  <c r="AA37" i="21"/>
  <c r="W37" i="21"/>
  <c r="AC37" i="21"/>
  <c r="Q61" i="69"/>
  <c r="Q74" i="69"/>
  <c r="Q53" i="69"/>
  <c r="F1" i="69"/>
  <c r="Q75" i="69"/>
  <c r="Q62" i="69"/>
  <c r="F11" i="69"/>
  <c r="M11" i="69"/>
  <c r="J10" i="69" s="1"/>
  <c r="G17" i="46"/>
  <c r="C16" i="46" s="1"/>
  <c r="B5" i="59"/>
  <c r="D6" i="59"/>
  <c r="M20" i="46" s="1"/>
  <c r="C19" i="46" s="1"/>
  <c r="C5" i="59"/>
  <c r="D5" i="59" s="1"/>
  <c r="D107" i="46"/>
  <c r="M106" i="46"/>
  <c r="M104" i="46"/>
  <c r="J1" i="65"/>
  <c r="I1" i="65"/>
  <c r="E20" i="46"/>
  <c r="P28" i="46" s="1"/>
  <c r="M102" i="46"/>
  <c r="M105" i="46"/>
  <c r="C5" i="46"/>
  <c r="H105" i="46"/>
  <c r="D103" i="46"/>
  <c r="H104" i="46"/>
  <c r="D22" i="46"/>
  <c r="D5" i="46"/>
  <c r="D105" i="46"/>
  <c r="D104" i="46"/>
  <c r="AJ13" i="46"/>
  <c r="I109" i="46"/>
  <c r="AB7" i="33"/>
  <c r="T48" i="33" s="1"/>
  <c r="G48" i="33" s="1"/>
  <c r="U7" i="33"/>
  <c r="F48" i="35"/>
  <c r="E46" i="36"/>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8" i="1"/>
  <c r="AE7" i="1"/>
  <c r="E3" i="65"/>
  <c r="E2" i="65"/>
  <c r="D109" i="46" l="1"/>
  <c r="H106" i="46"/>
  <c r="D102" i="46"/>
  <c r="H109" i="46"/>
  <c r="H107" i="46"/>
  <c r="H103" i="46"/>
  <c r="O28" i="46"/>
  <c r="G20" i="46" s="1"/>
  <c r="E72" i="39"/>
  <c r="F70" i="39"/>
  <c r="F67" i="40"/>
  <c r="G65" i="40"/>
  <c r="AC7" i="33"/>
  <c r="V48" i="33" s="1"/>
  <c r="I48" i="33" s="1"/>
  <c r="I52" i="33" s="1"/>
  <c r="J52" i="33" s="1"/>
  <c r="W7" i="33"/>
  <c r="C10" i="69"/>
  <c r="C52" i="69"/>
  <c r="M28" i="46"/>
  <c r="N28" i="46"/>
  <c r="B40" i="1"/>
  <c r="F17" i="11"/>
  <c r="C17" i="11" s="1"/>
  <c r="E41" i="46"/>
  <c r="C41" i="46" s="1"/>
  <c r="C39" i="46" s="1"/>
  <c r="G39" i="46" s="1"/>
  <c r="I39" i="46" s="1"/>
  <c r="C20" i="46"/>
  <c r="C37" i="46" s="1"/>
  <c r="G37" i="46" s="1"/>
  <c r="I37" i="46" s="1"/>
  <c r="S5" i="46"/>
  <c r="S2" i="46"/>
  <c r="S3" i="46"/>
  <c r="S7" i="46"/>
  <c r="S6" i="46"/>
  <c r="S4" i="46"/>
  <c r="G52" i="37"/>
  <c r="H7" i="34"/>
  <c r="J7" i="34"/>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L52" i="44"/>
  <c r="F41" i="69"/>
  <c r="F68" i="15" l="1"/>
  <c r="F68" i="69"/>
  <c r="J29" i="15"/>
  <c r="H65" i="40"/>
  <c r="G67" i="40"/>
  <c r="F72" i="39"/>
  <c r="G70" i="39"/>
  <c r="F24" i="15"/>
  <c r="C24" i="15" s="1"/>
  <c r="F24" i="69"/>
  <c r="F21" i="43"/>
  <c r="C23" i="43" s="1"/>
  <c r="D21" i="43" s="1"/>
  <c r="C34" i="46"/>
  <c r="E34" i="46" s="1"/>
  <c r="T4" i="46"/>
  <c r="V4" i="46" s="1"/>
  <c r="T7" i="46"/>
  <c r="V7" i="46" s="1"/>
  <c r="T2" i="46"/>
  <c r="V2" i="46" s="1"/>
  <c r="C36" i="46"/>
  <c r="E36" i="46" s="1"/>
  <c r="C33" i="46"/>
  <c r="G33" i="46" s="1"/>
  <c r="I33" i="46" s="1"/>
  <c r="F7" i="36"/>
  <c r="S7" i="3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E37" i="46"/>
  <c r="Q69" i="44"/>
  <c r="L58" i="44"/>
  <c r="L61" i="44" s="1"/>
  <c r="L47" i="44" s="1"/>
  <c r="C32" i="15"/>
  <c r="C38" i="15"/>
  <c r="C59" i="15"/>
  <c r="C65" i="15"/>
  <c r="Q49" i="44"/>
  <c r="Q55" i="44" s="1"/>
  <c r="Q67" i="44"/>
  <c r="Q58" i="44"/>
  <c r="G38" i="46" l="1"/>
  <c r="I38" i="46" s="1"/>
  <c r="G36" i="46"/>
  <c r="I36" i="46" s="1"/>
  <c r="G34" i="46"/>
  <c r="I34" i="46" s="1"/>
  <c r="H70" i="39"/>
  <c r="G72" i="39"/>
  <c r="H67" i="40"/>
  <c r="I65" i="40"/>
  <c r="C24" i="69"/>
  <c r="E33" i="46"/>
  <c r="AA7" i="36"/>
  <c r="R36" i="36" s="1"/>
  <c r="R37" i="36" s="1"/>
  <c r="E29" i="46"/>
  <c r="C30" i="46"/>
  <c r="E30" i="46" s="1"/>
  <c r="E35" i="46"/>
  <c r="G35" i="46"/>
  <c r="I35" i="46" s="1"/>
  <c r="W7" i="36"/>
  <c r="AC7" i="36"/>
  <c r="V36" i="36" s="1"/>
  <c r="I36" i="36" s="1"/>
  <c r="I52" i="37"/>
  <c r="G54" i="34"/>
  <c r="H54" i="34" s="1"/>
  <c r="G53" i="34"/>
  <c r="H53" i="34" s="1"/>
  <c r="R50" i="34"/>
  <c r="E49" i="34"/>
  <c r="I53" i="34"/>
  <c r="J53" i="34" s="1"/>
  <c r="I54" i="34"/>
  <c r="J54" i="34" s="1"/>
  <c r="AB7" i="36"/>
  <c r="T36" i="36" s="1"/>
  <c r="G36" i="36" s="1"/>
  <c r="U7" i="36"/>
  <c r="I48" i="35"/>
  <c r="E36" i="36"/>
  <c r="Q68" i="44"/>
  <c r="Q77" i="44" s="1"/>
  <c r="Q59" i="44"/>
  <c r="Q64" i="44" s="1"/>
  <c r="F7" i="67"/>
  <c r="I67" i="40" l="1"/>
  <c r="J65" i="40"/>
  <c r="I70" i="39"/>
  <c r="H72" i="39"/>
  <c r="C26" i="46"/>
  <c r="C27" i="46"/>
  <c r="E4" i="67"/>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E7" i="67"/>
  <c r="I72" i="39" l="1"/>
  <c r="J70" i="39"/>
  <c r="K65" i="40"/>
  <c r="J67" i="40"/>
  <c r="J59" i="69"/>
  <c r="J60" i="69" s="1"/>
  <c r="E3" i="67"/>
  <c r="B2" i="46"/>
  <c r="D4" i="46" s="1"/>
  <c r="K48" i="35"/>
  <c r="L48" i="35" s="1"/>
  <c r="M48" i="35" s="1"/>
  <c r="N48" i="35" s="1"/>
  <c r="O48" i="35" s="1"/>
  <c r="K52" i="37"/>
  <c r="B7" i="67"/>
  <c r="K70" i="39" l="1"/>
  <c r="J72" i="39"/>
  <c r="K67" i="40"/>
  <c r="L65" i="40"/>
  <c r="Q49" i="69"/>
  <c r="L46" i="69"/>
  <c r="B3" i="46"/>
  <c r="J7" i="35"/>
  <c r="W7" i="35" s="1"/>
  <c r="B4" i="46"/>
  <c r="B2" i="67"/>
  <c r="B4" i="67" s="1"/>
  <c r="J59" i="15"/>
  <c r="J60" i="15" s="1"/>
  <c r="Q49" i="15" s="1"/>
  <c r="C33" i="15"/>
  <c r="L52" i="37"/>
  <c r="F7" i="35"/>
  <c r="H7" i="35"/>
  <c r="M65" i="40" l="1"/>
  <c r="L67" i="40"/>
  <c r="AC7" i="35"/>
  <c r="V38" i="35" s="1"/>
  <c r="I38" i="35" s="1"/>
  <c r="I42" i="35" s="1"/>
  <c r="J42" i="35" s="1"/>
  <c r="K72" i="39"/>
  <c r="L70" i="39"/>
  <c r="B3" i="67"/>
  <c r="AB7" i="35"/>
  <c r="T38" i="35" s="1"/>
  <c r="G38" i="35" s="1"/>
  <c r="U7" i="35"/>
  <c r="AA7" i="35"/>
  <c r="R38" i="35" s="1"/>
  <c r="S7" i="35"/>
  <c r="M52" i="37"/>
  <c r="M70" i="39" l="1"/>
  <c r="L72" i="39"/>
  <c r="M67" i="40"/>
  <c r="N65" i="40"/>
  <c r="N67" i="40" s="1"/>
  <c r="L57" i="69"/>
  <c r="L60" i="69" s="1"/>
  <c r="L57" i="15"/>
  <c r="L60" i="15" s="1"/>
  <c r="Q58" i="15" s="1"/>
  <c r="N52" i="37"/>
  <c r="O52" i="37" s="1"/>
  <c r="R39" i="35"/>
  <c r="E38" i="35"/>
  <c r="G42" i="35"/>
  <c r="H42" i="35" s="1"/>
  <c r="G43" i="35"/>
  <c r="H43" i="35" s="1"/>
  <c r="M72" i="39" l="1"/>
  <c r="F9" i="39" s="1"/>
  <c r="N70" i="39"/>
  <c r="N72" i="39" s="1"/>
  <c r="J9" i="40"/>
  <c r="H9" i="40"/>
  <c r="F9" i="40"/>
  <c r="Q67" i="69"/>
  <c r="Q58" i="69"/>
  <c r="F7" i="37"/>
  <c r="AA7" i="37" s="1"/>
  <c r="R42" i="37" s="1"/>
  <c r="Q67" i="15"/>
  <c r="L46" i="15"/>
  <c r="E43" i="35"/>
  <c r="F43" i="35" s="1"/>
  <c r="E42" i="35"/>
  <c r="F42" i="35" s="1"/>
  <c r="I43" i="35"/>
  <c r="J43" i="35" s="1"/>
  <c r="C39" i="35"/>
  <c r="B3" i="35" s="1"/>
  <c r="B2" i="35" s="1"/>
  <c r="C38" i="35"/>
  <c r="H7" i="37"/>
  <c r="J7" i="37"/>
  <c r="S7" i="37" l="1"/>
  <c r="S9" i="40"/>
  <c r="AA9" i="40"/>
  <c r="R44" i="40" s="1"/>
  <c r="AC9" i="40"/>
  <c r="V44" i="40" s="1"/>
  <c r="I44" i="40" s="1"/>
  <c r="I48" i="40" s="1"/>
  <c r="J48" i="40" s="1"/>
  <c r="W9" i="40"/>
  <c r="S9" i="39"/>
  <c r="AA9" i="39"/>
  <c r="AB9" i="40"/>
  <c r="T44" i="40" s="1"/>
  <c r="G44" i="40" s="1"/>
  <c r="U9" i="40"/>
  <c r="H9" i="39"/>
  <c r="J9" i="39"/>
  <c r="W7" i="37"/>
  <c r="AC7" i="37"/>
  <c r="V42" i="37" s="1"/>
  <c r="I42" i="37" s="1"/>
  <c r="AB7" i="37"/>
  <c r="T42" i="37" s="1"/>
  <c r="G42" i="37" s="1"/>
  <c r="U7" i="37"/>
  <c r="E42" i="37"/>
  <c r="R43" i="37"/>
  <c r="W9" i="39" l="1"/>
  <c r="AC9" i="39"/>
  <c r="R45" i="40"/>
  <c r="E44" i="40"/>
  <c r="AB9" i="39"/>
  <c r="U9" i="39"/>
  <c r="G49" i="40"/>
  <c r="H49" i="40" s="1"/>
  <c r="G48" i="40"/>
  <c r="H48" i="40" s="1"/>
  <c r="C43" i="37"/>
  <c r="B3" i="37" s="1"/>
  <c r="B2" i="37" s="1"/>
  <c r="C42" i="37"/>
  <c r="I46" i="37"/>
  <c r="J46" i="37" s="1"/>
  <c r="I47" i="37"/>
  <c r="J47" i="37" s="1"/>
  <c r="E47" i="37"/>
  <c r="F47" i="37" s="1"/>
  <c r="E46" i="37"/>
  <c r="F46" i="37" s="1"/>
  <c r="G46" i="37"/>
  <c r="H46" i="37" s="1"/>
  <c r="G47" i="37"/>
  <c r="H47" i="37" s="1"/>
  <c r="I49" i="40" l="1"/>
  <c r="J49" i="40" s="1"/>
  <c r="E49" i="40"/>
  <c r="F49" i="40" s="1"/>
  <c r="E48" i="40"/>
  <c r="F48" i="40" s="1"/>
  <c r="C44" i="40"/>
  <c r="C45" i="40"/>
  <c r="B53" i="40" l="1"/>
  <c r="F53" i="40" s="1"/>
  <c r="B57" i="40"/>
  <c r="F57" i="40" s="1"/>
  <c r="B61" i="40"/>
  <c r="B58" i="40"/>
  <c r="B59" i="40"/>
  <c r="B54" i="40"/>
  <c r="F54" i="40" s="1"/>
  <c r="B55" i="40"/>
  <c r="F55" i="40" s="1"/>
  <c r="B62" i="40"/>
  <c r="B56" i="40"/>
  <c r="F56" i="40" s="1"/>
  <c r="B60" i="40"/>
  <c r="B7" i="4" l="1"/>
  <c r="C51" i="10" s="1"/>
  <c r="A9" i="64" l="1"/>
  <c r="A9" i="51"/>
  <c r="B9" i="63" s="1"/>
  <c r="C82" i="39" l="1"/>
  <c r="C81" i="39" l="1"/>
  <c r="M13" i="3" l="1"/>
  <c r="G21" i="6" l="1"/>
  <c r="BD13" i="3"/>
  <c r="H13" i="3"/>
  <c r="M5" i="3"/>
  <c r="AN13" i="3"/>
  <c r="BR13" i="3" l="1"/>
  <c r="AC13" i="3"/>
  <c r="AC5" i="3" s="1"/>
  <c r="AN5" i="3"/>
  <c r="BD5" i="3"/>
  <c r="BA13" i="3"/>
  <c r="H5" i="3"/>
  <c r="G13" i="3"/>
  <c r="E21" i="6"/>
  <c r="G27" i="6"/>
  <c r="K8" i="1" l="1"/>
  <c r="E9" i="12"/>
  <c r="E14" i="6"/>
  <c r="E13" i="6"/>
  <c r="E10" i="6"/>
  <c r="E15" i="6"/>
  <c r="E12" i="6"/>
  <c r="E11" i="6"/>
  <c r="BR5" i="3"/>
  <c r="G28" i="6" s="1"/>
  <c r="BL13" i="3"/>
  <c r="BL5" i="3" s="1"/>
  <c r="G5" i="3"/>
  <c r="B3" i="3" s="1"/>
  <c r="BA5" i="3"/>
  <c r="E27" i="6" s="1"/>
  <c r="AZ13" i="3"/>
  <c r="AZ5" i="3" s="1"/>
  <c r="F43" i="69"/>
  <c r="F7" i="69"/>
  <c r="M29" i="69"/>
  <c r="M7" i="69" l="1"/>
  <c r="J6" i="69" s="1"/>
  <c r="J5" i="69" s="1"/>
  <c r="F49" i="69"/>
  <c r="C48" i="69" s="1"/>
  <c r="C47" i="69" s="1"/>
  <c r="C6" i="69"/>
  <c r="C5" i="69" s="1"/>
  <c r="F70" i="69"/>
  <c r="E23"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97" i="3"/>
  <c r="E283" i="3"/>
  <c r="E156" i="3"/>
  <c r="E49" i="3"/>
  <c r="E193" i="3"/>
  <c r="E104" i="3"/>
  <c r="E472" i="3"/>
  <c r="E253" i="3"/>
  <c r="E537" i="3"/>
  <c r="E54" i="3"/>
  <c r="E452" i="3"/>
  <c r="E213" i="3"/>
  <c r="E536" i="3"/>
  <c r="E397" i="3"/>
  <c r="E462" i="3"/>
  <c r="E47" i="3"/>
  <c r="E545" i="3"/>
  <c r="E184" i="3"/>
  <c r="E482" i="3"/>
  <c r="E473" i="3"/>
  <c r="N6" i="3"/>
  <c r="W6" i="3"/>
  <c r="E293" i="3"/>
  <c r="E190" i="3"/>
  <c r="E560" i="3"/>
  <c r="E420" i="3"/>
  <c r="E111" i="3"/>
  <c r="E233" i="3"/>
  <c r="E261" i="3"/>
  <c r="E203" i="3"/>
  <c r="E39" i="3"/>
  <c r="E402" i="3"/>
  <c r="E107" i="3"/>
  <c r="E172" i="3"/>
  <c r="E288" i="3"/>
  <c r="E255" i="3"/>
  <c r="E393" i="3"/>
  <c r="E417" i="3"/>
  <c r="E88" i="3"/>
  <c r="E145"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1" i="3"/>
  <c r="E278" i="3"/>
  <c r="E187" i="3"/>
  <c r="E199" i="3"/>
  <c r="E435" i="3"/>
  <c r="E218" i="3"/>
  <c r="E110" i="3"/>
  <c r="E174" i="3"/>
  <c r="E98" i="3"/>
  <c r="E398" i="3"/>
  <c r="E533" i="3"/>
  <c r="E37" i="3"/>
  <c r="E303" i="3"/>
  <c r="E467" i="3"/>
  <c r="E67" i="3"/>
  <c r="E214" i="3"/>
  <c r="E486" i="3"/>
  <c r="E543"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382" i="3"/>
  <c r="E358" i="3"/>
  <c r="E484" i="3"/>
  <c r="E535" i="3"/>
  <c r="E427" i="3"/>
  <c r="E94" i="3"/>
  <c r="E225" i="3"/>
  <c r="E490" i="3"/>
  <c r="E63" i="3"/>
  <c r="E422" i="3"/>
  <c r="E189" i="3"/>
  <c r="E275" i="3"/>
  <c r="L6" i="3"/>
  <c r="E116" i="3"/>
  <c r="E4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544" i="3"/>
  <c r="E541" i="3"/>
  <c r="E565" i="3"/>
  <c r="E523" i="3"/>
  <c r="E380" i="3"/>
  <c r="E557" i="3"/>
  <c r="E503" i="3"/>
  <c r="E423" i="3"/>
  <c r="E442" i="3"/>
  <c r="E129" i="3"/>
  <c r="E232" i="3"/>
  <c r="E507" i="3"/>
  <c r="E429" i="3"/>
  <c r="E372" i="3"/>
  <c r="E154"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318" i="3"/>
  <c r="E509" i="3"/>
  <c r="E326" i="3"/>
  <c r="E20" i="3"/>
  <c r="E356" i="3"/>
  <c r="E564" i="3"/>
  <c r="E481"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413" i="3"/>
  <c r="AO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61" i="3"/>
  <c r="E395"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M6" i="3"/>
  <c r="G30" i="6"/>
  <c r="G31" i="6" s="1"/>
  <c r="E28" i="6"/>
  <c r="E63" i="39"/>
  <c r="E58" i="40"/>
  <c r="F58" i="40" s="1"/>
  <c r="E67" i="39"/>
  <c r="E62" i="40"/>
  <c r="F62" i="40" s="1"/>
  <c r="E60" i="40"/>
  <c r="F60" i="40" s="1"/>
  <c r="E65" i="39"/>
  <c r="E3" i="6"/>
  <c r="AY6" i="3"/>
  <c r="E13" i="3"/>
  <c r="AN6" i="3"/>
  <c r="E64" i="39"/>
  <c r="E59" i="40"/>
  <c r="F59" i="40" s="1"/>
  <c r="E16" i="6"/>
  <c r="E61" i="40"/>
  <c r="F61" i="40" s="1"/>
  <c r="E66" i="39"/>
  <c r="M8" i="1"/>
  <c r="Q16" i="1"/>
  <c r="AP16" i="1"/>
  <c r="F22" i="11" s="1"/>
  <c r="H16" i="1"/>
  <c r="G16" i="1"/>
  <c r="C16" i="69"/>
  <c r="C65" i="69" l="1"/>
  <c r="C59" i="69"/>
  <c r="C60" i="69"/>
  <c r="C32" i="69"/>
  <c r="C38" i="69"/>
  <c r="C33" i="69"/>
  <c r="J26" i="69"/>
  <c r="J29" i="69" s="1"/>
  <c r="J18" i="69"/>
  <c r="J24" i="69"/>
  <c r="H12" i="39"/>
  <c r="H12" i="40"/>
  <c r="J12" i="39"/>
  <c r="J12" i="40"/>
  <c r="F12" i="39"/>
  <c r="F12" i="40"/>
  <c r="O8" i="1"/>
  <c r="P8" i="1"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K19" i="6"/>
  <c r="K14" i="1"/>
  <c r="K20" i="6"/>
  <c r="K26" i="6"/>
  <c r="M26" i="6" s="1"/>
  <c r="I26" i="6" s="1"/>
  <c r="S26" i="6" s="1"/>
  <c r="K22" i="6"/>
  <c r="M22" i="6" s="1"/>
  <c r="I22" i="6" s="1"/>
  <c r="S22" i="6" s="1"/>
  <c r="K23" i="6"/>
  <c r="M23" i="6" s="1"/>
  <c r="I23" i="6" s="1"/>
  <c r="S23" i="6" s="1"/>
  <c r="K21" i="6"/>
  <c r="K24" i="6"/>
  <c r="M24" i="6" s="1"/>
  <c r="I24" i="6" s="1"/>
  <c r="S24" i="6" s="1"/>
  <c r="E30" i="6"/>
  <c r="E31" i="6" s="1"/>
  <c r="K25" i="6"/>
  <c r="M25" i="6" s="1"/>
  <c r="I25" i="6" s="1"/>
  <c r="S25" i="6" s="1"/>
  <c r="H6" i="3"/>
  <c r="F33" i="12"/>
  <c r="C34" i="12" s="1"/>
  <c r="D33" i="12" s="1"/>
  <c r="F24" i="43"/>
  <c r="C26" i="43" s="1"/>
  <c r="D24" i="43" s="1"/>
  <c r="F18" i="11"/>
  <c r="C18" i="11" s="1"/>
  <c r="C19" i="11" s="1"/>
  <c r="C20" i="11" s="1"/>
  <c r="C21" i="11" s="1"/>
  <c r="C22" i="11" s="1"/>
  <c r="C23" i="11" s="1"/>
  <c r="B2" i="11" s="1"/>
  <c r="C33" i="21"/>
  <c r="D10" i="11"/>
  <c r="D16" i="12"/>
  <c r="D45" i="9"/>
  <c r="D44" i="9"/>
  <c r="C21" i="4"/>
  <c r="O5" i="54" s="1"/>
  <c r="B45" i="63" s="1"/>
  <c r="D16" i="43"/>
  <c r="C16" i="43" s="1"/>
  <c r="L38" i="9"/>
  <c r="B14" i="66" s="1"/>
  <c r="E6" i="6"/>
  <c r="D46" i="9"/>
  <c r="E68" i="39"/>
  <c r="AC6" i="3"/>
  <c r="B1" i="66" l="1"/>
  <c r="B3" i="11"/>
  <c r="B5" i="11"/>
  <c r="B4" i="11"/>
  <c r="K16" i="1"/>
  <c r="C40" i="39"/>
  <c r="C22" i="4"/>
  <c r="D21" i="6"/>
  <c r="D10" i="6"/>
  <c r="D6" i="6"/>
  <c r="D14" i="6"/>
  <c r="D20" i="6"/>
  <c r="H23" i="6"/>
  <c r="F45" i="9"/>
  <c r="D24" i="6"/>
  <c r="D22" i="6"/>
  <c r="D12" i="6"/>
  <c r="H25" i="6"/>
  <c r="D5" i="6"/>
  <c r="H22" i="6"/>
  <c r="H26" i="6"/>
  <c r="F46" i="9"/>
  <c r="E63" i="40"/>
  <c r="F63" i="40" s="1"/>
  <c r="B2" i="40" s="1"/>
  <c r="D19" i="6"/>
  <c r="D25" i="6"/>
  <c r="D13" i="6"/>
  <c r="H24" i="6"/>
  <c r="D23" i="6"/>
  <c r="D28" i="6"/>
  <c r="D8" i="6"/>
  <c r="E45" i="9"/>
  <c r="F44" i="9"/>
  <c r="K38" i="9"/>
  <c r="C14" i="66" s="1"/>
  <c r="D26" i="6"/>
  <c r="D11" i="6"/>
  <c r="D9" i="6"/>
  <c r="D29" i="6"/>
  <c r="D15" i="6"/>
  <c r="E44" i="9"/>
  <c r="E46" i="9"/>
  <c r="S12" i="40"/>
  <c r="AA12" i="40"/>
  <c r="AC12" i="40"/>
  <c r="W12" i="40"/>
  <c r="AB12" i="40"/>
  <c r="U12" i="40"/>
  <c r="D22" i="12"/>
  <c r="C22" i="12" s="1"/>
  <c r="C20" i="12" s="1"/>
  <c r="D13" i="11"/>
  <c r="C13" i="11" s="1"/>
  <c r="D19" i="12"/>
  <c r="C19" i="12" s="1"/>
  <c r="C16" i="12"/>
  <c r="H33" i="21"/>
  <c r="F33" i="21"/>
  <c r="J33" i="21"/>
  <c r="E6" i="3"/>
  <c r="S8" i="1"/>
  <c r="M21" i="6"/>
  <c r="I21" i="6" s="1"/>
  <c r="S21" i="6" s="1"/>
  <c r="S7" i="1"/>
  <c r="M20" i="6"/>
  <c r="I20" i="6" s="1"/>
  <c r="S20" i="6" s="1"/>
  <c r="S6" i="1"/>
  <c r="K27" i="6"/>
  <c r="M19" i="6"/>
  <c r="AA12" i="39"/>
  <c r="S12" i="39"/>
  <c r="AC12" i="39"/>
  <c r="W12" i="39"/>
  <c r="U12" i="39"/>
  <c r="AB12" i="39"/>
  <c r="C17" i="69"/>
  <c r="C17" i="15"/>
  <c r="R26" i="6" l="1"/>
  <c r="R23" i="6"/>
  <c r="D16" i="6"/>
  <c r="AC33" i="21"/>
  <c r="W33" i="21"/>
  <c r="U33" i="21"/>
  <c r="AB33" i="21"/>
  <c r="B2" i="66"/>
  <c r="D30" i="6"/>
  <c r="R25" i="6"/>
  <c r="B5" i="40"/>
  <c r="B4" i="40"/>
  <c r="B3" i="40"/>
  <c r="R24" i="6"/>
  <c r="H21" i="6"/>
  <c r="R21" i="6" s="1"/>
  <c r="R8" i="1" s="1"/>
  <c r="F40" i="39"/>
  <c r="J40" i="39"/>
  <c r="H40" i="39"/>
  <c r="I19" i="6"/>
  <c r="M27" i="6"/>
  <c r="S16" i="1"/>
  <c r="S33" i="21"/>
  <c r="AA33" i="21"/>
  <c r="H20" i="6"/>
  <c r="R20" i="6" s="1"/>
  <c r="R7" i="1" s="1"/>
  <c r="D27" i="6"/>
  <c r="D31" i="6" s="1"/>
  <c r="R22" i="6"/>
  <c r="A20" i="51"/>
  <c r="B15" i="63" s="1"/>
  <c r="A6" i="51"/>
  <c r="B7" i="63" s="1"/>
  <c r="A20" i="64"/>
  <c r="N5" i="54"/>
  <c r="B43" i="63" s="1"/>
  <c r="A6" i="64"/>
  <c r="C6" i="66"/>
  <c r="C7" i="66"/>
  <c r="C8" i="66"/>
  <c r="F35" i="15"/>
  <c r="M21" i="15"/>
  <c r="F35" i="69"/>
  <c r="M21" i="69"/>
  <c r="J20" i="69" l="1"/>
  <c r="C34" i="69"/>
  <c r="C31" i="69" s="1"/>
  <c r="F62" i="69"/>
  <c r="C61" i="69" s="1"/>
  <c r="C58" i="69" s="1"/>
  <c r="J20" i="15"/>
  <c r="F62" i="15"/>
  <c r="C61" i="15" s="1"/>
  <c r="C34" i="15"/>
  <c r="C31" i="15" s="1"/>
  <c r="I6" i="6"/>
  <c r="I5" i="6"/>
  <c r="S19" i="6"/>
  <c r="S27" i="6" s="1"/>
  <c r="I27" i="6"/>
  <c r="H19" i="6"/>
  <c r="W40" i="39"/>
  <c r="AC40" i="39"/>
  <c r="U40" i="39"/>
  <c r="AB40" i="39"/>
  <c r="S40" i="39"/>
  <c r="AA40" i="39"/>
  <c r="D6" i="66"/>
  <c r="D7" i="66"/>
  <c r="D8" i="66"/>
  <c r="H27" i="6" l="1"/>
  <c r="R19" i="6"/>
  <c r="C13" i="39"/>
  <c r="C11" i="21"/>
  <c r="H11" i="21" l="1"/>
  <c r="F11" i="21"/>
  <c r="J11" i="21"/>
  <c r="R27" i="6"/>
  <c r="R6" i="1"/>
  <c r="R16" i="1" s="1"/>
  <c r="J13" i="39"/>
  <c r="H13" i="39"/>
  <c r="F13" i="39"/>
  <c r="AB13" i="39" l="1"/>
  <c r="T49" i="39" s="1"/>
  <c r="G49" i="39" s="1"/>
  <c r="U13" i="39"/>
  <c r="AC11" i="21"/>
  <c r="V48" i="21" s="1"/>
  <c r="I48" i="21" s="1"/>
  <c r="W11" i="21"/>
  <c r="AB11" i="21"/>
  <c r="T48" i="21" s="1"/>
  <c r="G48" i="21" s="1"/>
  <c r="U11" i="21"/>
  <c r="AA13" i="39"/>
  <c r="R49" i="39" s="1"/>
  <c r="S13" i="39"/>
  <c r="AC13" i="39"/>
  <c r="V49" i="39" s="1"/>
  <c r="I49" i="39" s="1"/>
  <c r="W13" i="39"/>
  <c r="AA11" i="21"/>
  <c r="R48" i="21" s="1"/>
  <c r="S11" i="21"/>
  <c r="E48" i="21" l="1"/>
  <c r="I53" i="21" s="1"/>
  <c r="J53" i="21" s="1"/>
  <c r="R49" i="21"/>
  <c r="I53" i="39"/>
  <c r="J53" i="39" s="1"/>
  <c r="E49" i="39"/>
  <c r="I54" i="39" s="1"/>
  <c r="J54" i="39" s="1"/>
  <c r="R50" i="39"/>
  <c r="G52" i="21"/>
  <c r="H52" i="21" s="1"/>
  <c r="G53" i="21"/>
  <c r="H53" i="21" s="1"/>
  <c r="I52" i="21"/>
  <c r="J52" i="21" s="1"/>
  <c r="C60" i="15"/>
  <c r="C58" i="15" s="1"/>
  <c r="G54" i="39"/>
  <c r="H54" i="39" s="1"/>
  <c r="G53" i="39"/>
  <c r="H53" i="39" s="1"/>
  <c r="C50" i="39" l="1"/>
  <c r="C49" i="39"/>
  <c r="C49" i="21"/>
  <c r="B3" i="21" s="1"/>
  <c r="B2" i="21" s="1"/>
  <c r="C48" i="21"/>
  <c r="E53" i="39"/>
  <c r="F53" i="39" s="1"/>
  <c r="E54" i="39"/>
  <c r="F54" i="39" s="1"/>
  <c r="E53" i="21"/>
  <c r="F53" i="21" s="1"/>
  <c r="E52" i="21"/>
  <c r="F52" i="21" s="1"/>
  <c r="B67" i="39" l="1"/>
  <c r="F67" i="39" s="1"/>
  <c r="B61" i="39"/>
  <c r="F61" i="39" s="1"/>
  <c r="B59" i="39"/>
  <c r="F59" i="39" s="1"/>
  <c r="B63" i="39"/>
  <c r="F63" i="39" s="1"/>
  <c r="B58" i="39"/>
  <c r="F58" i="39" s="1"/>
  <c r="B66" i="39"/>
  <c r="F66" i="39" s="1"/>
  <c r="B65" i="39"/>
  <c r="F65" i="39" s="1"/>
  <c r="B64" i="39"/>
  <c r="F64" i="39" s="1"/>
  <c r="B62" i="39"/>
  <c r="F62" i="39" s="1"/>
  <c r="B60" i="39"/>
  <c r="F60" i="39" s="1"/>
  <c r="F68" i="39" l="1"/>
  <c r="B2" i="39" s="1"/>
  <c r="C19" i="9"/>
  <c r="L43" i="9" l="1"/>
  <c r="B5" i="39"/>
  <c r="B3" i="39"/>
  <c r="B4" i="39"/>
  <c r="C21" i="9"/>
  <c r="C20" i="9"/>
  <c r="L14" i="1" l="1"/>
  <c r="M14" i="1" s="1"/>
  <c r="O14" i="1" l="1"/>
  <c r="O16" i="1" s="1"/>
  <c r="M16" i="1"/>
  <c r="T11" i="1"/>
  <c r="T9" i="1"/>
  <c r="T6" i="1"/>
  <c r="T12" i="1"/>
  <c r="P14" i="1"/>
  <c r="P16" i="1" s="1"/>
  <c r="C13" i="12" s="1"/>
  <c r="T7" i="1"/>
  <c r="T8" i="1"/>
  <c r="T13" i="1"/>
  <c r="T10" i="1"/>
  <c r="C14" i="15"/>
  <c r="C16" i="44"/>
  <c r="C14" i="69"/>
  <c r="C15" i="15" l="1"/>
  <c r="C18" i="15"/>
  <c r="C17" i="44"/>
  <c r="C20" i="44"/>
  <c r="C15" i="69"/>
  <c r="C18" i="69"/>
  <c r="C17" i="12"/>
  <c r="C14" i="12"/>
  <c r="N16" i="1"/>
  <c r="C29" i="43" s="1"/>
  <c r="L16" i="1"/>
  <c r="C13" i="43"/>
  <c r="T16" i="1"/>
  <c r="C18" i="12" l="1"/>
  <c r="C23" i="12" s="1"/>
  <c r="C19" i="69"/>
  <c r="C19" i="15"/>
  <c r="C21" i="44"/>
  <c r="C22" i="44"/>
  <c r="C25" i="44" s="1"/>
  <c r="C20" i="69"/>
  <c r="C26" i="69" s="1"/>
  <c r="C17" i="43"/>
  <c r="C14" i="43"/>
  <c r="C20" i="15"/>
  <c r="C26" i="15" s="1"/>
  <c r="C18" i="43" l="1"/>
  <c r="C28" i="44"/>
  <c r="C31" i="44" s="1"/>
  <c r="J16" i="44" s="1"/>
  <c r="C23" i="69"/>
  <c r="C29" i="69" s="1"/>
  <c r="J19" i="69" s="1"/>
  <c r="J17" i="69" s="1"/>
  <c r="C23" i="15"/>
  <c r="C29" i="15" s="1"/>
  <c r="C19" i="43"/>
  <c r="C25" i="43" s="1"/>
  <c r="C24" i="43" s="1"/>
  <c r="C15" i="44"/>
  <c r="C38" i="44"/>
  <c r="J21" i="44" l="1"/>
  <c r="J19" i="44" s="1"/>
  <c r="Q51" i="44"/>
  <c r="C35" i="44"/>
  <c r="C33" i="44" s="1"/>
  <c r="C56" i="69"/>
  <c r="C63" i="69" s="1"/>
  <c r="J14" i="69"/>
  <c r="J13" i="69" s="1"/>
  <c r="J23" i="69" s="1"/>
  <c r="C36" i="69"/>
  <c r="C13" i="69"/>
  <c r="Q71" i="69" s="1"/>
  <c r="Q50" i="69"/>
  <c r="Q72" i="44"/>
  <c r="C39" i="44"/>
  <c r="C43" i="44"/>
  <c r="J15" i="44"/>
  <c r="J25" i="44" s="1"/>
  <c r="J24" i="44"/>
  <c r="C22" i="43"/>
  <c r="C21" i="43" s="1"/>
  <c r="C28" i="43" s="1"/>
  <c r="C30" i="43" s="1"/>
  <c r="C32" i="43" s="1"/>
  <c r="B2" i="43" s="1"/>
  <c r="C36" i="15"/>
  <c r="J14" i="15"/>
  <c r="Q50" i="15"/>
  <c r="J19" i="15"/>
  <c r="J17" i="15" s="1"/>
  <c r="C13" i="15"/>
  <c r="C56" i="15"/>
  <c r="C63" i="15" s="1"/>
  <c r="J22" i="69" l="1"/>
  <c r="C32" i="44"/>
  <c r="C42" i="44" s="1"/>
  <c r="C44" i="44" s="1"/>
  <c r="C45" i="44" s="1"/>
  <c r="B2" i="44" s="1"/>
  <c r="C55" i="69"/>
  <c r="C64" i="69" s="1"/>
  <c r="C57" i="69" s="1"/>
  <c r="C66" i="69" s="1"/>
  <c r="C67" i="69" s="1"/>
  <c r="C70" i="69" s="1"/>
  <c r="C37" i="69"/>
  <c r="C30" i="69" s="1"/>
  <c r="C39" i="69" s="1"/>
  <c r="J16" i="69"/>
  <c r="J25" i="69" s="1"/>
  <c r="J18" i="44"/>
  <c r="J27" i="44" s="1"/>
  <c r="J35" i="69"/>
  <c r="J35" i="15"/>
  <c r="C37" i="15"/>
  <c r="C30" i="15" s="1"/>
  <c r="C39" i="15" s="1"/>
  <c r="Q71" i="15"/>
  <c r="C55" i="15"/>
  <c r="C64" i="15" s="1"/>
  <c r="C57" i="15" s="1"/>
  <c r="C66" i="15" s="1"/>
  <c r="C67" i="15" s="1"/>
  <c r="Q71" i="44"/>
  <c r="Q70" i="44" s="1"/>
  <c r="J13" i="15"/>
  <c r="J23" i="15" s="1"/>
  <c r="J22" i="15"/>
  <c r="B5" i="43"/>
  <c r="B3" i="43"/>
  <c r="B4" i="43"/>
  <c r="L51" i="15"/>
  <c r="C40" i="69" l="1"/>
  <c r="Q48" i="69" s="1"/>
  <c r="Q54" i="69" s="1"/>
  <c r="Q70" i="69"/>
  <c r="Q69" i="69" s="1"/>
  <c r="J39" i="69"/>
  <c r="J40" i="69" s="1"/>
  <c r="J16" i="15"/>
  <c r="J25" i="15" s="1"/>
  <c r="Q68" i="15"/>
  <c r="B3" i="44"/>
  <c r="B5" i="44"/>
  <c r="B4" i="44"/>
  <c r="C46" i="69"/>
  <c r="J39" i="15"/>
  <c r="J40" i="15" s="1"/>
  <c r="C70" i="15"/>
  <c r="Q70" i="15"/>
  <c r="Q69" i="15" s="1"/>
  <c r="C40" i="15"/>
  <c r="C46" i="15" s="1"/>
  <c r="L51" i="69"/>
  <c r="J42" i="69" l="1"/>
  <c r="J43" i="69" s="1"/>
  <c r="B2" i="69"/>
  <c r="B3" i="69" s="1"/>
  <c r="E8" i="12" s="1"/>
  <c r="C43" i="69"/>
  <c r="Q66" i="69"/>
  <c r="Q76" i="69" s="1"/>
  <c r="Q68" i="69"/>
  <c r="Q57" i="69"/>
  <c r="Q63" i="69" s="1"/>
  <c r="Q48" i="15"/>
  <c r="Q54" i="15" s="1"/>
  <c r="Q66" i="15"/>
  <c r="Q76" i="15" s="1"/>
  <c r="Q57" i="15"/>
  <c r="Q63" i="15" s="1"/>
  <c r="C43" i="15"/>
  <c r="B2" i="15"/>
  <c r="J42" i="15"/>
  <c r="J43" i="15" s="1"/>
  <c r="E10" i="12"/>
  <c r="D10" i="12" l="1"/>
  <c r="B3" i="15"/>
  <c r="D8" i="12" s="1"/>
  <c r="C8" i="12" l="1"/>
  <c r="C10" i="12" s="1"/>
  <c r="C6" i="12" s="1"/>
  <c r="C29" i="12" l="1"/>
  <c r="C24" i="12"/>
  <c r="C28" i="12" l="1"/>
  <c r="C26" i="12" s="1"/>
  <c r="C31" i="12" s="1"/>
  <c r="C30" i="12" s="1"/>
  <c r="C35" i="12"/>
  <c r="C33" i="12" s="1"/>
  <c r="C36" i="12" l="1"/>
  <c r="B2" i="12" s="1"/>
  <c r="D19" i="9"/>
  <c r="D22" i="9" l="1"/>
  <c r="L44" i="9"/>
  <c r="G19" i="9"/>
  <c r="B5" i="12"/>
  <c r="B3" i="12"/>
  <c r="B4" i="12"/>
  <c r="D21" i="9"/>
  <c r="D20" i="9"/>
  <c r="G21" i="9" l="1"/>
  <c r="G20" i="9"/>
  <c r="G22" i="9"/>
  <c r="C32" i="9"/>
  <c r="K20" i="9"/>
  <c r="N43" i="9"/>
  <c r="O38" i="9" l="1"/>
  <c r="C34" i="9"/>
  <c r="C35" i="9"/>
  <c r="F42" i="9" s="1"/>
  <c r="C42" i="9"/>
  <c r="O43" i="9"/>
  <c r="C33" i="9"/>
  <c r="K26" i="9" l="1"/>
  <c r="K25" i="9"/>
  <c r="N38" i="9"/>
  <c r="K28" i="9" s="1"/>
  <c r="D42" i="9"/>
  <c r="Q5" i="54" s="1"/>
  <c r="B47" i="63" s="1"/>
  <c r="R5" i="54"/>
  <c r="B48" i="63" s="1"/>
  <c r="D14" i="66"/>
  <c r="D63" i="9"/>
  <c r="N68" i="9"/>
  <c r="E42" i="9"/>
  <c r="P5" i="54" s="1"/>
  <c r="B46" i="63" s="1"/>
  <c r="M38" i="9"/>
  <c r="K27" i="9" s="1"/>
  <c r="E14" i="66" l="1"/>
  <c r="F14" i="66"/>
  <c r="B5" i="66"/>
  <c r="C96" i="9"/>
  <c r="C91" i="9" s="1"/>
  <c r="D70" i="9"/>
  <c r="C90" i="9"/>
  <c r="C82" i="9"/>
  <c r="C81" i="9" s="1"/>
  <c r="C85" i="9" s="1"/>
  <c r="C86" i="9" s="1"/>
  <c r="D72" i="9" s="1"/>
  <c r="D71" i="9"/>
  <c r="D66" i="9" s="1"/>
  <c r="N72" i="9" s="1"/>
  <c r="D77" i="9"/>
  <c r="N75" i="9" s="1"/>
  <c r="C103" i="9"/>
  <c r="C111" i="9"/>
  <c r="C104" i="9" s="1"/>
  <c r="C113" i="9" l="1"/>
  <c r="C114" i="9" s="1"/>
  <c r="E114" i="9" s="1"/>
  <c r="E115" i="9" s="1"/>
  <c r="C97" i="9"/>
  <c r="D5" i="66"/>
  <c r="C5" i="66"/>
  <c r="C98" i="9" l="1"/>
  <c r="E98" i="9" s="1"/>
  <c r="E99" i="9" s="1"/>
  <c r="C115" i="9"/>
  <c r="D76" i="9" s="1"/>
  <c r="D74" i="9" s="1"/>
  <c r="N74" i="9" s="1"/>
  <c r="O77" i="9" s="1"/>
  <c r="O79" i="9" l="1"/>
  <c r="Q77" i="9"/>
  <c r="O78" i="9"/>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<sst xmlns="http://schemas.openxmlformats.org/spreadsheetml/2006/main" count="7363" uniqueCount="3058">
  <si>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</si>
  <si>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</si>
  <si>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</si>
  <si>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</si>
  <si>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</si>
  <si>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</si>
  <si>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</si>
  <si>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</si>
  <si>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</si>
  <si>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</si>
  <si>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</si>
  <si>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</si>
  <si>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</si>
  <si>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</si>
  <si>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</si>
  <si>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</si>
  <si>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</si>
  <si>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</si>
  <si>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</si>
  <si>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</si>
  <si>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</si>
  <si>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</si>
  <si>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</si>
  <si>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</si>
  <si>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</si>
  <si>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</si>
  <si>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</si>
  <si>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</si>
  <si>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</si>
  <si>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</si>
  <si>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</si>
  <si>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</si>
  <si>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</si>
  <si>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</si>
  <si>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</si>
  <si>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</si>
  <si>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</si>
  <si>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</si>
  <si>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</si>
  <si>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</si>
  <si>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</si>
  <si>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</si>
  <si>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</si>
  <si>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</si>
  <si>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</si>
  <si>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</si>
  <si>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</si>
  <si>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</si>
  <si>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</si>
  <si>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</si>
  <si>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</si>
  <si>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</si>
  <si>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</si>
  <si>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</si>
  <si>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</si>
  <si>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</si>
  <si>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</si>
  <si>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</si>
  <si>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</si>
  <si>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</si>
  <si>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</si>
  <si>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</si>
  <si>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</si>
  <si>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</si>
  <si>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</si>
  <si>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</si>
  <si>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</si>
  <si>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</si>
  <si>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</si>
  <si>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</si>
  <si>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</si>
  <si>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</si>
  <si>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</si>
  <si>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</si>
  <si>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</si>
  <si>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</si>
  <si>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</si>
  <si>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</si>
  <si>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</si>
  <si>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</si>
  <si>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</si>
  <si>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</si>
  <si>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</si>
  <si>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</si>
  <si>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</si>
  <si>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</si>
  <si>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</si>
  <si>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</si>
  <si>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</si>
  <si>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</si>
  <si>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</si>
  <si>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</si>
  <si>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</si>
  <si>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</si>
  <si>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</si>
  <si>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</si>
  <si>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</si>
  <si>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</si>
  <si>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</si>
  <si>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</si>
  <si>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</si>
  <si>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</si>
  <si>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</si>
  <si>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</si>
  <si>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</si>
  <si>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</si>
  <si>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</si>
  <si>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</si>
  <si>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</si>
  <si>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</si>
  <si>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</si>
  <si>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</si>
  <si>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</si>
  <si>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</si>
  <si>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</si>
  <si>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</si>
  <si>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</si>
  <si>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</si>
  <si>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</si>
  <si>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</si>
  <si>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</si>
  <si>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</si>
  <si>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</si>
  <si>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</si>
  <si>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</si>
  <si>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</si>
  <si>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</si>
  <si>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</si>
  <si>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</si>
  <si>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</si>
  <si>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</si>
  <si>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</si>
  <si>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</si>
  <si>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</si>
  <si>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</si>
  <si>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</si>
  <si>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</si>
  <si>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</si>
  <si>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</si>
  <si>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</si>
  <si>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</si>
  <si>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</si>
  <si>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</si>
  <si>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</si>
  <si>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</si>
  <si>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</si>
  <si>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</si>
  <si>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</si>
  <si>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</si>
  <si>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</si>
  <si>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</si>
  <si>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</si>
  <si>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</si>
  <si>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</si>
  <si>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</si>
  <si>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</si>
  <si>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</si>
  <si>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</si>
  <si>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</si>
  <si>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</si>
  <si>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</si>
  <si>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</si>
  <si>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</si>
  <si>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</si>
  <si>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</si>
  <si>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</si>
  <si>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</si>
  <si>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</si>
  <si>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</si>
  <si>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</si>
  <si>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</si>
  <si>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</si>
  <si>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</si>
  <si>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</si>
  <si>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</si>
  <si>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</si>
  <si>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</si>
  <si>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</si>
  <si>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</si>
  <si>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</si>
  <si>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</si>
  <si>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</si>
  <si>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</si>
  <si>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</si>
  <si>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</si>
  <si>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</si>
  <si>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</si>
  <si>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</si>
  <si>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</si>
  <si>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</si>
  <si>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</si>
  <si>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</si>
  <si>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</si>
  <si>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</si>
  <si>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</si>
  <si>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</si>
  <si>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</si>
  <si>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</si>
  <si>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</si>
  <si>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</si>
  <si>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</si>
  <si>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</si>
  <si>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</si>
  <si>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</si>
  <si>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</si>
  <si>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</si>
  <si>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</si>
  <si>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</si>
  <si>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</si>
  <si>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</si>
  <si>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</si>
  <si>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</si>
  <si>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</si>
  <si>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</si>
  <si>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</si>
  <si>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</si>
  <si>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</si>
  <si>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</si>
  <si>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</si>
  <si>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</si>
  <si>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</si>
  <si>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</si>
  <si>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</si>
  <si>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</si>
  <si>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</si>
  <si>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</si>
  <si>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</si>
  <si>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</si>
  <si>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</si>
  <si>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</si>
  <si>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</si>
  <si>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</si>
  <si>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</si>
  <si>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</si>
  <si>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</si>
  <si>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</si>
  <si>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</si>
  <si>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</si>
  <si>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</si>
  <si>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</si>
  <si>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</si>
  <si>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</si>
  <si>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</si>
  <si>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</si>
  <si>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</si>
  <si>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</si>
  <si>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</si>
  <si>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</si>
  <si>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</si>
  <si>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</si>
  <si>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</si>
  <si>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</si>
  <si>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</si>
  <si>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</si>
  <si>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</si>
  <si>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</si>
  <si>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</si>
  <si>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</si>
  <si>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</si>
  <si>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</si>
  <si>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</si>
  <si>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</si>
  <si>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</si>
  <si>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</si>
  <si>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</si>
  <si>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</si>
  <si>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</si>
  <si>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</si>
  <si>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</si>
  <si>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</si>
  <si>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</si>
  <si>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</si>
  <si>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</si>
  <si>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</si>
  <si>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</si>
  <si>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</si>
  <si>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</si>
  <si>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</si>
  <si>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</si>
  <si>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</si>
  <si>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</si>
  <si>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</si>
  <si>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</si>
  <si>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</si>
  <si>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</si>
  <si>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</si>
  <si>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</si>
  <si>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</si>
  <si>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</si>
  <si>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</si>
  <si>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</si>
  <si>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</si>
  <si>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</si>
  <si>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</si>
  <si>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</si>
  <si>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</si>
  <si>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</si>
  <si>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</si>
  <si>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</si>
  <si>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</si>
  <si>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</si>
  <si>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</si>
  <si>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</si>
  <si>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</si>
  <si>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</si>
  <si>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</si>
  <si>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</si>
  <si>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</si>
  <si>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</si>
  <si>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</si>
  <si>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</si>
  <si>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</si>
  <si>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</si>
  <si>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</si>
  <si>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</si>
  <si>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</si>
  <si>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</si>
  <si>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</si>
  <si>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</si>
  <si>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</si>
  <si>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</si>
  <si>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</si>
  <si>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</si>
  <si>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</si>
  <si>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</si>
  <si>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</si>
  <si>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</si>
  <si>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</si>
  <si>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</si>
  <si>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</si>
  <si>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</si>
  <si>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</si>
  <si>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</si>
  <si>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</si>
  <si>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</si>
  <si>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</si>
  <si>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</si>
  <si>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</si>
  <si>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</si>
  <si>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</si>
  <si>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</si>
  <si>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</si>
  <si>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</si>
  <si>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</si>
  <si>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</si>
  <si>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</si>
  <si>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</si>
  <si>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</si>
  <si>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</si>
  <si>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</si>
  <si>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</si>
  <si>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</si>
  <si>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</si>
  <si>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</si>
  <si>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</si>
  <si>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</si>
  <si>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</si>
  <si>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</si>
  <si>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</si>
  <si>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</si>
  <si>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</si>
  <si>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</si>
  <si>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</si>
  <si>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</si>
  <si>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</si>
  <si>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</si>
  <si>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</si>
  <si>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</si>
  <si>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</si>
  <si>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</si>
  <si>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</si>
  <si>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</si>
  <si>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</si>
  <si>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</si>
  <si>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</si>
  <si>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</si>
  <si>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</si>
  <si>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</si>
  <si>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</si>
  <si>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</si>
  <si>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</si>
  <si>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</si>
  <si>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</si>
  <si>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</si>
  <si>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</si>
  <si>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</si>
  <si>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</si>
  <si>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</si>
  <si>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</si>
  <si>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</si>
  <si>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</si>
  <si>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</si>
  <si>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</si>
  <si>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</si>
  <si>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</si>
  <si>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</si>
  <si>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</si>
  <si>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</si>
  <si>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</si>
  <si>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</si>
  <si>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</si>
  <si>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</si>
  <si>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</si>
  <si>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</si>
  <si>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</si>
  <si>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</si>
  <si>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</si>
  <si>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</si>
  <si>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</si>
  <si>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</si>
  <si>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</si>
  <si>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</si>
  <si>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</si>
  <si>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</si>
  <si>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</si>
  <si>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</si>
  <si>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</si>
  <si>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</si>
  <si>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</si>
  <si>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</si>
  <si>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</si>
  <si>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</si>
  <si>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</si>
  <si>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</si>
  <si>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</si>
  <si>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</si>
  <si>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</si>
  <si>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</si>
  <si>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</si>
  <si>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</si>
  <si>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</si>
  <si>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</si>
  <si>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</si>
  <si>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</si>
  <si>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</si>
  <si>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</si>
  <si>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</si>
  <si>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</si>
  <si>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</si>
  <si>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</si>
  <si>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</si>
  <si>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</si>
  <si>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</si>
  <si>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</si>
  <si>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</si>
  <si>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</si>
  <si>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</si>
  <si>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</si>
  <si>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</si>
  <si>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</si>
  <si>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</si>
  <si>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</si>
  <si>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</si>
  <si>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</si>
  <si>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</si>
  <si>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</si>
  <si>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</si>
  <si>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</si>
  <si>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</si>
  <si>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</si>
  <si>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</si>
  <si>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</si>
  <si>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</si>
  <si>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</si>
  <si>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</si>
  <si>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</si>
  <si>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</si>
  <si>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</si>
  <si>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</si>
  <si>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</si>
  <si>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</si>
  <si>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</si>
  <si>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</si>
  <si>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</si>
  <si>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</si>
  <si>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</si>
  <si>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</si>
  <si>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</si>
  <si>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</si>
  <si>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</si>
  <si>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</si>
  <si>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</si>
  <si>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</si>
  <si>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</si>
  <si>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</si>
  <si>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</si>
  <si>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</si>
  <si>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</si>
  <si>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</si>
  <si>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</si>
  <si>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</si>
  <si>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</si>
  <si>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</si>
  <si>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</si>
  <si>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</si>
  <si>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</si>
  <si>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</si>
  <si>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</si>
  <si>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</si>
  <si>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</si>
  <si>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</si>
  <si>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</si>
  <si>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</si>
  <si>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</si>
  <si>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</si>
  <si>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</si>
  <si>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</si>
  <si>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</si>
  <si>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</si>
  <si>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</si>
  <si>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</si>
  <si>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</si>
  <si>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</si>
  <si>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</si>
  <si>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</si>
  <si>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</si>
  <si>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</si>
  <si>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</si>
  <si>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</si>
  <si>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</si>
  <si>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</si>
  <si>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</si>
  <si>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</si>
  <si>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</si>
  <si>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</si>
  <si>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</si>
  <si>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</si>
  <si>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</si>
  <si>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</si>
  <si>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</si>
  <si>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</si>
  <si>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</si>
  <si>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</si>
  <si>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</si>
  <si>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</si>
  <si>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</si>
  <si>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</si>
  <si>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</si>
  <si>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</si>
  <si>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</si>
  <si>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</si>
  <si>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</si>
  <si>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</si>
  <si>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</si>
  <si>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</si>
  <si>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</si>
  <si>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</si>
  <si>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</si>
  <si>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</si>
  <si>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</si>
  <si>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</si>
  <si>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</si>
  <si>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</si>
  <si>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</si>
  <si>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</si>
  <si>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</si>
  <si>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</si>
  <si>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</si>
  <si>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</si>
  <si>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</si>
  <si>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</si>
  <si>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</si>
  <si>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</si>
  <si>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</si>
  <si>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</si>
  <si>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</si>
  <si>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</si>
  <si>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</si>
  <si>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</si>
  <si>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</si>
  <si>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</si>
  <si>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</si>
  <si>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</si>
  <si>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</si>
  <si>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</si>
  <si>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</si>
  <si>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</si>
  <si>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</si>
  <si>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</si>
  <si>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</si>
  <si>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</si>
  <si>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</si>
  <si>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</si>
  <si>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</si>
  <si>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</si>
  <si>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</si>
  <si>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</si>
  <si>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</si>
  <si>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</si>
  <si>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</si>
  <si>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</si>
  <si>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</si>
  <si>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</si>
  <si>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</si>
  <si>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</si>
  <si>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</si>
  <si>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</si>
  <si>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</si>
  <si>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</si>
  <si>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</si>
  <si>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</si>
  <si>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</si>
  <si>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</si>
  <si>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</si>
  <si>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</si>
  <si>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</si>
  <si>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</si>
  <si>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</si>
  <si>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</si>
  <si>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</si>
  <si>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</si>
  <si>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</si>
  <si>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</si>
  <si>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</si>
  <si>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</si>
  <si>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</si>
  <si>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</si>
  <si>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</si>
  <si>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</si>
  <si>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</si>
  <si>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</si>
  <si>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</si>
  <si>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</si>
  <si>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</si>
  <si>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</si>
  <si>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</si>
  <si>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</si>
  <si>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</si>
  <si>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</si>
  <si>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</si>
  <si>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</si>
  <si>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</si>
  <si>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</si>
  <si>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</si>
  <si>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</si>
  <si>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</si>
  <si>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</si>
  <si>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</si>
  <si>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</si>
  <si>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</si>
  <si>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</si>
  <si>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</si>
  <si>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</si>
  <si>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</si>
  <si>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</si>
  <si>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</si>
  <si>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</si>
  <si>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</si>
  <si>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</si>
  <si>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</si>
  <si>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</si>
  <si>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</si>
  <si>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</si>
  <si>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</si>
  <si>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</si>
  <si>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</si>
  <si>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</si>
  <si>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</si>
  <si>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</si>
  <si>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</si>
  <si>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</si>
  <si>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</si>
  <si>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</si>
  <si>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</si>
  <si>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</si>
  <si>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</si>
  <si>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</si>
  <si>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</si>
  <si>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</si>
  <si>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</si>
  <si>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</si>
  <si>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</si>
  <si>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</si>
  <si>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</si>
  <si>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</si>
  <si>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</si>
  <si>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</si>
  <si>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</si>
  <si>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</si>
  <si>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</si>
  <si>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</si>
  <si>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</si>
  <si>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</si>
  <si>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</si>
  <si>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</si>
  <si>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</si>
  <si>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</si>
  <si>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</si>
  <si>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</si>
  <si>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</si>
  <si>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</si>
  <si>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</si>
  <si>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</si>
  <si>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</si>
  <si>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</si>
  <si>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</si>
  <si>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</si>
  <si>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</si>
  <si>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</si>
  <si>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</si>
  <si>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</si>
  <si>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</si>
  <si>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</si>
  <si>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</si>
  <si>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</si>
  <si>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</si>
  <si>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</si>
  <si>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</si>
  <si>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</si>
  <si>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</si>
  <si>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</si>
  <si>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</si>
  <si>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</si>
  <si>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</si>
  <si>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</si>
  <si>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</si>
  <si>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</si>
  <si>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</si>
  <si>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</si>
  <si>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</si>
  <si>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</si>
  <si>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</si>
  <si>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</si>
  <si>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</si>
  <si>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</si>
  <si>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</si>
  <si>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</si>
  <si>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</si>
  <si>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</si>
  <si>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</si>
  <si>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</si>
  <si>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</si>
  <si>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</si>
  <si>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</si>
  <si>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</si>
  <si>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</si>
  <si>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</si>
  <si>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</si>
  <si>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</si>
  <si>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</si>
  <si>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</si>
  <si>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</si>
  <si>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</si>
  <si>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</si>
  <si>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</si>
  <si>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</si>
  <si>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</si>
  <si>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</si>
  <si>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</si>
  <si>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</si>
  <si>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</si>
  <si>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</si>
  <si>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</si>
  <si>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</si>
  <si>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</si>
  <si>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</si>
  <si>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</si>
  <si>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</si>
  <si>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</si>
  <si>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</si>
  <si>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</si>
  <si>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</si>
  <si>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</si>
  <si>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</si>
  <si>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</si>
  <si>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</si>
  <si>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</si>
  <si>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</si>
  <si>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</si>
  <si>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</si>
  <si>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</si>
  <si>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</si>
  <si>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</si>
  <si>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</si>
  <si>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</si>
  <si>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</si>
  <si>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</si>
  <si>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</si>
  <si>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</si>
  <si>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</si>
  <si>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</si>
  <si>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</si>
  <si>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</si>
  <si>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</si>
  <si>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</si>
  <si>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</si>
  <si>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</si>
  <si>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</si>
  <si>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</si>
  <si>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</si>
  <si>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</si>
  <si>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</si>
  <si>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</si>
  <si>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</si>
  <si>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</si>
  <si>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</si>
  <si>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</si>
  <si>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</si>
  <si>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</si>
  <si>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</si>
  <si>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</si>
  <si>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</si>
  <si>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</si>
  <si>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</si>
  <si>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</si>
  <si>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</si>
  <si>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</si>
  <si>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</si>
  <si>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</si>
  <si>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</si>
  <si>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</si>
  <si>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</si>
  <si>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</si>
  <si>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</si>
  <si>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</si>
  <si>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</si>
  <si>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</si>
  <si>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</si>
  <si>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</si>
  <si>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</si>
  <si>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</si>
  <si>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</si>
  <si>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</si>
  <si>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</si>
  <si>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</si>
  <si>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</si>
  <si>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</si>
  <si>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</si>
  <si>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</si>
  <si>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</si>
  <si>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</si>
  <si>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</si>
  <si>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</si>
  <si>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</si>
  <si>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</si>
  <si>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</si>
  <si>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</si>
  <si>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</si>
  <si>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</si>
  <si>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</si>
  <si>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</si>
  <si>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</si>
  <si>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</si>
  <si>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</si>
  <si>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</si>
  <si>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</si>
  <si>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</si>
  <si>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</si>
  <si>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</si>
  <si>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</si>
  <si>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</si>
  <si>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</si>
  <si>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</si>
  <si>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</si>
  <si>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</si>
  <si>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</si>
  <si>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</si>
  <si>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</si>
  <si>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</si>
  <si>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</si>
  <si>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</si>
  <si>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</si>
  <si>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</si>
  <si>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</si>
  <si>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</si>
  <si>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</si>
  <si>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</si>
  <si>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</si>
  <si>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</si>
  <si>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</si>
  <si>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</si>
  <si>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</si>
  <si>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</si>
  <si>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</si>
  <si>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</si>
  <si>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</si>
  <si>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</si>
  <si>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</si>
  <si>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</si>
  <si>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</si>
  <si>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</si>
  <si>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</si>
  <si>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</si>
  <si>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</si>
  <si>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</si>
  <si>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</si>
  <si>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</si>
  <si>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</si>
  <si>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</si>
  <si>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</si>
  <si>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</si>
  <si>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</si>
  <si>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</si>
  <si>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</si>
  <si>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</si>
  <si>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</si>
  <si>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</si>
  <si>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</si>
  <si>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</si>
  <si>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</si>
  <si>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</si>
  <si>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</si>
  <si>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</si>
  <si>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</si>
  <si>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</si>
  <si>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</si>
  <si>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</si>
  <si>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</si>
  <si>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</si>
  <si>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</si>
  <si>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</si>
  <si>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</si>
  <si>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</si>
  <si>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</si>
  <si>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</si>
  <si>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</si>
  <si>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</si>
  <si>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</si>
  <si>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</si>
  <si>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</si>
  <si>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</si>
  <si>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</si>
  <si>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</si>
  <si>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</si>
  <si>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</si>
  <si>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</si>
  <si>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</si>
  <si>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</si>
  <si>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</si>
  <si>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</si>
  <si>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</si>
  <si>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</si>
  <si>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</si>
  <si>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</si>
  <si>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</si>
  <si>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</si>
  <si>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</si>
  <si>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</si>
  <si>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</si>
  <si>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</si>
  <si>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</si>
  <si>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</si>
  <si>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</si>
  <si>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</si>
  <si>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</si>
  <si>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</si>
  <si>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</si>
  <si>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</si>
  <si>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</si>
  <si>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</si>
  <si>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</si>
  <si>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</si>
  <si>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</si>
  <si>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</si>
  <si>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</si>
  <si>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</si>
  <si>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</si>
  <si>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</si>
  <si>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</si>
  <si>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</si>
  <si>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</si>
  <si>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</si>
  <si>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</si>
  <si>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</si>
  <si>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</si>
  <si>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</si>
  <si>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</si>
  <si>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</si>
  <si>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</si>
  <si>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</si>
  <si>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</si>
  <si>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</si>
  <si>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</si>
  <si>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</si>
  <si>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</si>
  <si>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</si>
  <si>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</si>
  <si>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</si>
  <si>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</si>
  <si>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</si>
  <si>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</si>
  <si>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</si>
  <si>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</si>
  <si>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</si>
  <si>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</si>
  <si>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</si>
  <si>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</si>
  <si>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</si>
  <si>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</si>
  <si>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</si>
  <si>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</si>
  <si>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</si>
  <si>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</si>
  <si>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</si>
  <si>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</si>
  <si>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</si>
  <si>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</si>
  <si>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</si>
  <si>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</si>
  <si>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</si>
  <si>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</si>
  <si>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</si>
  <si>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</si>
  <si>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</si>
  <si>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</si>
  <si>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</si>
  <si>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</si>
  <si>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</si>
  <si>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</si>
  <si>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</si>
  <si>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</si>
  <si>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</si>
  <si>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</si>
  <si>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</si>
  <si>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</si>
  <si>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</si>
  <si>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</si>
  <si>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</si>
  <si>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</si>
  <si>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</si>
  <si>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</si>
  <si>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</si>
  <si>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</si>
  <si>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</si>
  <si>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</si>
  <si>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</si>
  <si>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</si>
  <si>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</si>
  <si>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</si>
  <si>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</si>
  <si>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</si>
  <si>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</si>
  <si>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</si>
  <si>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</si>
  <si>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</si>
  <si>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</si>
  <si>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</si>
  <si>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</si>
  <si>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</si>
  <si>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</si>
  <si>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</si>
  <si>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</si>
  <si>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</si>
  <si>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</si>
  <si>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</si>
  <si>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</si>
  <si>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</si>
  <si>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</si>
  <si>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</si>
  <si>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</si>
  <si>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</si>
  <si>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</si>
  <si>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</si>
  <si>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</si>
  <si>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</si>
  <si>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</si>
  <si>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</si>
  <si>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</si>
  <si>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</si>
  <si>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</si>
  <si>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</si>
  <si>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</si>
  <si>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</si>
  <si>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</si>
  <si>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</si>
  <si>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</si>
  <si>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</si>
  <si>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</si>
  <si>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</si>
  <si>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</si>
  <si>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</si>
  <si>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</si>
  <si>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</si>
  <si>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</si>
  <si>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</si>
  <si>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</si>
  <si>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</si>
  <si>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</si>
  <si>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</si>
  <si>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</si>
  <si>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</si>
  <si>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</si>
  <si>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</si>
  <si>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</si>
  <si>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</si>
  <si>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</si>
  <si>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</si>
  <si>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</si>
  <si>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</si>
  <si>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</si>
  <si>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</si>
  <si>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</si>
  <si>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</si>
  <si>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</si>
  <si>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</si>
  <si>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</si>
  <si>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</si>
  <si>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</si>
  <si>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</si>
  <si>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</si>
  <si>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</si>
  <si>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</si>
  <si>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</si>
  <si>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</si>
  <si>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</si>
  <si>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</si>
  <si>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</si>
  <si>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</si>
  <si>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</si>
  <si>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</si>
  <si>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</si>
  <si>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</si>
  <si>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</si>
  <si>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</si>
  <si>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</si>
  <si>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</si>
  <si>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</si>
  <si>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</si>
  <si>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</si>
  <si>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</si>
  <si>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</si>
  <si>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</si>
  <si>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</si>
  <si>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</si>
  <si>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</si>
  <si>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</si>
  <si>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</si>
  <si>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</si>
  <si>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</si>
  <si>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</si>
  <si>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</si>
  <si>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</si>
  <si>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</si>
  <si>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</si>
  <si>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</si>
  <si>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</si>
  <si>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</si>
  <si>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</si>
  <si>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</si>
  <si>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</si>
  <si>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</si>
  <si>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</si>
  <si>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</si>
  <si>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</si>
  <si>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</si>
  <si>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</si>
  <si>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</si>
  <si>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</si>
  <si>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</si>
  <si>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</si>
  <si>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</si>
  <si>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</si>
  <si>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</si>
  <si>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</si>
  <si>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</si>
  <si>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</si>
  <si>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</si>
  <si>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</si>
  <si>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</si>
  <si>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</si>
  <si>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</si>
  <si>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</si>
  <si>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</si>
  <si>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</si>
  <si>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</si>
  <si>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</si>
  <si>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</si>
  <si>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</si>
  <si>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</si>
  <si>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</si>
  <si>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</si>
  <si>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</si>
  <si>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</si>
  <si>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</si>
  <si>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</si>
  <si>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</si>
  <si>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</si>
  <si>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</si>
  <si>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</si>
  <si>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</si>
  <si>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</si>
  <si>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</si>
  <si>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</si>
  <si>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</si>
  <si>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</si>
  <si>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</si>
  <si>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</si>
  <si>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</si>
  <si>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</si>
  <si>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</si>
  <si>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</si>
  <si>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</si>
  <si>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</si>
  <si>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</si>
  <si>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</si>
  <si>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</si>
  <si>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</si>
  <si>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</si>
  <si>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</si>
  <si>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</si>
  <si>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</si>
  <si>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</si>
  <si>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</si>
  <si>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</si>
  <si>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</si>
  <si>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</si>
  <si>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</si>
  <si>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</si>
  <si>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</si>
  <si>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</si>
  <si>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</si>
  <si>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</si>
  <si>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</si>
  <si>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</si>
  <si>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</si>
  <si>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</si>
  <si>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</si>
  <si>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</si>
  <si>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</si>
  <si>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</si>
  <si>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</si>
  <si>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</si>
  <si>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</si>
  <si>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</si>
  <si>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</si>
  <si>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</si>
  <si>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</si>
  <si>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</si>
  <si>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</si>
  <si>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</si>
  <si>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</si>
  <si>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</si>
  <si>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</si>
  <si>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</si>
  <si>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</si>
  <si>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</si>
  <si>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</si>
  <si>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</si>
  <si>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</si>
  <si>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</si>
  <si>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</si>
  <si>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</si>
  <si>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</si>
  <si>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</si>
  <si>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</si>
  <si>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</si>
  <si>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</si>
  <si>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</si>
  <si>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</si>
  <si>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</si>
  <si>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</si>
  <si>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</si>
  <si>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</si>
  <si>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</si>
  <si>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</si>
  <si>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</si>
  <si>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</si>
  <si>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</si>
  <si>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</si>
  <si>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</si>
  <si>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</si>
  <si>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</si>
  <si>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</si>
  <si>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</si>
  <si>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</si>
  <si>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</si>
  <si>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</si>
  <si>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</si>
  <si>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</si>
  <si>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</si>
  <si>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</si>
  <si>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</si>
  <si>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</si>
  <si>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</si>
  <si>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</si>
  <si>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</si>
  <si>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</si>
  <si>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</si>
  <si>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</si>
  <si>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</si>
  <si>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</si>
  <si>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</si>
  <si>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</si>
  <si>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</si>
  <si>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</si>
  <si>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</si>
  <si>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</si>
  <si>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</si>
  <si>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</si>
  <si>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</si>
  <si>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</si>
  <si>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</si>
  <si>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</si>
  <si>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</si>
  <si>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</si>
  <si>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</si>
  <si>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</si>
  <si>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</si>
  <si>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</si>
  <si>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</si>
  <si>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</si>
  <si>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</si>
  <si>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</si>
  <si>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</si>
  <si>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</si>
  <si>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</si>
  <si>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</si>
  <si>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</si>
  <si>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</si>
  <si>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</si>
  <si>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</si>
  <si>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</si>
  <si>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</si>
  <si>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</si>
  <si>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</si>
  <si>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</si>
  <si>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</si>
  <si>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</si>
  <si>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</si>
  <si>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</si>
  <si>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</si>
  <si>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</si>
  <si>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</si>
  <si>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</si>
  <si>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</si>
  <si>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</si>
  <si>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</si>
  <si>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</si>
  <si>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</si>
  <si>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</si>
  <si>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</si>
  <si>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</si>
  <si>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</si>
  <si>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</si>
  <si>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</si>
  <si>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</si>
  <si>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</si>
  <si>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</si>
  <si>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</si>
  <si>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</si>
  <si>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</si>
  <si>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</si>
  <si>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</si>
  <si>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</si>
  <si>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</si>
  <si>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</si>
  <si>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</si>
  <si>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</si>
  <si>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</si>
  <si>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</si>
  <si>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</si>
  <si>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</si>
  <si>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</si>
  <si>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</si>
  <si>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</si>
  <si>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</si>
  <si>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</si>
  <si>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</si>
  <si>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</si>
  <si>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</si>
  <si>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</si>
  <si>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</si>
  <si>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</si>
  <si>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</si>
  <si>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</si>
  <si>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</si>
  <si>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</si>
  <si>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</si>
  <si>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</si>
  <si>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</si>
  <si>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</si>
  <si>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</si>
  <si>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</si>
  <si>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</si>
  <si>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</si>
  <si>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</si>
  <si>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</si>
  <si>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</si>
  <si>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</si>
  <si>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</si>
  <si>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</si>
  <si>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</si>
  <si>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</si>
  <si>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</si>
  <si>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</si>
  <si>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</si>
  <si>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</si>
  <si>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</si>
  <si>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</si>
  <si>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</si>
  <si>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</si>
  <si>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</si>
  <si>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</si>
  <si>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</si>
  <si>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</si>
  <si>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</si>
  <si>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</si>
  <si>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</si>
  <si>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</si>
  <si>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</si>
  <si>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</si>
  <si>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</si>
  <si>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</si>
  <si>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</si>
  <si>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</si>
  <si>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</si>
  <si>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</si>
  <si>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</si>
  <si>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</si>
  <si>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</si>
  <si>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</si>
  <si>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</si>
  <si>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</si>
  <si>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</si>
  <si>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</si>
  <si>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</si>
  <si>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</si>
  <si>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</si>
  <si>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</si>
  <si>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</si>
  <si>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</si>
  <si>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</si>
  <si>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</si>
  <si>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</si>
  <si>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</si>
  <si>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</si>
  <si>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</si>
  <si>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</si>
  <si>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</si>
  <si>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</si>
  <si>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</si>
  <si>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</si>
  <si>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</si>
  <si>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</si>
  <si>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</si>
  <si>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</si>
  <si>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</si>
  <si>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</si>
  <si>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</si>
  <si>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</si>
  <si>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</si>
  <si>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</si>
  <si>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</si>
  <si>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</si>
  <si>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</si>
  <si>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</si>
  <si>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</si>
  <si>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</si>
  <si>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</si>
  <si>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</si>
  <si>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</si>
  <si>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</si>
  <si>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</si>
  <si>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</si>
  <si>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</si>
  <si>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</si>
  <si>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</si>
  <si>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</si>
  <si>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</si>
  <si>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</si>
  <si>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</si>
  <si>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</si>
  <si>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</si>
  <si>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</si>
  <si>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</si>
  <si>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</si>
  <si>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</si>
  <si>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</si>
  <si>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</si>
  <si>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</si>
  <si>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</si>
  <si>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</si>
  <si>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</si>
  <si>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</si>
  <si>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</si>
  <si>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</si>
  <si>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</si>
  <si>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</si>
  <si>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</si>
  <si>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</si>
  <si>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</si>
  <si>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</si>
  <si>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</si>
  <si>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</si>
  <si>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</si>
  <si>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</si>
  <si>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</si>
  <si>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</si>
  <si>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</si>
  <si>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</si>
  <si>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</si>
  <si>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</si>
  <si>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</si>
  <si>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</si>
  <si>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</si>
  <si>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</si>
  <si>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</si>
  <si>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</si>
  <si>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</si>
  <si>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</si>
  <si>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</si>
  <si>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</si>
  <si>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</si>
  <si>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</si>
  <si>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</si>
  <si>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</si>
  <si>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</si>
  <si>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</si>
  <si>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</si>
  <si>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</si>
  <si>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</si>
  <si>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</si>
  <si>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</si>
  <si>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</si>
  <si>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</si>
  <si>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</si>
  <si>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</si>
  <si>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</si>
  <si>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</si>
  <si>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</si>
  <si>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</si>
  <si>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</si>
  <si>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</si>
  <si>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</si>
  <si>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</si>
  <si>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</si>
  <si>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</si>
  <si>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</si>
  <si>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</si>
  <si>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</si>
  <si>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</si>
  <si>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</si>
  <si>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</si>
  <si>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</si>
  <si>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</si>
  <si>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</si>
  <si>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</si>
  <si>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</si>
  <si>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</si>
  <si>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</si>
  <si>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</si>
  <si>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</si>
  <si>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</si>
  <si>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</si>
  <si>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</si>
  <si>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</si>
  <si>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</si>
  <si>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</si>
  <si>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</si>
  <si>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</si>
  <si>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</si>
  <si>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</si>
  <si>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</si>
  <si>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</si>
  <si>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</si>
  <si>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</si>
  <si>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</si>
  <si>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</si>
  <si>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</si>
  <si>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</si>
  <si>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</si>
  <si>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</si>
  <si>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</si>
  <si>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</si>
  <si>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</si>
  <si>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</si>
  <si>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</si>
  <si>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</si>
  <si>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</si>
  <si>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</si>
  <si>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</si>
  <si>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</si>
  <si>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</si>
  <si>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</si>
  <si>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</si>
  <si>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</si>
  <si>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</si>
  <si>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</si>
  <si>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</si>
  <si>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</si>
  <si>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</si>
  <si>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</si>
  <si>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</si>
  <si>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</si>
  <si>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</si>
  <si>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</si>
  <si>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</si>
  <si>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</si>
  <si>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</si>
  <si>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</si>
  <si>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</si>
  <si>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</si>
  <si>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</si>
  <si>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</si>
  <si>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</si>
  <si>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</si>
  <si>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</si>
  <si>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</si>
  <si>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</si>
  <si>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</si>
  <si>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</si>
  <si>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</si>
  <si>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</si>
  <si>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</si>
  <si>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</si>
  <si>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</si>
  <si>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</si>
  <si>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</si>
  <si>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</si>
  <si>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</si>
  <si>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</si>
  <si>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</si>
  <si>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</si>
  <si>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</si>
  <si>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</si>
  <si>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</si>
  <si>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</si>
  <si>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</si>
  <si>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</si>
  <si>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</si>
  <si>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</si>
  <si>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</si>
  <si>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</si>
  <si>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</si>
  <si>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</si>
  <si>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</si>
  <si>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</si>
  <si>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</si>
  <si>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</si>
  <si>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</si>
  <si>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</si>
  <si>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</si>
  <si>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</si>
  <si>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</si>
  <si>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</si>
  <si>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</si>
  <si>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</si>
  <si>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</si>
  <si>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</si>
  <si>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</si>
  <si>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</si>
  <si>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</si>
  <si>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</si>
  <si>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</si>
  <si>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</si>
  <si>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</si>
  <si>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</si>
  <si>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</si>
  <si>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</si>
  <si>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</si>
  <si>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</si>
  <si>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</si>
  <si>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</si>
  <si>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</si>
  <si>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</si>
  <si>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</si>
  <si>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</si>
  <si>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</si>
  <si>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</si>
  <si>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</si>
  <si>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</si>
  <si>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</si>
  <si>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</si>
  <si>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</si>
  <si>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</si>
  <si>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</si>
  <si>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</si>
  <si>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</si>
  <si>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</si>
  <si>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</si>
  <si>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</si>
  <si>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</si>
  <si>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</si>
  <si>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</si>
  <si>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</si>
  <si>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</si>
  <si>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</si>
  <si>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</si>
  <si>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</si>
  <si>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</si>
  <si>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</si>
  <si>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</si>
  <si>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</si>
  <si>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</si>
  <si>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</si>
  <si>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</si>
  <si>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</si>
  <si>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</si>
  <si>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</si>
  <si>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</si>
  <si>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</si>
  <si>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</si>
  <si>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</si>
  <si>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</si>
  <si>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</si>
  <si>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</si>
  <si>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</si>
  <si>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</si>
  <si>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</si>
  <si>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</si>
  <si>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</si>
  <si>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</si>
  <si>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</si>
  <si>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</si>
  <si>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</si>
  <si>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</si>
  <si>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</si>
  <si>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</si>
  <si>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</si>
  <si>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</si>
  <si>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</si>
  <si>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</si>
  <si>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</si>
  <si>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</si>
  <si>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</si>
  <si>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</si>
  <si>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</si>
  <si>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</si>
  <si>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</si>
  <si>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</si>
  <si>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</si>
  <si>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</si>
  <si>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</si>
  <si>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</si>
  <si>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</si>
  <si>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</si>
  <si>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</si>
  <si>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</si>
  <si>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</si>
  <si>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</si>
  <si>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</si>
  <si>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</si>
  <si>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</si>
  <si>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</si>
  <si>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</si>
  <si>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</si>
  <si>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</si>
  <si>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</si>
  <si>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</si>
  <si>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</si>
  <si>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</si>
  <si>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</si>
  <si>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</si>
  <si>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</si>
  <si>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</si>
  <si>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</si>
  <si>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</si>
  <si>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</si>
  <si>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</si>
  <si>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</si>
  <si>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</si>
  <si>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</si>
  <si>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</si>
  <si>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</si>
  <si>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</si>
  <si>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</si>
  <si>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</si>
  <si>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</si>
  <si>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</si>
  <si>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</si>
  <si>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</si>
  <si>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</si>
  <si>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</si>
  <si>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</si>
  <si>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</si>
  <si>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</si>
  <si>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</si>
  <si>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</si>
  <si>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</si>
  <si>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</si>
  <si>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</si>
  <si>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</si>
  <si>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</si>
  <si>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</si>
  <si>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</si>
  <si>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</si>
  <si>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</si>
  <si>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</si>
  <si>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</si>
  <si>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</si>
  <si>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</si>
  <si>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</si>
  <si>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</si>
  <si>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</si>
  <si>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</si>
  <si>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</si>
  <si>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</si>
  <si>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</si>
  <si>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</si>
  <si>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</si>
  <si>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</si>
  <si>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</si>
  <si>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</si>
  <si>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</si>
  <si>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</si>
  <si>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</si>
  <si>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</si>
  <si>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</si>
  <si>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</si>
  <si>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</si>
  <si>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</si>
  <si>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</si>
  <si>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</si>
  <si>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</si>
  <si>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</si>
  <si>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</si>
  <si>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</si>
  <si>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</si>
  <si>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</si>
  <si>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</si>
  <si>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</si>
  <si>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</si>
  <si>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</si>
  <si>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</si>
  <si>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</si>
  <si>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</si>
  <si>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</si>
  <si>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</si>
  <si>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</si>
  <si>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</si>
  <si>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</si>
  <si>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</si>
  <si>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</si>
  <si>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</si>
  <si>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</si>
  <si>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</si>
  <si>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</si>
  <si>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</si>
  <si>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</si>
  <si>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</si>
  <si>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</si>
  <si>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</si>
  <si>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</si>
  <si>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</si>
  <si>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</si>
  <si>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</si>
  <si>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</si>
  <si>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</si>
  <si>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</si>
  <si>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</si>
  <si>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</si>
  <si>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</si>
  <si>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</si>
  <si>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</si>
  <si>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</si>
  <si>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</si>
  <si>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</si>
  <si>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</si>
  <si>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</si>
  <si>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</si>
  <si>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</si>
  <si>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</si>
  <si>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</si>
  <si>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</si>
  <si>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</si>
  <si>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</si>
  <si>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</si>
  <si>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</si>
  <si>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</si>
  <si>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</si>
  <si>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</si>
  <si>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</si>
  <si>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</si>
  <si>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</si>
  <si>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</si>
  <si>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</si>
  <si>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</si>
  <si>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</si>
  <si>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</si>
  <si>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</si>
  <si>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</si>
  <si>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</si>
  <si>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</si>
  <si>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</si>
  <si>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</si>
  <si>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</si>
  <si>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</si>
  <si>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</si>
  <si>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</si>
  <si>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</si>
  <si>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</si>
  <si>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</si>
  <si>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</si>
  <si>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</si>
  <si>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</si>
  <si>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</si>
  <si>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</si>
  <si>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</si>
  <si>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</si>
  <si>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</si>
  <si>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</si>
  <si>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</si>
  <si>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</si>
  <si>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</si>
  <si>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</si>
  <si>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</si>
  <si>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</si>
  <si>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</si>
  <si>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</si>
  <si>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</si>
  <si>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</si>
  <si>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</si>
  <si>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</si>
  <si>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</si>
  <si>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</si>
  <si>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</si>
  <si>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</si>
  <si>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</si>
  <si>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</si>
  <si>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</si>
  <si>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</si>
  <si>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</si>
  <si>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</si>
  <si>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</si>
  <si>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</si>
  <si>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</si>
  <si>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</si>
  <si>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</si>
  <si>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</si>
  <si>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</si>
  <si>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</si>
  <si>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</si>
  <si>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</si>
  <si>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</si>
  <si>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</si>
  <si>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</si>
  <si>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</si>
  <si>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</si>
  <si>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</si>
  <si>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</si>
  <si>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</si>
  <si>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</si>
  <si>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</si>
  <si>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</si>
  <si>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</si>
  <si>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</si>
  <si>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</si>
  <si>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</si>
  <si>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</si>
  <si>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</si>
  <si>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</si>
  <si>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</si>
  <si>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</si>
  <si>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</si>
  <si>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</si>
  <si>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</si>
  <si>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</si>
  <si>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</si>
  <si>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</si>
  <si>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</si>
  <si>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</si>
  <si>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</si>
  <si>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</si>
  <si>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</si>
  <si>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</si>
  <si>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</si>
  <si>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</si>
  <si>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</si>
  <si>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</si>
  <si>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</si>
  <si>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</si>
  <si>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</si>
  <si>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</si>
  <si>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</si>
  <si>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</si>
  <si>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</si>
  <si>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</si>
  <si>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</si>
  <si>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</si>
  <si>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</si>
  <si>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</si>
  <si>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</si>
  <si>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</si>
  <si>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</si>
  <si>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</si>
  <si>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</si>
  <si>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</si>
  <si>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</si>
  <si>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</si>
  <si>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</si>
  <si>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</si>
  <si>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</si>
  <si>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</si>
  <si>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</si>
  <si>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</si>
  <si>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</si>
  <si>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</si>
  <si>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</si>
  <si>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</si>
  <si>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</si>
  <si>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</si>
  <si>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</si>
  <si>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</si>
  <si>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</si>
  <si>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</si>
  <si>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</si>
  <si>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</si>
  <si>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</si>
  <si>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</si>
  <si>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</si>
  <si>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</si>
  <si>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</si>
  <si>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</si>
  <si>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</si>
  <si>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</si>
  <si>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</si>
  <si>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</si>
  <si>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</si>
  <si>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</si>
  <si>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</si>
  <si>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</si>
  <si>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</si>
  <si>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</si>
  <si>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</si>
  <si>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</si>
  <si>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</si>
  <si>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</si>
  <si>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</si>
  <si>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</si>
  <si>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</si>
  <si>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</si>
  <si>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</si>
  <si>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</si>
  <si>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</si>
  <si>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</si>
  <si>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</si>
  <si>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</si>
  <si>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</si>
  <si>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</si>
  <si>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</si>
  <si>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</si>
  <si>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</si>
  <si>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</si>
  <si>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</si>
  <si>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</si>
  <si>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</si>
  <si>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</si>
  <si>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</si>
  <si>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</si>
  <si>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</si>
  <si>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</si>
  <si>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</si>
  <si>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</si>
  <si>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</si>
  <si>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</si>
  <si>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</si>
  <si>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</si>
  <si>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</si>
  <si>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</si>
  <si>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</si>
  <si>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</si>
  <si>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</si>
  <si>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</si>
  <si>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</si>
  <si>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</si>
  <si>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</si>
  <si>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</si>
  <si>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</si>
  <si>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</si>
  <si>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</si>
  <si>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</si>
  <si>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</si>
  <si>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</si>
  <si>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</si>
  <si>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</si>
  <si>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</si>
  <si>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</si>
  <si>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</si>
  <si>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</si>
  <si>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</si>
  <si>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</si>
  <si>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</si>
  <si>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</si>
  <si>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</si>
  <si>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</si>
  <si>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</si>
  <si>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</si>
  <si>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</si>
  <si>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</si>
  <si>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</si>
  <si>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</si>
  <si>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</si>
  <si>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</si>
  <si>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</si>
  <si>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</si>
  <si>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</si>
  <si>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</si>
  <si>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</si>
  <si>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</si>
  <si>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</si>
  <si>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</si>
  <si>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</si>
  <si>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</si>
  <si>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</si>
  <si>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</si>
  <si>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</si>
  <si>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</si>
  <si>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</si>
  <si>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</si>
  <si>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</si>
  <si>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</si>
  <si>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</si>
  <si>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</si>
  <si>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</si>
  <si>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</si>
  <si>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</si>
  <si>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</si>
  <si>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</si>
  <si>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</si>
  <si>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</si>
  <si>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</si>
  <si>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</si>
  <si>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</si>
  <si>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</si>
  <si>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</si>
  <si>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</si>
  <si>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</si>
  <si>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</si>
  <si>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</si>
  <si>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</si>
  <si>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</si>
  <si>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</si>
  <si>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</si>
  <si>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</si>
  <si>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</si>
  <si>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</si>
  <si>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</si>
  <si>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</si>
  <si>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</si>
  <si>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</si>
  <si>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</si>
  <si>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</si>
  <si>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</si>
  <si>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</si>
  <si>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</si>
  <si>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</si>
  <si>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</si>
  <si>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</si>
  <si>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</si>
  <si>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</si>
  <si>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</si>
  <si>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</si>
  <si>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</si>
  <si>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</si>
  <si>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</si>
  <si>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</si>
  <si>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</si>
  <si>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</si>
  <si>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</si>
  <si>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</si>
  <si>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</si>
  <si>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</si>
  <si>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</si>
  <si>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</si>
  <si>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</si>
  <si>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</si>
  <si>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</si>
  <si>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</si>
  <si>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</si>
  <si>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</si>
  <si>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</si>
  <si>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</si>
  <si>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</si>
  <si>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</si>
  <si>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</si>
  <si>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</si>
  <si>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</si>
  <si>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</si>
  <si>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</si>
  <si>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</si>
  <si>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</si>
  <si>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</si>
  <si>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</si>
  <si>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</si>
  <si>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</si>
  <si>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</si>
  <si>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</si>
  <si>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</si>
  <si>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</si>
  <si>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</si>
  <si>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</si>
  <si>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</si>
  <si>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</si>
  <si>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</si>
  <si>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</si>
  <si>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</si>
  <si>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</si>
  <si>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</si>
  <si>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</si>
  <si>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</si>
  <si>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</si>
  <si>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</si>
  <si>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</si>
  <si>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</si>
  <si>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</si>
  <si>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</si>
  <si>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</si>
  <si>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</si>
  <si>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</si>
  <si>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</si>
  <si>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</si>
  <si>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</si>
  <si>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</si>
  <si>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</si>
  <si>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</si>
  <si>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</si>
  <si>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</si>
  <si>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</si>
  <si>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</si>
  <si>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</si>
  <si>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</si>
  <si>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</si>
  <si>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</si>
  <si>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</si>
  <si>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</si>
  <si>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</si>
  <si>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</si>
  <si>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</si>
  <si>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</si>
  <si>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</si>
  <si>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</si>
  <si>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</si>
  <si>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</si>
  <si>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</si>
  <si>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</si>
  <si>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</si>
  <si>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</si>
  <si>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</si>
  <si>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</si>
  <si>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</si>
  <si>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</si>
  <si>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</si>
  <si>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</si>
  <si>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</si>
  <si>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</si>
  <si>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</si>
  <si>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</si>
  <si>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</si>
  <si>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</si>
  <si>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</si>
  <si>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</si>
  <si>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</si>
  <si>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</si>
  <si>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</si>
  <si>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</si>
  <si>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</si>
  <si>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</si>
  <si>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</si>
  <si>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</si>
  <si>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</si>
  <si>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</si>
  <si>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</si>
  <si>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</si>
  <si>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</si>
  <si>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</si>
  <si>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</si>
  <si>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</si>
  <si>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</si>
  <si>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</si>
  <si>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</si>
  <si>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</si>
  <si>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</si>
  <si>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</si>
  <si>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</si>
  <si>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</si>
  <si>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</si>
  <si>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</si>
  <si>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</si>
  <si>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</si>
  <si>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</si>
  <si>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</si>
  <si>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</si>
  <si>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</si>
  <si>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</si>
  <si>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</si>
  <si>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</si>
  <si>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</si>
  <si>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</si>
  <si>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</si>
  <si>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</si>
  <si>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</si>
  <si>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</si>
  <si>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</si>
  <si>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</si>
  <si>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</si>
  <si>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</si>
  <si>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</si>
  <si>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</si>
  <si>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</si>
  <si>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</si>
  <si>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</si>
  <si>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</si>
  <si>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</si>
  <si>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</si>
  <si>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</si>
  <si>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</si>
  <si>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</si>
  <si>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</si>
  <si>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</si>
  <si>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</si>
  <si>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</si>
  <si>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</si>
  <si>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</si>
  <si>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</si>
  <si>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</si>
  <si>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</si>
  <si>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</si>
  <si>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</si>
  <si>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</si>
  <si>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</si>
  <si>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</si>
  <si>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</si>
  <si>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</si>
  <si>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</si>
  <si>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</si>
  <si>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</si>
  <si>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</si>
  <si>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</si>
  <si>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</si>
  <si>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</si>
  <si>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</si>
  <si>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</si>
  <si>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</si>
  <si>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</si>
  <si>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</si>
  <si>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</si>
  <si>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</si>
  <si>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</si>
  <si>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</si>
  <si>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</si>
  <si>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</si>
  <si>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</si>
  <si>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</si>
  <si>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</si>
  <si>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</si>
  <si>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</si>
  <si>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</si>
  <si>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</si>
  <si>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</si>
  <si>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</si>
  <si>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</si>
  <si>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</si>
  <si>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</si>
  <si>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</si>
  <si>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</si>
  <si>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</si>
  <si>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</si>
  <si>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</si>
  <si>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</si>
  <si>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</si>
  <si>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</si>
  <si>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</si>
  <si>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</si>
  <si>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</si>
  <si>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</si>
  <si>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</si>
  <si>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</si>
  <si>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</si>
  <si>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</si>
  <si>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</si>
  <si>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</si>
  <si>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</si>
  <si>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</si>
  <si>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</si>
  <si>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</si>
  <si>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</si>
  <si>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</si>
  <si>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</si>
  <si>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</si>
  <si>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</si>
  <si>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</si>
  <si>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</si>
  <si>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</si>
  <si>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</si>
  <si>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</si>
  <si>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</si>
  <si>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</si>
  <si>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</si>
  <si>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</si>
  <si>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</si>
  <si>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</si>
  <si>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</si>
  <si>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</si>
  <si>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</si>
  <si>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</si>
  <si>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</si>
  <si>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</si>
  <si>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</si>
  <si>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</si>
  <si>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</si>
  <si>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</si>
  <si>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</si>
  <si>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</si>
  <si>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</si>
  <si>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</si>
  <si>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</si>
  <si>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</si>
  <si>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</si>
  <si>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</si>
  <si>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</si>
  <si>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</si>
  <si>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</si>
  <si>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</si>
  <si>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</si>
  <si>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</si>
  <si>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</si>
  <si>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</si>
  <si>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</si>
  <si>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</si>
  <si>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</si>
  <si>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</si>
  <si>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</si>
  <si>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</si>
  <si>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</si>
  <si>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</si>
  <si>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</si>
  <si>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</si>
  <si>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</si>
  <si>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</si>
  <si>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</si>
  <si>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</si>
  <si>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</si>
  <si>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</si>
  <si>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</si>
  <si>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</si>
  <si>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</si>
  <si>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</si>
  <si>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</si>
  <si>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</si>
  <si>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</si>
  <si>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</si>
  <si>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</si>
  <si>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</si>
  <si>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</si>
  <si>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</si>
  <si>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</si>
  <si>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</si>
  <si>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</si>
  <si>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</si>
  <si>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</si>
  <si>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</si>
  <si>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</si>
  <si>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</si>
  <si>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</si>
  <si>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</si>
  <si>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</si>
  <si>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</si>
  <si>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</si>
  <si>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</si>
  <si>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</si>
  <si>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</si>
  <si>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</si>
  <si>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</si>
  <si>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</si>
  <si>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</si>
  <si>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</si>
  <si>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</si>
  <si>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</si>
  <si>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</si>
  <si>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</si>
  <si>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</si>
  <si>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</si>
  <si>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</si>
  <si>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</si>
  <si>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</si>
  <si>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</si>
  <si>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</si>
  <si>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</si>
  <si>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</si>
  <si>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</si>
  <si>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</si>
  <si>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</si>
  <si>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</si>
  <si>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</si>
  <si>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</si>
  <si>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</si>
  <si>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</si>
  <si>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</si>
  <si>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</si>
  <si>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</si>
  <si>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</si>
  <si>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</si>
  <si>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</si>
  <si>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</si>
  <si>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</si>
  <si>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</si>
  <si>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</si>
  <si>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</si>
  <si>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</si>
  <si>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</si>
  <si>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</si>
  <si>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</si>
  <si>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</si>
  <si>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</si>
  <si>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</si>
  <si>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</si>
  <si>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</si>
  <si>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</si>
  <si>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</si>
  <si>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</si>
  <si>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</si>
  <si>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</si>
  <si>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</si>
  <si>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</si>
  <si>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</si>
  <si>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</si>
  <si>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</si>
  <si>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</si>
  <si>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</si>
  <si>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</si>
  <si>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</si>
  <si>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</si>
  <si>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</si>
  <si>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</si>
  <si>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</si>
  <si>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</si>
  <si>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</si>
  <si>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</si>
  <si>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</si>
  <si>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</si>
  <si>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</si>
  <si>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</si>
  <si>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</si>
  <si>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</si>
  <si>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</si>
  <si>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</si>
  <si>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</si>
  <si>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</si>
  <si>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</si>
  <si>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</si>
  <si>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</si>
  <si>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</si>
  <si>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</si>
  <si>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</si>
  <si>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</si>
  <si>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</si>
  <si>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</si>
  <si>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</si>
  <si>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</si>
  <si>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</si>
  <si>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</si>
  <si>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</si>
  <si>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</si>
  <si>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</si>
  <si>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</si>
  <si>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</si>
  <si>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</si>
  <si>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</si>
  <si>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</si>
  <si>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</si>
  <si>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</si>
  <si>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</si>
  <si>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</si>
  <si>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</si>
  <si>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</si>
  <si>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</si>
  <si>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</si>
  <si>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</si>
  <si>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</si>
  <si>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</si>
  <si>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</si>
  <si>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</si>
  <si>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</si>
  <si>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</si>
  <si>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</si>
  <si>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</si>
  <si>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</si>
  <si>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</si>
  <si>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</si>
  <si>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</si>
  <si>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</si>
  <si>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</si>
  <si>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</si>
  <si>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</si>
  <si>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</si>
  <si>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</si>
  <si>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</si>
  <si>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</si>
  <si>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</si>
  <si>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</si>
  <si>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</si>
  <si>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</si>
  <si>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</si>
  <si>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</si>
  <si>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</si>
  <si>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</si>
  <si>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</si>
  <si>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</si>
  <si>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</si>
  <si>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</si>
  <si>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</si>
  <si>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</si>
  <si>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</si>
  <si>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</si>
  <si>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</si>
  <si>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</si>
  <si>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</si>
  <si>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</si>
  <si>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</si>
  <si>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</si>
  <si>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</si>
  <si>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</si>
  <si>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</si>
  <si>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</si>
  <si>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</si>
  <si>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</si>
  <si>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</si>
  <si>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</si>
  <si>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</si>
  <si>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</si>
  <si>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</si>
  <si>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</si>
  <si>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</si>
  <si>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</si>
  <si>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</si>
  <si>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</si>
  <si>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</si>
  <si>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</si>
  <si>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</si>
  <si>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</si>
  <si>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</si>
  <si>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</si>
  <si>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</si>
  <si>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</si>
  <si>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</si>
  <si>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</si>
  <si>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</si>
  <si>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</si>
  <si>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</si>
  <si>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</si>
  <si>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</si>
  <si>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</si>
  <si>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</si>
  <si>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</si>
  <si>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</si>
  <si>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</si>
  <si>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</si>
  <si>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</si>
  <si>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</si>
  <si>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</si>
  <si>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</si>
  <si>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</si>
  <si>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</si>
  <si>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</si>
  <si>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</si>
  <si>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</si>
  <si>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</si>
  <si>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</si>
  <si>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</si>
  <si>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</si>
  <si>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</si>
  <si>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</si>
  <si>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</si>
  <si>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</si>
  <si>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</si>
  <si>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</si>
  <si>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</si>
  <si>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</si>
  <si>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</si>
  <si>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</si>
  <si>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</si>
  <si>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</si>
  <si>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</si>
  <si>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</si>
  <si>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</si>
  <si>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</si>
  <si>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</si>
  <si>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</si>
  <si>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</si>
  <si>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</si>
  <si>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</si>
  <si>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</si>
  <si>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</si>
  <si>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</si>
  <si>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</si>
  <si>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</si>
  <si>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</si>
  <si>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</si>
  <si>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</si>
  <si>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</si>
  <si>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</si>
  <si>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</si>
  <si>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</si>
  <si>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</si>
  <si>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</si>
  <si>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</si>
  <si>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</si>
  <si>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</si>
  <si>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</si>
  <si>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</si>
  <si>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</si>
  <si>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</si>
  <si>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</si>
  <si>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</si>
  <si>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</si>
  <si>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</si>
  <si>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</si>
  <si>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</si>
  <si>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</si>
  <si>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</si>
  <si>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</si>
  <si>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</si>
  <si>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</si>
  <si>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</si>
  <si>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</si>
  <si>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</si>
  <si>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</si>
  <si>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</si>
  <si>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</si>
  <si>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</si>
  <si>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</si>
  <si>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</si>
  <si>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</si>
  <si>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</si>
  <si>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</si>
  <si>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</si>
  <si>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</si>
  <si>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</si>
  <si>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</si>
  <si>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</si>
  <si>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</si>
  <si>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</si>
  <si>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</si>
  <si>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</si>
  <si>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</si>
  <si>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</si>
  <si>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</si>
  <si>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</si>
  <si>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</si>
  <si>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</si>
  <si>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</si>
  <si>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</si>
  <si>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</si>
  <si>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</si>
  <si>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</si>
  <si>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</si>
  <si>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</si>
  <si>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</si>
  <si>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</si>
  <si>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</si>
  <si>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</si>
  <si>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</si>
  <si>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</si>
  <si>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</si>
  <si>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</si>
  <si>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</si>
  <si>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</si>
  <si>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</si>
  <si>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</si>
  <si>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</si>
  <si>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</si>
  <si>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</si>
  <si>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</si>
  <si>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</si>
  <si>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</si>
  <si>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</si>
  <si>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</si>
  <si>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</si>
  <si>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</si>
  <si>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</si>
  <si>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</si>
  <si>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</si>
  <si>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</si>
  <si>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</si>
  <si>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</si>
  <si>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</si>
  <si>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</si>
  <si>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</si>
  <si>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</si>
  <si>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</si>
  <si>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</si>
  <si>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</si>
  <si>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</si>
  <si>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</si>
  <si>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</si>
  <si>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</si>
  <si>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</si>
  <si>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</si>
  <si>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</si>
  <si>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</si>
  <si>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</si>
  <si>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</si>
  <si>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</si>
  <si>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</si>
  <si>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</si>
  <si>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</si>
  <si>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</si>
  <si>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</si>
  <si>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</si>
  <si>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</si>
  <si>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</si>
  <si>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</si>
  <si>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</si>
  <si>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</si>
  <si>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</si>
  <si>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</si>
  <si>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</si>
  <si>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</si>
  <si>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</si>
  <si>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</si>
  <si>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</si>
  <si>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</si>
  <si>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</si>
  <si>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</si>
  <si>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</si>
  <si>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</si>
  <si>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</si>
  <si>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</si>
  <si>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</si>
  <si>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</si>
  <si>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</si>
  <si>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</si>
  <si>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</si>
  <si>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</si>
  <si>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</si>
  <si>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</si>
  <si>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</si>
  <si>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</si>
  <si>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</si>
  <si>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</si>
  <si>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</si>
  <si>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</si>
  <si>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</si>
  <si>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</si>
  <si>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</si>
  <si>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</si>
  <si>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</si>
  <si>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</si>
  <si>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</si>
  <si>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</si>
  <si>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</si>
  <si>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</si>
  <si>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</si>
  <si>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</si>
  <si>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</si>
  <si>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</si>
  <si>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</si>
  <si>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</si>
  <si>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</si>
  <si>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</si>
  <si>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</si>
  <si>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</si>
  <si>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</si>
  <si>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</si>
  <si>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</si>
  <si>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</si>
  <si>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</si>
  <si>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</si>
  <si>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</si>
  <si>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</si>
  <si>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</si>
  <si>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</si>
  <si>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</si>
  <si>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</si>
  <si>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</si>
  <si>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</si>
  <si>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</si>
  <si>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</si>
  <si>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</si>
  <si>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</si>
  <si>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</si>
  <si>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</si>
  <si>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</si>
  <si>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</si>
  <si>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</si>
  <si>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</si>
  <si>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</si>
  <si>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</si>
  <si>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</si>
  <si>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</si>
  <si>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</si>
  <si>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</si>
  <si>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</si>
  <si>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</si>
  <si>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</si>
  <si>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</si>
  <si>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</si>
  <si>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</si>
  <si>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</si>
  <si>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</si>
  <si>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</si>
  <si>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</si>
  <si>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</si>
  <si>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</si>
  <si>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</si>
  <si>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</si>
  <si>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</si>
  <si>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</si>
  <si>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</si>
  <si>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</si>
  <si>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</si>
  <si>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</si>
  <si>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</si>
  <si>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</si>
  <si>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</si>
  <si>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</si>
  <si>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</si>
  <si>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</si>
  <si>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</si>
  <si>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</si>
  <si>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</si>
  <si>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</si>
  <si>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</si>
  <si>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</si>
  <si>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</si>
  <si>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</si>
  <si>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</si>
  <si>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</si>
  <si>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</si>
  <si>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</si>
  <si>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</si>
  <si>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</si>
  <si>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</si>
  <si>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</si>
  <si>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</si>
  <si>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</si>
  <si>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</si>
  <si>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</si>
  <si>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</si>
  <si>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</si>
  <si>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</si>
  <si>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</si>
  <si>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</si>
  <si>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</si>
  <si>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</si>
  <si>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</si>
  <si>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</si>
  <si>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</si>
  <si>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</si>
  <si>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</si>
  <si>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</si>
  <si>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</si>
  <si>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</si>
  <si>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</si>
  <si>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</si>
  <si>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</si>
  <si>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</si>
  <si>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</si>
  <si>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</si>
  <si>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</si>
  <si>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</si>
  <si>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</si>
  <si>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</si>
  <si>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</si>
  <si>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</si>
  <si>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</si>
  <si>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</si>
  <si>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</si>
  <si>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</si>
  <si>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</si>
  <si>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</si>
  <si>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</si>
  <si>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</si>
  <si>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</si>
  <si>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</si>
  <si>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</si>
  <si>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</si>
  <si>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</si>
  <si>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</si>
  <si>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</si>
  <si>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</si>
  <si>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</si>
  <si>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</si>
  <si>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</si>
  <si>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</si>
  <si>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</si>
  <si>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</si>
  <si>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</si>
  <si>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</si>
  <si>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</si>
  <si>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</si>
  <si>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</si>
  <si>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</si>
  <si>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</si>
  <si>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</si>
  <si>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</si>
  <si>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</si>
  <si>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</si>
  <si>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</si>
  <si>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</si>
  <si>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</si>
  <si>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</si>
  <si>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</si>
  <si>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</si>
  <si>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</si>
  <si>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</si>
  <si>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</si>
  <si>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</si>
  <si>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</si>
  <si>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</si>
  <si>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</si>
  <si>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</si>
  <si>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</si>
  <si>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</si>
  <si>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</si>
  <si>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市场价格</t>
  </si>
  <si>
    <t>其他：</t>
  </si>
  <si>
    <t>企业</t>
  </si>
  <si>
    <t>商业</t>
  </si>
  <si>
    <t>车库</t>
  </si>
  <si>
    <t>钢混</t>
  </si>
  <si>
    <t>按租金收入计税</t>
  </si>
  <si>
    <t>土地（套用方法）</t>
  </si>
  <si>
    <t>住宅</t>
    <phoneticPr fontId="7" type="noConversion"/>
  </si>
  <si>
    <t>商业</t>
    <phoneticPr fontId="7" type="noConversion"/>
  </si>
  <si>
    <t>高层</t>
  </si>
  <si>
    <t>地下车库</t>
    <phoneticPr fontId="7" type="noConversion"/>
  </si>
  <si>
    <t>售价</t>
  </si>
  <si>
    <t>不动产收益法（商业）</t>
  </si>
  <si>
    <t>不动产收益法（地下车库）</t>
  </si>
  <si>
    <t>正常</t>
  </si>
  <si>
    <t>住宅</t>
    <phoneticPr fontId="21" type="noConversion"/>
  </si>
  <si>
    <t>50-60（含）</t>
  </si>
  <si>
    <t>60-70（含）</t>
  </si>
  <si>
    <t>中档</t>
  </si>
  <si>
    <t>精装</t>
  </si>
  <si>
    <t>专业</t>
  </si>
  <si>
    <t>六通</t>
  </si>
  <si>
    <t>平层</t>
  </si>
  <si>
    <t>较好</t>
  </si>
  <si>
    <t>毛坯</t>
  </si>
  <si>
    <t>一般</t>
  </si>
  <si>
    <t>好</t>
  </si>
  <si>
    <t>高层</t>
    <phoneticPr fontId="21" type="noConversion"/>
  </si>
  <si>
    <t>中档</t>
    <phoneticPr fontId="21" type="noConversion"/>
  </si>
  <si>
    <t>钢混</t>
    <phoneticPr fontId="21" type="noConversion"/>
  </si>
  <si>
    <t>精装</t>
    <phoneticPr fontId="21" type="noConversion"/>
  </si>
  <si>
    <t>专业</t>
    <phoneticPr fontId="21" type="noConversion"/>
  </si>
  <si>
    <t>六通</t>
    <phoneticPr fontId="21" type="noConversion"/>
  </si>
  <si>
    <t>平层</t>
    <phoneticPr fontId="21" type="noConversion"/>
  </si>
  <si>
    <t>简装</t>
  </si>
  <si>
    <t>高速路</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</si>
  <si>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</si>
  <si>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</si>
  <si>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</si>
  <si>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</si>
  <si>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</si>
  <si>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</si>
  <si>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六通一平</t>
    <phoneticPr fontId="3" type="noConversion"/>
  </si>
  <si>
    <t>较好</t>
    <phoneticPr fontId="3" type="noConversion"/>
  </si>
  <si>
    <t>住宅兼容商业;商业服务业设施兼容住宅;服务设施;幼儿园</t>
  </si>
  <si>
    <t>住宅兼容商业;幼儿园</t>
  </si>
  <si>
    <t>支路</t>
  </si>
  <si>
    <t>楼面地价</t>
  </si>
  <si>
    <t>沈阳路</t>
    <phoneticPr fontId="3" type="noConversion"/>
  </si>
  <si>
    <t>梓州大道</t>
    <phoneticPr fontId="3" type="noConversion"/>
  </si>
  <si>
    <t>较规则</t>
  </si>
  <si>
    <t>较适宜</t>
  </si>
  <si>
    <t>比较法-住宅、综合</t>
  </si>
  <si>
    <t>剩余法-待开发</t>
  </si>
  <si>
    <t>成都市天府新区华阳街道广福社区“恒大天府半岛”居住项目七期</t>
    <phoneticPr fontId="6" type="noConversion"/>
  </si>
  <si>
    <t>地上</t>
  </si>
  <si>
    <t>地下</t>
  </si>
  <si>
    <t>商业占比</t>
    <phoneticPr fontId="26" type="noConversion"/>
  </si>
  <si>
    <t>项目局部</t>
  </si>
  <si>
    <t>土地</t>
  </si>
  <si>
    <t>地价款</t>
    <phoneticPr fontId="228"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</si>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</sst>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theme="1"/>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xf numFmtId="0" fontId="1" fillId="0" borderId="0">
      <alignment vertical="center"/>
    </xf>
    <xf numFmtId="0" fontId="86"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4" fillId="7" borderId="20" xfId="0" applyNumberFormat="1" applyFont="1" applyFill="1" applyBorder="1" applyAlignment="1" applyProtection="1">
      <alignment horizontal="center" vertical="center" wrapText="1"/>
      <protection locked="0"/>
    </xf>
    <xf numFmtId="0" fontId="71" fillId="5" borderId="19"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0" fontId="83" fillId="5" borderId="30" xfId="0" applyFont="1" applyFill="1" applyBorder="1" applyAlignment="1" applyProtection="1">
      <alignment vertical="center" wrapText="1"/>
    </xf>
    <xf numFmtId="49" fontId="144" fillId="0" borderId="24" xfId="0" applyNumberFormat="1" applyFont="1" applyFill="1" applyBorder="1" applyAlignment="1" applyProtection="1">
      <alignment horizontal="center" vertical="center" wrapText="1"/>
      <protection locked="0"/>
    </xf>
    <xf numFmtId="0" fontId="71" fillId="17" borderId="11" xfId="0" applyFont="1" applyFill="1" applyBorder="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179" fontId="76" fillId="0" borderId="2"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49" fontId="144" fillId="0" borderId="8" xfId="0" applyNumberFormat="1" applyFont="1" applyFill="1" applyBorder="1" applyAlignment="1" applyProtection="1">
      <alignment horizontal="center" vertical="center" wrapText="1"/>
      <protection locked="0"/>
    </xf>
    <xf numFmtId="49" fontId="144"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181" fontId="85" fillId="18"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5"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 name="普通 2" xfId="16"/>
    <cellStyle name="普通 3" xfId="1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5104;&#37117;&#24658;&#22823;&#22825;&#24220;&#21322;&#23707;&#20845;&#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6、7期规划"/>
      <sheetName val="6、7期工程进度"/>
      <sheetName val="5、8、9、10期规划"/>
      <sheetName val="项目土地面积"/>
      <sheetName val="数据-汇总表"/>
      <sheetName val="数据-取费表"/>
      <sheetName val="估价对象房地状况"/>
      <sheetName val="系统读取表"/>
      <sheetName val="结果表"/>
      <sheetName val="成本法"/>
      <sheetName val="成本法 (元)"/>
      <sheetName val="土地比较法-住宅、综合"/>
      <sheetName val="土地案例"/>
      <sheetName val="选取案例"/>
      <sheetName val="假设开发法"/>
      <sheetName val="比较法-住宅"/>
      <sheetName val="收益法（商业）"/>
      <sheetName val="收益法 (元)"/>
      <sheetName val="收益法（汇总）"/>
      <sheetName val="酒店收入计算"/>
      <sheetName val="收益法（地下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作表6"/>
      <sheetName val="Sheet1"/>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ow r="3">
          <cell r="B3">
            <v>43630</v>
          </cell>
          <cell r="D3">
            <v>43630</v>
          </cell>
        </row>
        <row r="5">
          <cell r="B5" t="str">
            <v>光大兴陇有限责任公司</v>
          </cell>
        </row>
        <row r="6">
          <cell r="B6" t="str">
            <v>光大兴陇有限责任公司</v>
          </cell>
        </row>
        <row r="7">
          <cell r="B7" t="str">
            <v>成都心怡房地产开发有限公司</v>
          </cell>
        </row>
        <row r="10">
          <cell r="C10" t="str">
            <v>四川省</v>
          </cell>
        </row>
        <row r="11">
          <cell r="C11" t="str">
            <v>成都心怡房地产开发有限公司</v>
          </cell>
        </row>
        <row r="13">
          <cell r="D13">
            <v>64310</v>
          </cell>
          <cell r="E13">
            <v>52257</v>
          </cell>
          <cell r="G13">
            <v>55910</v>
          </cell>
        </row>
      </sheetData>
      <sheetData sheetId="11"/>
      <sheetData sheetId="12"/>
      <sheetData sheetId="13"/>
      <sheetData sheetId="14"/>
      <sheetData sheetId="15">
        <row r="3">
          <cell r="N3">
            <v>285760.2</v>
          </cell>
        </row>
        <row r="4">
          <cell r="N4">
            <v>416069.5</v>
          </cell>
        </row>
        <row r="5">
          <cell r="N5">
            <v>187952.32</v>
          </cell>
        </row>
        <row r="6">
          <cell r="N6">
            <v>18926.48</v>
          </cell>
        </row>
        <row r="10">
          <cell r="N10">
            <v>204575</v>
          </cell>
        </row>
        <row r="11">
          <cell r="N11">
            <v>112139.17000000001</v>
          </cell>
        </row>
        <row r="15">
          <cell r="J15">
            <v>2.1800000000000002</v>
          </cell>
        </row>
      </sheetData>
      <sheetData sheetId="16"/>
      <sheetData sheetId="17"/>
      <sheetData sheetId="18">
        <row r="6">
          <cell r="H6">
            <v>4.4999999999999998E-2</v>
          </cell>
          <cell r="I6">
            <v>0.05</v>
          </cell>
          <cell r="J6">
            <v>8.5000000000000006E-2</v>
          </cell>
          <cell r="L6">
            <v>3000</v>
          </cell>
          <cell r="Q6">
            <v>0.1</v>
          </cell>
        </row>
        <row r="7">
          <cell r="H7">
            <v>0.05</v>
          </cell>
          <cell r="I7">
            <v>5.5E-2</v>
          </cell>
          <cell r="J7">
            <v>8.5000000000000006E-2</v>
          </cell>
          <cell r="L7">
            <v>3000</v>
          </cell>
          <cell r="Q7">
            <v>0.2</v>
          </cell>
          <cell r="V7">
            <v>0.03</v>
          </cell>
          <cell r="W7">
            <v>0.1</v>
          </cell>
          <cell r="AK7">
            <v>1.4999999999999999E-2</v>
          </cell>
          <cell r="AL7">
            <v>1.5E-3</v>
          </cell>
          <cell r="AM7">
            <v>0.01</v>
          </cell>
        </row>
        <row r="8">
          <cell r="H8">
            <v>4.4999999999999998E-2</v>
          </cell>
          <cell r="I8">
            <v>0.05</v>
          </cell>
          <cell r="J8">
            <v>8.5000000000000006E-2</v>
          </cell>
          <cell r="L8">
            <v>2400</v>
          </cell>
          <cell r="Q8">
            <v>0.03</v>
          </cell>
          <cell r="U8">
            <v>0.8</v>
          </cell>
          <cell r="V8">
            <v>0.03</v>
          </cell>
          <cell r="W8">
            <v>0.1</v>
          </cell>
          <cell r="AK8">
            <v>1.4999999999999999E-2</v>
          </cell>
          <cell r="AL8">
            <v>1.5E-3</v>
          </cell>
          <cell r="AM8">
            <v>0.01</v>
          </cell>
        </row>
        <row r="14">
          <cell r="L14">
            <v>2400</v>
          </cell>
        </row>
        <row r="27">
          <cell r="B27">
            <v>220</v>
          </cell>
        </row>
        <row r="28">
          <cell r="B28">
            <v>220</v>
          </cell>
        </row>
        <row r="30">
          <cell r="B30">
            <v>250</v>
          </cell>
        </row>
        <row r="33">
          <cell r="B33">
            <v>0.03</v>
          </cell>
        </row>
        <row r="34">
          <cell r="B34">
            <v>0.03</v>
          </cell>
        </row>
        <row r="35">
          <cell r="B35">
            <v>250</v>
          </cell>
        </row>
        <row r="36">
          <cell r="B36">
            <v>1.4999999999999999E-2</v>
          </cell>
        </row>
        <row r="37">
          <cell r="B37">
            <v>0.02</v>
          </cell>
        </row>
        <row r="38">
          <cell r="B38">
            <v>0.02</v>
          </cell>
        </row>
        <row r="42">
          <cell r="B42">
            <v>0.05</v>
          </cell>
        </row>
        <row r="48">
          <cell r="B48">
            <v>0.03</v>
          </cell>
        </row>
        <row r="49">
          <cell r="B49">
            <v>5.0000000000000001E-4</v>
          </cell>
        </row>
        <row r="54">
          <cell r="B54">
            <v>12</v>
          </cell>
        </row>
      </sheetData>
      <sheetData sheetId="19"/>
      <sheetData sheetId="20"/>
      <sheetData sheetId="21"/>
      <sheetData sheetId="22"/>
      <sheetData sheetId="23"/>
      <sheetData sheetId="24">
        <row r="3">
          <cell r="E3" t="str">
            <v>首钢·蓉璟台</v>
          </cell>
          <cell r="G3" t="str">
            <v>万科·公园传奇</v>
          </cell>
          <cell r="I3" t="str">
            <v>保利·万科保利翡翠和悦</v>
          </cell>
        </row>
        <row r="5">
          <cell r="E5" t="str">
            <v>天府新区华阳街道鹤林村五组(剑南大道东侧、沈阳路南侧)</v>
          </cell>
          <cell r="G5" t="str">
            <v>天府新区华阳街道香山村六组、八组、九组(天府大道西侧、梓州大道南侧)</v>
          </cell>
          <cell r="I5" t="str">
            <v>天府新区华阳街道一心村九组、鹤林村五组(剑南大道东侧、沈阳路南侧)</v>
          </cell>
        </row>
        <row r="6">
          <cell r="E6" t="str">
            <v>TF(07):2017-36</v>
          </cell>
          <cell r="G6" t="str">
            <v>TF(07):2017-38</v>
          </cell>
          <cell r="I6" t="str">
            <v>TF(07):2017-37</v>
          </cell>
        </row>
        <row r="7">
          <cell r="E7" t="str">
            <v>2017-12-28</v>
          </cell>
          <cell r="G7" t="str">
            <v>2017-12-28</v>
          </cell>
          <cell r="I7" t="str">
            <v>2017-12-28</v>
          </cell>
        </row>
        <row r="11">
          <cell r="E11">
            <v>2.5</v>
          </cell>
          <cell r="G11">
            <v>2.69</v>
          </cell>
          <cell r="I11">
            <v>2.11</v>
          </cell>
          <cell r="K11">
            <v>6</v>
          </cell>
        </row>
        <row r="12">
          <cell r="C12">
            <v>0</v>
          </cell>
          <cell r="E12" t="str">
            <v>0-10%</v>
          </cell>
          <cell r="G12" t="str">
            <v>0-10%</v>
          </cell>
          <cell r="I12" t="str">
            <v>0-10%</v>
          </cell>
        </row>
        <row r="15">
          <cell r="K15">
            <v>3</v>
          </cell>
        </row>
        <row r="17">
          <cell r="K17">
            <v>2</v>
          </cell>
        </row>
        <row r="21">
          <cell r="K21">
            <v>3</v>
          </cell>
        </row>
        <row r="23">
          <cell r="K23">
            <v>5</v>
          </cell>
        </row>
        <row r="25">
          <cell r="K25">
            <v>3</v>
          </cell>
        </row>
        <row r="27">
          <cell r="K27">
            <v>3</v>
          </cell>
        </row>
        <row r="29">
          <cell r="K29">
            <v>2</v>
          </cell>
        </row>
        <row r="32">
          <cell r="K32">
            <v>2</v>
          </cell>
        </row>
        <row r="38">
          <cell r="E38">
            <v>29719.56</v>
          </cell>
          <cell r="G38">
            <v>106456.1</v>
          </cell>
          <cell r="I38">
            <v>33063.120000000003</v>
          </cell>
        </row>
        <row r="46">
          <cell r="E46">
            <v>7329</v>
          </cell>
          <cell r="G46">
            <v>7162</v>
          </cell>
          <cell r="I46">
            <v>7324</v>
          </cell>
        </row>
        <row r="75">
          <cell r="D75" t="str">
            <v>住宅</v>
          </cell>
          <cell r="E75" t="str">
            <v>住宅兼容商业;商业服务业设施兼容住宅;服务设施;幼儿园</v>
          </cell>
          <cell r="F75" t="str">
            <v>住宅兼容商业;幼儿园</v>
          </cell>
        </row>
        <row r="76">
          <cell r="D76">
            <v>100</v>
          </cell>
          <cell r="E76">
            <v>100</v>
          </cell>
          <cell r="F76">
            <v>100</v>
          </cell>
        </row>
        <row r="80">
          <cell r="C80">
            <v>2</v>
          </cell>
          <cell r="D80">
            <v>3</v>
          </cell>
          <cell r="E80">
            <v>4</v>
          </cell>
          <cell r="F80">
            <v>5</v>
          </cell>
          <cell r="G80">
            <v>6</v>
          </cell>
        </row>
        <row r="82">
          <cell r="C82">
            <v>0</v>
          </cell>
          <cell r="D82" t="str">
            <v>0-10%</v>
          </cell>
        </row>
        <row r="83">
          <cell r="C83">
            <v>100</v>
          </cell>
          <cell r="D83">
            <v>95</v>
          </cell>
        </row>
        <row r="84">
          <cell r="C84" t="str">
            <v>0-10%（含）</v>
          </cell>
          <cell r="D84" t="str">
            <v>10-30%（含）</v>
          </cell>
        </row>
        <row r="85">
          <cell r="C85">
            <v>100</v>
          </cell>
          <cell r="D85">
            <v>90</v>
          </cell>
        </row>
      </sheetData>
      <sheetData sheetId="25"/>
      <sheetData sheetId="26"/>
      <sheetData sheetId="27">
        <row r="6">
          <cell r="C6">
            <v>13194</v>
          </cell>
        </row>
      </sheetData>
      <sheetData sheetId="28">
        <row r="5">
          <cell r="E5" t="str">
            <v>建发中央湾区</v>
          </cell>
          <cell r="G5" t="str">
            <v>阳光城半山悦</v>
          </cell>
          <cell r="I5" t="str">
            <v>远大中央公园</v>
          </cell>
        </row>
        <row r="6">
          <cell r="E6" t="str">
            <v>正公路88号</v>
          </cell>
          <cell r="G6" t="str">
            <v>麓山大道381号</v>
          </cell>
          <cell r="I6" t="str">
            <v>天府大道南段西侧</v>
          </cell>
        </row>
        <row r="7">
          <cell r="E7">
            <v>43617</v>
          </cell>
          <cell r="G7">
            <v>43497</v>
          </cell>
          <cell r="I7">
            <v>43617</v>
          </cell>
        </row>
        <row r="10">
          <cell r="K10">
            <v>1</v>
          </cell>
        </row>
        <row r="11">
          <cell r="E11">
            <v>1.8</v>
          </cell>
          <cell r="G11">
            <v>1.98</v>
          </cell>
          <cell r="I11">
            <v>4.96</v>
          </cell>
          <cell r="K11">
            <v>0</v>
          </cell>
        </row>
        <row r="15">
          <cell r="K15">
            <v>5</v>
          </cell>
        </row>
        <row r="17">
          <cell r="K17">
            <v>2</v>
          </cell>
        </row>
        <row r="19">
          <cell r="K19">
            <v>3</v>
          </cell>
        </row>
        <row r="21">
          <cell r="K21">
            <v>2</v>
          </cell>
        </row>
        <row r="23">
          <cell r="K23">
            <v>2</v>
          </cell>
        </row>
        <row r="42">
          <cell r="K42">
            <v>4</v>
          </cell>
        </row>
        <row r="47">
          <cell r="E47">
            <v>11896.262052714277</v>
          </cell>
          <cell r="G47">
            <v>13000</v>
          </cell>
          <cell r="I47">
            <v>14000</v>
          </cell>
        </row>
        <row r="68">
          <cell r="C68">
            <v>0</v>
          </cell>
          <cell r="D68">
            <v>2</v>
          </cell>
          <cell r="E68">
            <v>4</v>
          </cell>
        </row>
      </sheetData>
      <sheetData sheetId="29"/>
      <sheetData sheetId="30"/>
      <sheetData sheetId="31"/>
      <sheetData sheetId="32"/>
      <sheetData sheetId="33"/>
      <sheetData sheetId="34"/>
      <sheetData sheetId="35"/>
      <sheetData sheetId="36"/>
      <sheetData sheetId="37"/>
      <sheetData sheetId="38"/>
      <sheetData sheetId="39">
        <row r="97">
          <cell r="B97" t="str">
            <v>毗邻道路的类型与等级</v>
          </cell>
        </row>
        <row r="112">
          <cell r="B112" t="str">
            <v>宗地开发程度</v>
          </cell>
        </row>
        <row r="114">
          <cell r="B114" t="str">
            <v>工程地质条件</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四川省成都市天府新区华阳街道广福社区“恒大天府半岛”居住项目七期出让国有建设用地使用权市场价格预评估</v>
      </c>
      <c r="AX2" s="2849"/>
      <c r="AZ2" s="2849"/>
      <c r="BA2" s="2850"/>
      <c r="BC2" s="2850"/>
    </row>
    <row r="3" spans="1:55" s="2851" customFormat="1">
      <c r="A3" s="2830" t="s">
        <v>2659</v>
      </c>
      <c r="B3" s="2833" t="str">
        <f>'预评函-封皮'!B40</f>
        <v>光大兴陇有限责任公司</v>
      </c>
    </row>
    <row r="4" spans="1:55" s="2832" customFormat="1">
      <c r="A4" s="2830" t="s">
        <v>2660</v>
      </c>
      <c r="B4" s="2831" t="str">
        <f>'预评函-封皮'!B46</f>
        <v>土地估价师、土地估价师</v>
      </c>
      <c r="N4" s="2832" t="str">
        <f>'预评函-1'!A28</f>
        <v>——</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受贵公司委托，我公司对四川省成都市天府新区华阳街道广福社区“恒大天府半岛”居住项目七期出让国有建设用地使用权市场价格进行了预评估。</v>
      </c>
      <c r="AM6" s="2855"/>
    </row>
    <row r="7" spans="1:55" s="2829" customFormat="1">
      <c r="A7" s="2830" t="s">
        <v>2655</v>
      </c>
      <c r="B7" s="2831" t="str">
        <f>'预评函-1'!A6</f>
        <v>估价对象为成都心怡房地产开发有限公司使用的、位于四川省成都市天府新区华阳街道广福社区“恒大天府半岛”居住项目七期出让国有建设用地使用权。根据《国有土地使用证》[]，估价对象（分摊）出让国有建设用地使用权面积为285760.2平方米。根据《建设工程规划许可证》[]、《出让合同》[]，估价对象规划建筑面积为939662.47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2019年6月14日（评估专业人员勘察现场之日）</v>
      </c>
    </row>
    <row r="11" spans="1:55" s="2829" customFormat="1">
      <c r="A11" s="2830" t="s">
        <v>2663</v>
      </c>
      <c r="B11" s="2831" t="str">
        <f>'预评函-1'!A14</f>
        <v>根据《国有土地使用证》[]，本次评估估价对象证载（地类）用途为。</v>
      </c>
    </row>
    <row r="12" spans="1:55" s="2829" customFormat="1">
      <c r="A12" s="2830" t="s">
        <v>2664</v>
      </c>
      <c r="B12" s="2831" t="str">
        <f>'预评函-1'!A15</f>
        <v>本次评估设定用途即为证载用途。</v>
      </c>
    </row>
    <row r="13" spans="1:55" s="2829" customFormat="1">
      <c r="A13" s="2830" t="s">
        <v>2665</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根据《国有土地使用证》[]，估价对象（分摊）出让国有建设用地使用权面积为285760.2平方米。根据《建设工程规划许可证》[]、《出让合同》[]，估价对象规划建筑面积为939662.47平方米。</v>
      </c>
    </row>
    <row r="16" spans="1:55" s="2829" customFormat="1">
      <c r="A16" s="2830" t="s">
        <v>2667</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1月26日、商业2043年1月26日车库2053年1月26日。截至估价期日，出让国有建设用地使用权剩余土地使用年限为。</v>
      </c>
    </row>
    <row r="17" spans="1:48" s="2829" customFormat="1">
      <c r="A17" s="2830" t="s">
        <v>2668</v>
      </c>
      <c r="B17" s="2831" t="str">
        <f>'预评函-1'!A23</f>
        <v>本次评估设定估价对象剩余土地使用年限为。</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row>
    <row r="19" spans="1:48" s="2829" customFormat="1">
      <c r="A19" s="2830" t="s">
        <v>2670</v>
      </c>
      <c r="B19" s="2831" t="str">
        <f>'预评函-1'!A26</f>
        <v>——</v>
      </c>
    </row>
    <row r="20" spans="1:48" s="2829" customFormat="1">
      <c r="A20" s="2830" t="s">
        <v>2671</v>
      </c>
      <c r="B20" s="2831" t="str">
        <f>'预评函-1'!A27</f>
        <v>——</v>
      </c>
    </row>
    <row r="21" spans="1:48" s="2845" customFormat="1" ht="15" thickBot="1">
      <c r="A21" s="2852" t="s">
        <v>2672</v>
      </c>
      <c r="B21" s="2853" t="str">
        <f>'预评函-1'!A28</f>
        <v>——</v>
      </c>
    </row>
    <row r="22" spans="1:48" ht="15" thickTop="1">
      <c r="A22" s="2841" t="s">
        <v>2673</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估价期日：2019年6月14日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f>'预评函-2'!E5</f>
        <v>0</v>
      </c>
      <c r="AV32" s="2835"/>
    </row>
    <row r="33" spans="1:2">
      <c r="A33" s="2830" t="s">
        <v>2711</v>
      </c>
      <c r="B33" s="2831">
        <f>'预评函-2'!F5</f>
        <v>258</v>
      </c>
    </row>
    <row r="34" spans="1:2">
      <c r="A34" s="2830" t="s">
        <v>2712</v>
      </c>
      <c r="B34" s="2831">
        <f>'预评函-2'!G5</f>
        <v>0</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v>
      </c>
    </row>
    <row r="39" spans="1:2">
      <c r="A39" s="2830" t="s">
        <v>2717</v>
      </c>
      <c r="B39" s="2831" t="str">
        <f>'预评函-2'!L5</f>
        <v>红线外七通、宗地红线内场地</v>
      </c>
    </row>
    <row r="40" spans="1:2">
      <c r="A40" s="2830" t="s">
        <v>2736</v>
      </c>
      <c r="B40" s="2831" t="str">
        <f>'预评函-2'!M3</f>
        <v>（剩余）土地使用年限/年</v>
      </c>
    </row>
    <row r="41" spans="1:2">
      <c r="A41" s="2830" t="s">
        <v>2718</v>
      </c>
      <c r="B41" s="2831">
        <f>'预评函-2'!M5</f>
        <v>0</v>
      </c>
    </row>
    <row r="42" spans="1:2">
      <c r="A42" s="2830" t="s">
        <v>2737</v>
      </c>
      <c r="B42" s="2831" t="str">
        <f>'预评函-2'!N3</f>
        <v>（分摊）出让国有建设用地使用权面积/㎡</v>
      </c>
    </row>
    <row r="43" spans="1:2">
      <c r="A43" s="2830" t="s">
        <v>2719</v>
      </c>
      <c r="B43" s="2831">
        <f>'预评函-2'!N5</f>
        <v>285760.2</v>
      </c>
    </row>
    <row r="44" spans="1:2">
      <c r="A44" s="2830" t="s">
        <v>2738</v>
      </c>
      <c r="B44" s="2831" t="str">
        <f>'预评函-2'!O3</f>
        <v>规划建筑面积/㎡</v>
      </c>
    </row>
    <row r="45" spans="1:2">
      <c r="A45" s="2830" t="s">
        <v>2720</v>
      </c>
      <c r="B45" s="2831">
        <f>'预评函-2'!O5</f>
        <v>939662.47000000009</v>
      </c>
    </row>
    <row r="46" spans="1:2">
      <c r="A46" s="2830" t="s">
        <v>2721</v>
      </c>
      <c r="B46" s="2831">
        <f ca="1">'预评函-2'!P5</f>
        <v>12235</v>
      </c>
    </row>
    <row r="47" spans="1:2">
      <c r="A47" s="2830" t="s">
        <v>2722</v>
      </c>
      <c r="B47" s="2831">
        <f ca="1">'预评函-2'!Q5</f>
        <v>3721</v>
      </c>
    </row>
    <row r="48" spans="1:2">
      <c r="A48" s="2830" t="s">
        <v>2723</v>
      </c>
      <c r="B48" s="2831">
        <f ca="1">'预评函-2'!R5</f>
        <v>349624</v>
      </c>
    </row>
    <row r="49" spans="1:2">
      <c r="A49" s="2830" t="s">
        <v>2739</v>
      </c>
      <c r="B49" s="2831" t="str">
        <f>'预评函-2'!A6</f>
        <v>——</v>
      </c>
    </row>
    <row r="50" spans="1:2">
      <c r="A50" s="2830" t="s">
        <v>2724</v>
      </c>
      <c r="B50" s="2831" t="str">
        <f>'预评函-2'!R6</f>
        <v>——</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2.基础设施条件：估价对象实际开发程度为红线外七通、宗地红线内；本次评估设定开发程度为红线外七通、宗地红线内场地。</v>
      </c>
    </row>
    <row r="57" spans="1:2">
      <c r="A57" s="2830" t="s">
        <v>2678</v>
      </c>
      <c r="B57" s="2831" t="str">
        <f>'预评函-3'!A4</f>
        <v>3.估价规划限制条件：详见《建设工程规划许可证》[]、《出让合同》[]。</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土地估价师</v>
      </c>
    </row>
    <row r="70" spans="1:2">
      <c r="A70" s="2830" t="s">
        <v>2688</v>
      </c>
      <c r="B70" s="2837">
        <f>'预评函-3'!B20</f>
        <v>0</v>
      </c>
    </row>
    <row r="71" spans="1:2">
      <c r="A71" s="2830" t="s">
        <v>2689</v>
      </c>
      <c r="B71" s="2831" t="str">
        <f>'预评函-3'!A21</f>
        <v>土地估价师</v>
      </c>
    </row>
    <row r="72" spans="1:2" s="2845" customFormat="1" ht="15" thickBot="1">
      <c r="A72" s="2852" t="s">
        <v>2689</v>
      </c>
      <c r="B72" s="2858">
        <f>'预评函-3'!B21</f>
        <v>0</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238" t="str">
        <f>IF(B10="北京市","北京市",C10)&amp;F10&amp;B16&amp;"国有建设用地使用权"&amp;B9&amp;"预评估"</f>
        <v>四川省成都市天府新区华阳街道广福社区“恒大天府半岛”居住项目七期出让国有建设用地使用权市场价格预评估</v>
      </c>
      <c r="C1" s="3239"/>
      <c r="D1" s="3239"/>
      <c r="E1" s="3239"/>
      <c r="F1" s="3239"/>
      <c r="G1" s="3239"/>
      <c r="H1" s="3239"/>
      <c r="I1" s="3240"/>
      <c r="J1" s="1675"/>
      <c r="K1" s="2416" t="str">
        <f>IF(B10="北京市","北京市",C10)&amp;F10&amp;B16&amp;"国有建设用地使用权"&amp;B9</f>
        <v>四川省成都市天府新区华阳街道广福社区“恒大天府半岛”居住项目七期出让国有建设用地使用权市场价格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四川省成都市天府新区华阳街道广福社区“恒大天府半岛”居住项目七期出让国有建设用地使用权</v>
      </c>
      <c r="L2" s="1704"/>
      <c r="M2" s="1704"/>
      <c r="N2" s="1675"/>
      <c r="O2" s="1676"/>
      <c r="P2" s="1675"/>
      <c r="Q2" s="1675"/>
      <c r="R2" s="1675"/>
      <c r="S2" s="1675"/>
      <c r="T2" s="1675"/>
      <c r="U2" s="1675"/>
    </row>
    <row r="3" spans="1:21">
      <c r="A3" s="1642" t="s">
        <v>1938</v>
      </c>
      <c r="B3" s="1643">
        <f>[1]项目基本情况!$B$3</f>
        <v>43630</v>
      </c>
      <c r="C3" s="1644" t="s">
        <v>1994</v>
      </c>
      <c r="D3" s="1643">
        <f>[1]项目基本情况!$D$3</f>
        <v>43630</v>
      </c>
      <c r="E3" s="1675"/>
      <c r="F3" s="1675"/>
      <c r="G3" s="1675"/>
      <c r="H3" s="1641"/>
      <c r="I3" s="1676"/>
      <c r="J3" s="1675"/>
      <c r="K3" s="1755"/>
      <c r="L3" s="1704"/>
      <c r="M3" s="1704"/>
      <c r="N3" s="1675"/>
      <c r="O3" s="1676"/>
      <c r="P3" s="1675"/>
      <c r="Q3" s="1675"/>
      <c r="R3" s="1675"/>
      <c r="S3" s="1675"/>
      <c r="T3" s="1675"/>
      <c r="U3" s="1675"/>
    </row>
    <row r="4" spans="1:21" ht="29.25" thickBot="1">
      <c r="A4" s="1645" t="s">
        <v>1939</v>
      </c>
      <c r="B4" s="1824" t="s">
        <v>2887</v>
      </c>
      <c r="C4" s="1827">
        <f>SUMIF(土地估价师,B4,估价师及机构信息!E3:E24)</f>
        <v>0</v>
      </c>
      <c r="D4" s="1824" t="s">
        <v>2887</v>
      </c>
      <c r="E4" s="1827">
        <f>SUMIF(土地估价师,D4,估价师及机构信息!E3:E24)</f>
        <v>0</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1940</v>
      </c>
      <c r="B5" s="1770" t="str">
        <f>[1]项目基本情况!$B$5</f>
        <v>光大兴陇有限责任公司</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tr">
        <f>[1]项目基本情况!$B$6</f>
        <v>光大兴陇有限责任公司</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2705</v>
      </c>
      <c r="B7" s="1770" t="str">
        <f>[1]项目基本情况!$B$7</f>
        <v>成都心怡房地产开发有限公司</v>
      </c>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2994</v>
      </c>
      <c r="C8" s="1652"/>
      <c r="D8" s="3244" t="s">
        <v>1943</v>
      </c>
      <c r="E8" s="1825"/>
      <c r="F8" s="1653"/>
      <c r="G8" s="1641"/>
      <c r="H8" s="1641"/>
      <c r="I8" s="1688"/>
      <c r="J8" s="1675"/>
      <c r="K8" s="1755"/>
      <c r="L8" s="1704"/>
      <c r="M8" s="1704"/>
      <c r="N8" s="1675"/>
      <c r="O8" s="1676"/>
      <c r="P8" s="1675"/>
      <c r="Q8" s="1675"/>
      <c r="R8" s="1675"/>
      <c r="S8" s="1675"/>
      <c r="T8" s="1675"/>
      <c r="U8" s="1675"/>
    </row>
    <row r="9" spans="1:21" ht="15" thickBot="1">
      <c r="A9" s="1654" t="s">
        <v>1942</v>
      </c>
      <c r="B9" s="1655" t="s">
        <v>2995</v>
      </c>
      <c r="C9" s="1656"/>
      <c r="D9" s="3245"/>
      <c r="E9" s="1655"/>
      <c r="F9" s="1728"/>
      <c r="G9" s="1723"/>
      <c r="H9" s="1723"/>
      <c r="I9" s="1724"/>
      <c r="J9" s="1675"/>
      <c r="K9" s="1755"/>
      <c r="L9" s="1704"/>
      <c r="M9" s="1704"/>
      <c r="N9" s="1675"/>
      <c r="O9" s="1676"/>
      <c r="P9" s="1675"/>
      <c r="Q9" s="1675"/>
      <c r="R9" s="1675"/>
      <c r="S9" s="1675"/>
      <c r="T9" s="1675"/>
      <c r="U9" s="1675"/>
    </row>
    <row r="10" spans="1:21" ht="15" thickTop="1">
      <c r="A10" s="1725" t="s">
        <v>1998</v>
      </c>
      <c r="B10" s="1700" t="s">
        <v>2996</v>
      </c>
      <c r="C10" s="1657" t="str">
        <f>[1]项目基本情况!$C$10</f>
        <v>四川省</v>
      </c>
      <c r="D10" s="1648"/>
      <c r="E10" s="1658" t="s">
        <v>1945</v>
      </c>
      <c r="F10" s="1659" t="s">
        <v>3050</v>
      </c>
      <c r="G10" s="1726"/>
      <c r="H10" s="1727"/>
      <c r="I10" s="1648"/>
      <c r="J10" s="1675"/>
      <c r="K10" s="1755"/>
      <c r="L10" s="1704"/>
      <c r="M10" s="1704"/>
      <c r="N10" s="1675"/>
      <c r="O10" s="1676"/>
      <c r="P10" s="1675"/>
      <c r="Q10" s="1675"/>
      <c r="R10" s="1675"/>
      <c r="S10" s="1675"/>
      <c r="T10" s="1675"/>
      <c r="U10" s="1675"/>
    </row>
    <row r="11" spans="1:21" ht="42.75">
      <c r="A11" s="1678" t="s">
        <v>1999</v>
      </c>
      <c r="B11" s="1679" t="s">
        <v>2997</v>
      </c>
      <c r="C11" s="1660" t="str">
        <f>[1]项目基本情况!$C$11</f>
        <v>成都心怡房地产开发有限公司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41"/>
      <c r="C12" s="3242"/>
      <c r="D12" s="3243"/>
      <c r="E12" s="1680" t="s">
        <v>2060</v>
      </c>
      <c r="F12" s="3259" t="s">
        <v>2888</v>
      </c>
      <c r="G12" s="3260"/>
      <c r="H12" s="3260"/>
      <c r="I12" s="3261"/>
      <c r="J12" s="1675"/>
      <c r="K12" s="1755"/>
      <c r="L12" s="1704"/>
      <c r="M12" s="1704"/>
      <c r="N12" s="1675"/>
      <c r="O12" s="1676"/>
      <c r="P12" s="1675"/>
      <c r="Q12" s="1675"/>
      <c r="R12" s="1675"/>
      <c r="S12" s="1675"/>
      <c r="T12" s="1675"/>
      <c r="U12" s="1675"/>
    </row>
    <row r="13" spans="1:21">
      <c r="A13" s="1668" t="s">
        <v>2058</v>
      </c>
      <c r="B13" s="3241"/>
      <c r="C13" s="3242"/>
      <c r="D13" s="3243"/>
      <c r="E13" s="1680" t="s">
        <v>2060</v>
      </c>
      <c r="F13" s="3259" t="s">
        <v>2889</v>
      </c>
      <c r="G13" s="3260"/>
      <c r="H13" s="3260"/>
      <c r="I13" s="3261"/>
      <c r="J13" s="1675"/>
      <c r="K13" s="1755"/>
      <c r="L13" s="1704"/>
      <c r="M13" s="1704"/>
      <c r="N13" s="1675"/>
      <c r="O13" s="1676"/>
      <c r="P13" s="1675"/>
      <c r="Q13" s="1675"/>
      <c r="R13" s="1675"/>
      <c r="S13" s="1675"/>
      <c r="T13" s="1675"/>
      <c r="U13" s="1675"/>
    </row>
    <row r="14" spans="1:21">
      <c r="A14" s="1642" t="s">
        <v>2061</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2990</v>
      </c>
      <c r="C16" s="1680" t="s">
        <v>1947</v>
      </c>
      <c r="D16" s="2607" t="s">
        <v>1948</v>
      </c>
      <c r="E16" s="1703" t="s">
        <v>2998</v>
      </c>
      <c r="F16" s="1703"/>
      <c r="G16" s="1703" t="s">
        <v>2999</v>
      </c>
      <c r="H16" s="1703"/>
      <c r="I16" s="1667" t="s">
        <v>1953</v>
      </c>
      <c r="J16" s="1675"/>
      <c r="K16" s="2417" t="str">
        <f>IF(D17="","",D16&amp;TEXT(D17,"yyyy年m月d日;;"))</f>
        <v>住宅2076年1月26日</v>
      </c>
      <c r="L16" s="1680" t="str">
        <f>IF(OR(K16="",M16=""),"","、")</f>
        <v>、</v>
      </c>
      <c r="M16" s="2417" t="str">
        <f>IF(E17="","",E16&amp;TEXT(E17,"yyyy年m月d日;;"))</f>
        <v>商业2043年1月26日</v>
      </c>
      <c r="N16" s="1680" t="str">
        <f>IF(OR(M16="",O16=""),"","、")</f>
        <v/>
      </c>
      <c r="O16" s="2417" t="str">
        <f>IF(F17="","",F16&amp;TEXT(F17,"yyyy年m月d日;;"))</f>
        <v/>
      </c>
      <c r="P16" s="1680" t="str">
        <f>IF(OR(O16="",Q16=""),"","、")</f>
        <v/>
      </c>
      <c r="Q16" s="2417" t="str">
        <f>IF(G17="","",G16&amp;TEXT(G17,"yyyy年m月d日;;"))</f>
        <v>车库2053年1月26日</v>
      </c>
      <c r="R16" s="1680" t="str">
        <f>IF(OR(Q16="",S16=""),"","、")</f>
        <v/>
      </c>
      <c r="S16" s="2417" t="str">
        <f>IF(H17="","",H16&amp;TEXT(H17,"yyyy年m月d日;;"))</f>
        <v/>
      </c>
      <c r="T16" s="1680" t="str">
        <f>IF(OR(S16="",U16=""),"","、")</f>
        <v/>
      </c>
      <c r="U16" s="2417" t="str">
        <f>IF(I17="","",I16&amp;TEXT(I17,"yyyy年m月d日;;"))</f>
        <v/>
      </c>
    </row>
    <row r="17" spans="1:21">
      <c r="A17" s="1744"/>
      <c r="B17" s="1663"/>
      <c r="C17" s="1664" t="s">
        <v>1954</v>
      </c>
      <c r="D17" s="1681">
        <f>[1]项目基本情况!$D$13</f>
        <v>64310</v>
      </c>
      <c r="E17" s="1681">
        <f>[1]项目基本情况!$E$13</f>
        <v>52257</v>
      </c>
      <c r="F17" s="1681"/>
      <c r="G17" s="1681">
        <f>[1]项目基本情况!$G$13</f>
        <v>55910</v>
      </c>
      <c r="H17" s="1681"/>
      <c r="I17" s="1681"/>
      <c r="J17" s="1675"/>
      <c r="K17" s="2416" t="str">
        <f>CONCATENATE(K16,L16,M16,N16,O16,P16,Q16,R16,S16,T16,,U16)</f>
        <v>住宅2076年1月26日、商业2043年1月26日车库2053年1月26日</v>
      </c>
      <c r="L17" s="1704"/>
      <c r="M17" s="1704"/>
      <c r="N17" s="1675"/>
      <c r="O17" s="1676"/>
      <c r="P17" s="1675"/>
      <c r="Q17" s="1675"/>
      <c r="R17" s="1675"/>
      <c r="S17" s="1675"/>
      <c r="T17" s="1675"/>
      <c r="U17" s="1675"/>
    </row>
    <row r="18" spans="1:21">
      <c r="A18" s="1744"/>
      <c r="B18" s="1663"/>
      <c r="C18" s="1664" t="s">
        <v>1955</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56.65</v>
      </c>
      <c r="E19" s="1666">
        <f>IF(B16="出让",IF(E17="","",ROUNDDOWN(MIN((E17-$D$3)/365,E18),2)),E18)</f>
        <v>23.63</v>
      </c>
      <c r="F19" s="1666" t="str">
        <f>IF(B16="出让",IF(F17="","",ROUNDDOWN(MIN((F17-$D$3)/365,F18),2)),F18)</f>
        <v/>
      </c>
      <c r="G19" s="1666">
        <f>IF(B16="出让",IF(G17="","",ROUNDDOWN(MIN((G17-$D$3)/365,G18),2)),G18)</f>
        <v>33.64</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256"/>
      <c r="E20" s="3257"/>
      <c r="F20" s="3257"/>
      <c r="G20" s="3257"/>
      <c r="H20" s="3257"/>
      <c r="I20" s="3258"/>
      <c r="J20" s="1675"/>
      <c r="K20" s="1755"/>
      <c r="L20" s="1704"/>
      <c r="M20" s="1704"/>
      <c r="N20" s="1675"/>
      <c r="O20" s="1676"/>
      <c r="P20" s="1675"/>
      <c r="Q20" s="1675"/>
      <c r="R20" s="1675"/>
      <c r="S20" s="1675"/>
      <c r="T20" s="1675"/>
      <c r="U20" s="1675"/>
    </row>
    <row r="21" spans="1:21">
      <c r="A21" s="1744" t="s">
        <v>1957</v>
      </c>
      <c r="B21" s="1745" t="s">
        <v>1958</v>
      </c>
      <c r="C21" s="1740">
        <f>'数据-汇总表'!E3</f>
        <v>939662.47000000009</v>
      </c>
      <c r="D21" s="1741" t="s">
        <v>1959</v>
      </c>
      <c r="E21" s="3246" t="s">
        <v>1997</v>
      </c>
      <c r="F21" s="3247"/>
      <c r="G21" s="3247"/>
      <c r="H21" s="3247"/>
      <c r="I21" s="3248"/>
      <c r="J21" s="1675"/>
      <c r="K21" s="1755"/>
      <c r="L21" s="1704"/>
      <c r="M21" s="1704"/>
      <c r="N21" s="1675"/>
      <c r="O21" s="1676"/>
      <c r="P21" s="1675"/>
      <c r="Q21" s="1675"/>
      <c r="R21" s="1675"/>
      <c r="S21" s="1675"/>
      <c r="T21" s="1675"/>
      <c r="U21" s="1675"/>
    </row>
    <row r="22" spans="1:21">
      <c r="A22" s="3094" t="s">
        <v>951</v>
      </c>
      <c r="B22" s="1642" t="s">
        <v>1960</v>
      </c>
      <c r="C22" s="1667">
        <f>'数据-汇总表'!D3</f>
        <v>285760.2</v>
      </c>
      <c r="D22" s="1668" t="s">
        <v>1959</v>
      </c>
      <c r="E22" s="3246" t="s">
        <v>2890</v>
      </c>
      <c r="F22" s="3247"/>
      <c r="G22" s="3247"/>
      <c r="H22" s="3247"/>
      <c r="I22" s="3248"/>
      <c r="J22" s="1675"/>
      <c r="K22" s="1755"/>
      <c r="L22" s="1704"/>
      <c r="M22" s="1704"/>
      <c r="N22" s="1675"/>
      <c r="O22" s="1676"/>
      <c r="P22" s="1675"/>
      <c r="Q22" s="1675"/>
      <c r="R22" s="1675"/>
      <c r="S22" s="1675"/>
      <c r="T22" s="1675"/>
      <c r="U22" s="1675"/>
    </row>
    <row r="23" spans="1:21" ht="43.5" thickBot="1">
      <c r="A23" s="1746" t="s">
        <v>1961</v>
      </c>
      <c r="B23" s="1682" t="s">
        <v>1962</v>
      </c>
      <c r="C23" s="1683"/>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249" t="s">
        <v>1965</v>
      </c>
      <c r="C24" s="3250"/>
      <c r="D24" s="3251" t="s">
        <v>1966</v>
      </c>
      <c r="E24" s="3252"/>
      <c r="F24" s="1689" t="s">
        <v>1967</v>
      </c>
      <c r="G24" s="1675"/>
      <c r="H24" s="1675"/>
      <c r="I24" s="1688"/>
      <c r="J24" s="1675"/>
      <c r="K24" s="3237"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23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23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64" t="s">
        <v>2000</v>
      </c>
      <c r="B31" s="1745" t="s">
        <v>2001</v>
      </c>
      <c r="C31" s="3262"/>
      <c r="D31" s="3263"/>
      <c r="E31" s="1675"/>
      <c r="F31" s="1675"/>
      <c r="G31" s="1675"/>
      <c r="H31" s="1675"/>
      <c r="I31" s="1688"/>
      <c r="J31" s="1675"/>
      <c r="K31" s="2419"/>
      <c r="L31" s="1675"/>
      <c r="M31" s="1675"/>
      <c r="N31" s="1675"/>
      <c r="O31" s="1675"/>
      <c r="P31" s="1675"/>
      <c r="Q31" s="1675"/>
      <c r="R31" s="1675"/>
      <c r="S31" s="1675"/>
      <c r="T31" s="1675"/>
      <c r="U31" s="1675"/>
    </row>
    <row r="32" spans="1:21">
      <c r="A32" s="3264"/>
      <c r="B32" s="1642"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64"/>
      <c r="B33" s="1642"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65"/>
      <c r="B34" s="1642" t="s">
        <v>2004</v>
      </c>
      <c r="C34" s="3266"/>
      <c r="D34" s="3267"/>
      <c r="E34" s="1675"/>
      <c r="F34" s="1675"/>
      <c r="G34" s="1675"/>
      <c r="H34" s="1675"/>
      <c r="I34" s="1688"/>
      <c r="J34" s="1675"/>
      <c r="K34" s="2419"/>
      <c r="L34" s="1675"/>
      <c r="M34" s="1675"/>
      <c r="N34" s="1675"/>
      <c r="O34" s="1675"/>
      <c r="P34" s="1675"/>
      <c r="Q34" s="1675"/>
      <c r="R34" s="1675"/>
      <c r="S34" s="1675"/>
      <c r="T34" s="1675"/>
      <c r="U34" s="1675"/>
    </row>
    <row r="35" spans="1:21">
      <c r="A35" s="3268" t="s">
        <v>846</v>
      </c>
      <c r="B35" s="1703"/>
      <c r="C35" s="1757" t="str">
        <f>IF(B35="场地平整","——","具体情况：")</f>
        <v>具体情况：</v>
      </c>
      <c r="D35" s="3270"/>
      <c r="E35" s="3271"/>
      <c r="F35" s="3271"/>
      <c r="G35" s="3271"/>
      <c r="H35" s="3271"/>
      <c r="I35" s="3272"/>
      <c r="J35" s="1675"/>
      <c r="K35" s="1756"/>
      <c r="L35" s="1704"/>
      <c r="M35" s="1704"/>
      <c r="N35" s="1675"/>
      <c r="O35" s="1676"/>
      <c r="P35" s="1675"/>
      <c r="Q35" s="1675"/>
      <c r="R35" s="1675"/>
      <c r="S35" s="1675"/>
      <c r="T35" s="1675"/>
      <c r="U35" s="1675"/>
    </row>
    <row r="36" spans="1:21">
      <c r="A36" s="3264"/>
      <c r="B36" s="3273" t="s">
        <v>2053</v>
      </c>
      <c r="C36" s="3274"/>
      <c r="D36" s="1773"/>
      <c r="E36" s="3275"/>
      <c r="F36" s="3275"/>
      <c r="G36" s="1668" t="str">
        <f>IF(B35="场地未平整","估价结果处理","")</f>
        <v/>
      </c>
      <c r="H36" s="3276"/>
      <c r="I36" s="3276"/>
      <c r="J36" s="1675"/>
      <c r="K36" s="1756"/>
      <c r="L36" s="1704"/>
      <c r="M36" s="1704"/>
      <c r="N36" s="1675"/>
      <c r="O36" s="1676"/>
      <c r="P36" s="1675"/>
      <c r="Q36" s="1675"/>
      <c r="R36" s="1675"/>
      <c r="S36" s="1675"/>
      <c r="T36" s="1675"/>
      <c r="U36" s="1675"/>
    </row>
    <row r="37" spans="1:21" ht="28.5">
      <c r="A37" s="3264"/>
      <c r="B37" s="3253"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64"/>
      <c r="B38" s="3254"/>
      <c r="C38" s="1650" t="s">
        <v>849</v>
      </c>
      <c r="D38" s="1772">
        <f>ROUNDDOWN(MIN(('数据-取费表'!$B$2-D37)/365,D34),1)</f>
        <v>119.5</v>
      </c>
      <c r="E38" s="1708" t="s">
        <v>850</v>
      </c>
      <c r="F38" s="1675"/>
      <c r="G38" s="1675"/>
      <c r="H38" s="1675"/>
      <c r="I38" s="1688"/>
      <c r="J38" s="1675"/>
      <c r="K38" s="1756"/>
      <c r="L38" s="1675"/>
      <c r="M38" s="1675"/>
      <c r="N38" s="1675"/>
      <c r="O38" s="1675"/>
      <c r="P38" s="1675"/>
      <c r="Q38" s="1675"/>
      <c r="R38" s="1675"/>
      <c r="S38" s="1675"/>
      <c r="T38" s="1675"/>
      <c r="U38" s="1675"/>
    </row>
    <row r="39" spans="1:21">
      <c r="A39" s="3265"/>
      <c r="B39" s="325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c r="C40" s="1671"/>
      <c r="D40" s="1671"/>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236" t="s">
        <v>1984</v>
      </c>
      <c r="T40" s="1712" t="str">
        <f>NUMBERSTRING(7-K40,1)&amp;"通"</f>
        <v>七通</v>
      </c>
      <c r="U40" s="1675"/>
    </row>
    <row r="41" spans="1:21">
      <c r="A41" s="1644"/>
      <c r="B41" s="3269" t="s">
        <v>1720</v>
      </c>
      <c r="C41" s="3269"/>
      <c r="D41" s="3269"/>
      <c r="E41" s="3269"/>
      <c r="F41" s="1713" t="str">
        <f>C10</f>
        <v>四川省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36"/>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2891</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1.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2332</v>
      </c>
      <c r="BA2" s="2322"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202">
        <f>'[1]5、8、9、10期规划'!$N$3</f>
        <v>285760.2</v>
      </c>
      <c r="B3" s="21">
        <f>IF(C3="否",G5-AT5,G5)</f>
        <v>939662.47000000009</v>
      </c>
      <c r="C3" s="22"/>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939662.47000000009</v>
      </c>
      <c r="H5" s="26">
        <f t="shared" ref="H5:AT5" si="0">SUM(H13:H641)</f>
        <v>808596.82000000007</v>
      </c>
      <c r="I5" s="26">
        <f t="shared" si="0"/>
        <v>416069.5</v>
      </c>
      <c r="J5" s="26">
        <f t="shared" si="0"/>
        <v>0</v>
      </c>
      <c r="K5" s="26">
        <f t="shared" si="0"/>
        <v>187952.32</v>
      </c>
      <c r="L5" s="26">
        <f t="shared" si="0"/>
        <v>0</v>
      </c>
      <c r="M5" s="26">
        <f t="shared" si="0"/>
        <v>204575</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131065.65000000001</v>
      </c>
      <c r="AD5" s="26">
        <f t="shared" si="0"/>
        <v>0</v>
      </c>
      <c r="AE5" s="26">
        <f t="shared" si="0"/>
        <v>0</v>
      </c>
      <c r="AF5" s="26">
        <f t="shared" si="0"/>
        <v>0</v>
      </c>
      <c r="AG5" s="26">
        <f t="shared" si="0"/>
        <v>0</v>
      </c>
      <c r="AH5" s="26">
        <f t="shared" si="0"/>
        <v>0</v>
      </c>
      <c r="AI5" s="26">
        <f t="shared" si="0"/>
        <v>0</v>
      </c>
      <c r="AJ5" s="26">
        <f t="shared" si="0"/>
        <v>0</v>
      </c>
      <c r="AK5" s="26">
        <f t="shared" si="0"/>
        <v>0</v>
      </c>
      <c r="AL5" s="26">
        <f t="shared" si="0"/>
        <v>18926.48</v>
      </c>
      <c r="AM5" s="26">
        <f t="shared" si="0"/>
        <v>0</v>
      </c>
      <c r="AN5" s="26">
        <f t="shared" si="0"/>
        <v>112139.17000000001</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939662.47000000009</v>
      </c>
      <c r="BA5" s="28">
        <f t="shared" si="1"/>
        <v>808596.82000000007</v>
      </c>
      <c r="BB5" s="28">
        <f t="shared" si="1"/>
        <v>416069.5</v>
      </c>
      <c r="BC5" s="28">
        <f t="shared" si="1"/>
        <v>187952.32</v>
      </c>
      <c r="BD5" s="28">
        <f t="shared" si="1"/>
        <v>204575</v>
      </c>
      <c r="BE5" s="28">
        <f t="shared" si="1"/>
        <v>0</v>
      </c>
      <c r="BF5" s="28">
        <f t="shared" si="1"/>
        <v>0</v>
      </c>
      <c r="BG5" s="28">
        <f t="shared" si="1"/>
        <v>0</v>
      </c>
      <c r="BH5" s="28">
        <f t="shared" si="1"/>
        <v>0</v>
      </c>
      <c r="BI5" s="28">
        <f t="shared" si="1"/>
        <v>0</v>
      </c>
      <c r="BJ5" s="28">
        <f t="shared" si="1"/>
        <v>0</v>
      </c>
      <c r="BK5" s="28">
        <f t="shared" si="1"/>
        <v>0</v>
      </c>
      <c r="BL5" s="28">
        <f t="shared" si="1"/>
        <v>131065.65000000001</v>
      </c>
      <c r="BM5" s="28">
        <f t="shared" si="1"/>
        <v>0</v>
      </c>
      <c r="BN5" s="28">
        <f t="shared" si="1"/>
        <v>0</v>
      </c>
      <c r="BO5" s="28">
        <f t="shared" si="1"/>
        <v>0</v>
      </c>
      <c r="BP5" s="28">
        <f t="shared" si="1"/>
        <v>0</v>
      </c>
      <c r="BQ5" s="28">
        <f t="shared" si="1"/>
        <v>18926.48</v>
      </c>
      <c r="BR5" s="28">
        <f t="shared" si="1"/>
        <v>112139.17000000001</v>
      </c>
      <c r="BS5" s="28">
        <f t="shared" si="1"/>
        <v>0</v>
      </c>
      <c r="BT5" s="29">
        <f t="shared" si="1"/>
        <v>0</v>
      </c>
    </row>
    <row r="6" spans="1:72" s="36" customFormat="1" ht="12.75">
      <c r="A6" s="25" t="s">
        <v>169</v>
      </c>
      <c r="B6" s="30"/>
      <c r="C6" s="30"/>
      <c r="D6" s="31"/>
      <c r="E6" s="26">
        <f>H6+AC6+AT6</f>
        <v>285760.2</v>
      </c>
      <c r="F6" s="26" t="s">
        <v>1</v>
      </c>
      <c r="G6" s="26" t="s">
        <v>2</v>
      </c>
      <c r="H6" s="32">
        <f>SUMIF(I$12:AB$12,"总值",I6:AB6)</f>
        <v>245901.9</v>
      </c>
      <c r="I6" s="26">
        <f t="shared" ref="I6:AB6" si="2">ROUND($A$3*I5/$B$3,2)</f>
        <v>126530.65</v>
      </c>
      <c r="J6" s="26">
        <f t="shared" si="2"/>
        <v>0</v>
      </c>
      <c r="K6" s="26">
        <f t="shared" si="2"/>
        <v>57158.07</v>
      </c>
      <c r="L6" s="26">
        <f t="shared" si="2"/>
        <v>0</v>
      </c>
      <c r="M6" s="26">
        <f t="shared" si="2"/>
        <v>62213.18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39858.300000000003</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5755.72</v>
      </c>
      <c r="AM6" s="26">
        <f t="shared" si="3"/>
        <v>0</v>
      </c>
      <c r="AN6" s="26">
        <f t="shared" si="3"/>
        <v>34102.58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285760.2</v>
      </c>
      <c r="AZ6" s="26" t="s">
        <v>3</v>
      </c>
      <c r="BA6" s="26">
        <f>ROUND($AY$6*BA5/$AZ$5,2)</f>
        <v>245901.9</v>
      </c>
      <c r="BB6" s="26">
        <f>ROUND($AY$6*BB5/$AZ$5,2)</f>
        <v>126530.65</v>
      </c>
      <c r="BC6" s="26">
        <f t="shared" ref="BC6:BH6" si="4">ROUND($AY$6*BC5/$AZ$5,2)</f>
        <v>57158.07</v>
      </c>
      <c r="BD6" s="26">
        <f t="shared" si="4"/>
        <v>62213.18</v>
      </c>
      <c r="BE6" s="26">
        <f t="shared" si="4"/>
        <v>0</v>
      </c>
      <c r="BF6" s="26">
        <f t="shared" si="4"/>
        <v>0</v>
      </c>
      <c r="BG6" s="26">
        <f t="shared" si="4"/>
        <v>0</v>
      </c>
      <c r="BH6" s="26">
        <f t="shared" si="4"/>
        <v>0</v>
      </c>
      <c r="BI6" s="26">
        <f t="shared" ref="BI6:BT6" si="5">ROUND($AY$6*BI5/$AZ$5,2)</f>
        <v>0</v>
      </c>
      <c r="BJ6" s="26">
        <f t="shared" si="5"/>
        <v>0</v>
      </c>
      <c r="BK6" s="26">
        <f t="shared" si="5"/>
        <v>0</v>
      </c>
      <c r="BL6" s="26">
        <f t="shared" si="5"/>
        <v>39858.300000000003</v>
      </c>
      <c r="BM6" s="26">
        <f t="shared" si="5"/>
        <v>0</v>
      </c>
      <c r="BN6" s="26">
        <f t="shared" si="5"/>
        <v>0</v>
      </c>
      <c r="BO6" s="26">
        <f t="shared" si="5"/>
        <v>0</v>
      </c>
      <c r="BP6" s="26">
        <f t="shared" si="5"/>
        <v>0</v>
      </c>
      <c r="BQ6" s="26">
        <f t="shared" si="5"/>
        <v>5755.72</v>
      </c>
      <c r="BR6" s="26">
        <f t="shared" si="5"/>
        <v>34102.58</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9"/>
      <c r="AT8" s="2310" t="s">
        <v>854</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8" t="s">
        <v>3051</v>
      </c>
      <c r="J9" s="50"/>
      <c r="K9" s="2968" t="s">
        <v>3051</v>
      </c>
      <c r="L9" s="50"/>
      <c r="M9" s="2968" t="s">
        <v>3052</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1"/>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8" t="s">
        <v>922</v>
      </c>
      <c r="J10" s="50"/>
      <c r="K10" s="2970" t="s">
        <v>2998</v>
      </c>
      <c r="L10" s="50"/>
      <c r="M10" s="2970" t="s">
        <v>2999</v>
      </c>
      <c r="N10" s="50"/>
      <c r="O10" s="65"/>
      <c r="P10" s="50"/>
      <c r="Q10" s="65"/>
      <c r="R10" s="50"/>
      <c r="S10" s="65"/>
      <c r="T10" s="50"/>
      <c r="U10" s="65"/>
      <c r="V10" s="50"/>
      <c r="W10" s="65"/>
      <c r="X10" s="50"/>
      <c r="Y10" s="65"/>
      <c r="Z10" s="50"/>
      <c r="AA10" s="65"/>
      <c r="AB10" s="50"/>
      <c r="AC10" s="54"/>
      <c r="AD10" s="2296" t="s">
        <v>2316</v>
      </c>
      <c r="AE10" s="2318"/>
      <c r="AF10" s="2296" t="s">
        <v>2316</v>
      </c>
      <c r="AG10" s="2318"/>
      <c r="AH10" s="2296" t="s">
        <v>2317</v>
      </c>
      <c r="AI10" s="2318"/>
      <c r="AJ10" s="25" t="s">
        <v>2330</v>
      </c>
      <c r="AK10" s="2315"/>
      <c r="AL10" s="2296" t="s">
        <v>2318</v>
      </c>
      <c r="AM10" s="2297"/>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9"/>
      <c r="J11" s="70"/>
      <c r="K11" s="2969"/>
      <c r="L11" s="70"/>
      <c r="M11" s="69"/>
      <c r="N11" s="70"/>
      <c r="O11" s="69"/>
      <c r="P11" s="70"/>
      <c r="Q11" s="69"/>
      <c r="R11" s="70"/>
      <c r="S11" s="69"/>
      <c r="T11" s="70"/>
      <c r="U11" s="69"/>
      <c r="V11" s="70"/>
      <c r="W11" s="69"/>
      <c r="X11" s="70"/>
      <c r="Y11" s="69"/>
      <c r="Z11" s="70"/>
      <c r="AA11" s="69"/>
      <c r="AB11" s="70"/>
      <c r="AC11" s="54"/>
      <c r="AD11" s="2316" t="s">
        <v>2329</v>
      </c>
      <c r="AE11" s="999"/>
      <c r="AF11" s="2316" t="s">
        <v>2329</v>
      </c>
      <c r="AG11" s="999"/>
      <c r="AH11" s="2316" t="s">
        <v>2328</v>
      </c>
      <c r="AI11" s="2317"/>
      <c r="AJ11" s="2316" t="s">
        <v>2328</v>
      </c>
      <c r="AK11" s="2315"/>
      <c r="AL11" s="997"/>
      <c r="AM11" s="999"/>
      <c r="AN11" s="997"/>
      <c r="AO11" s="999"/>
      <c r="AP11" s="1181"/>
      <c r="AQ11" s="1183"/>
      <c r="AR11" s="1181"/>
      <c r="AS11" s="1183"/>
      <c r="AT11" s="1000"/>
      <c r="AU11" s="44"/>
      <c r="AV11" s="54"/>
      <c r="AW11" s="100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3"/>
      <c r="B13" s="2963"/>
      <c r="C13" s="2963"/>
      <c r="D13" s="2964" t="s">
        <v>1677</v>
      </c>
      <c r="E13" s="26">
        <f t="shared" ref="E13:E20" si="6">IF($C$3="是",ROUND($A$3*G13/$B$3,2),ROUND($A$3*(G13-AT13)/$B$3,2))</f>
        <v>285760.2</v>
      </c>
      <c r="F13" s="80"/>
      <c r="G13" s="81">
        <f t="shared" ref="G13:G20" si="7">H13+AC13+AT13</f>
        <v>939662.47000000009</v>
      </c>
      <c r="H13" s="32">
        <f t="shared" ref="H13:H20" si="8">SUMIF(I$12:AB$12,"总值",I13:AB13)</f>
        <v>808596.82000000007</v>
      </c>
      <c r="I13" s="2967">
        <f>'[1]5、8、9、10期规划'!$N$4</f>
        <v>416069.5</v>
      </c>
      <c r="J13" s="2967"/>
      <c r="K13" s="2967">
        <f>'[1]5、8、9、10期规划'!$N$5</f>
        <v>187952.32</v>
      </c>
      <c r="L13" s="2967"/>
      <c r="M13" s="2967">
        <f>'[1]5、8、9、10期规划'!$N$10</f>
        <v>204575</v>
      </c>
      <c r="N13" s="82"/>
      <c r="O13" s="82"/>
      <c r="P13" s="82"/>
      <c r="Q13" s="82"/>
      <c r="R13" s="82"/>
      <c r="S13" s="82"/>
      <c r="T13" s="82"/>
      <c r="U13" s="82"/>
      <c r="V13" s="82"/>
      <c r="W13" s="82"/>
      <c r="X13" s="82"/>
      <c r="Y13" s="82"/>
      <c r="Z13" s="82"/>
      <c r="AA13" s="82"/>
      <c r="AB13" s="82"/>
      <c r="AC13" s="26">
        <f t="shared" ref="AC13:AC20" si="9">SUMIF(AD$12:AS$12,"总值",AD13:AS13)</f>
        <v>131065.65000000001</v>
      </c>
      <c r="AD13" s="2971"/>
      <c r="AE13" s="2971"/>
      <c r="AF13" s="2971"/>
      <c r="AG13" s="2971"/>
      <c r="AH13" s="2971"/>
      <c r="AI13" s="2971"/>
      <c r="AJ13" s="2971"/>
      <c r="AK13" s="2971"/>
      <c r="AL13" s="2971">
        <f>'[1]5、8、9、10期规划'!$N$6</f>
        <v>18926.48</v>
      </c>
      <c r="AM13" s="2971"/>
      <c r="AN13" s="2971">
        <f>'[1]5、8、9、10期规划'!$N$11</f>
        <v>112139.17000000001</v>
      </c>
      <c r="AO13" s="2971"/>
      <c r="AP13" s="2971"/>
      <c r="AQ13" s="2971"/>
      <c r="AR13" s="2971"/>
      <c r="AS13" s="2971"/>
      <c r="AT13" s="2972"/>
      <c r="AU13" s="2973"/>
      <c r="AV13" s="17">
        <f t="shared" ref="AV13:AX20" si="10">A13</f>
        <v>0</v>
      </c>
      <c r="AW13" s="17">
        <f t="shared" si="10"/>
        <v>0</v>
      </c>
      <c r="AX13" s="17">
        <f t="shared" si="10"/>
        <v>0</v>
      </c>
      <c r="AY13" s="993">
        <f t="shared" ref="AY13:AY20" si="11">ROUND($AY$6*AZ13/$AZ$5,2)</f>
        <v>285760.2</v>
      </c>
      <c r="AZ13" s="26">
        <f t="shared" ref="AZ13:AZ20" si="12">BA13+BL13</f>
        <v>939662.47000000009</v>
      </c>
      <c r="BA13" s="26">
        <f t="shared" ref="BA13:BA20" si="13">SUM(BB13:BK13)</f>
        <v>808596.82000000007</v>
      </c>
      <c r="BB13" s="26">
        <f t="shared" ref="BB13:BB20" si="14">IF($D13="是",I13-J13,0)</f>
        <v>416069.5</v>
      </c>
      <c r="BC13" s="26">
        <f t="shared" ref="BC13:BC20" si="15">IF($D13="是",K13-L13,0)</f>
        <v>187952.32</v>
      </c>
      <c r="BD13" s="26">
        <f t="shared" ref="BD13:BD20" si="16">IF($D13="是",M13-N13,0)</f>
        <v>204575</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131065.65000000001</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18926.48</v>
      </c>
      <c r="BR13" s="26">
        <f t="shared" ref="BR13:BR20" si="30">IF($D13="是",AN13-AO13,0)</f>
        <v>112139.17000000001</v>
      </c>
      <c r="BS13" s="26">
        <f t="shared" ref="BS13:BS20" si="31">IF($D13="是",AP13-AQ13,0)</f>
        <v>0</v>
      </c>
      <c r="BT13" s="35">
        <f t="shared" ref="BT13:BT20" si="32">IF($D13="是",AR13-AS13,0)</f>
        <v>0</v>
      </c>
    </row>
    <row r="14" spans="1:72" s="18" customFormat="1" ht="12.75">
      <c r="A14" s="2963"/>
      <c r="B14" s="2963"/>
      <c r="C14" s="2965"/>
      <c r="D14" s="2964"/>
      <c r="E14" s="26">
        <f t="shared" si="6"/>
        <v>0</v>
      </c>
      <c r="F14" s="80"/>
      <c r="G14" s="81">
        <f t="shared" si="7"/>
        <v>0</v>
      </c>
      <c r="H14" s="32">
        <f t="shared" si="8"/>
        <v>0</v>
      </c>
      <c r="I14" s="2967"/>
      <c r="J14" s="2967"/>
      <c r="K14" s="2967"/>
      <c r="L14" s="2967"/>
      <c r="M14" s="2967"/>
      <c r="N14" s="82"/>
      <c r="O14" s="82"/>
      <c r="P14" s="82"/>
      <c r="Q14" s="82"/>
      <c r="R14" s="82"/>
      <c r="S14" s="82"/>
      <c r="T14" s="82"/>
      <c r="U14" s="82"/>
      <c r="V14" s="82"/>
      <c r="W14" s="82"/>
      <c r="X14" s="82"/>
      <c r="Y14" s="82"/>
      <c r="Z14" s="82"/>
      <c r="AA14" s="82"/>
      <c r="AB14" s="82"/>
      <c r="AC14" s="26">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3"/>
      <c r="B15" s="2963"/>
      <c r="C15" s="2965"/>
      <c r="D15" s="2964"/>
      <c r="E15" s="26">
        <f t="shared" si="6"/>
        <v>0</v>
      </c>
      <c r="F15" s="80"/>
      <c r="G15" s="81">
        <f t="shared" si="7"/>
        <v>0</v>
      </c>
      <c r="H15" s="32">
        <f t="shared" si="8"/>
        <v>0</v>
      </c>
      <c r="I15" s="2967"/>
      <c r="J15" s="2967"/>
      <c r="K15" s="2967"/>
      <c r="L15" s="2967"/>
      <c r="M15" s="2967"/>
      <c r="N15" s="82"/>
      <c r="O15" s="82"/>
      <c r="P15" s="82"/>
      <c r="Q15" s="82"/>
      <c r="R15" s="82"/>
      <c r="S15" s="82"/>
      <c r="T15" s="82"/>
      <c r="U15" s="82"/>
      <c r="V15" s="82"/>
      <c r="W15" s="82"/>
      <c r="X15" s="82"/>
      <c r="Y15" s="82"/>
      <c r="Z15" s="82"/>
      <c r="AA15" s="82"/>
      <c r="AB15" s="82"/>
      <c r="AC15" s="26">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3"/>
      <c r="B16" s="2963"/>
      <c r="C16" s="2965"/>
      <c r="D16" s="2964"/>
      <c r="E16" s="26">
        <f t="shared" si="6"/>
        <v>0</v>
      </c>
      <c r="F16" s="80"/>
      <c r="G16" s="81">
        <f t="shared" si="7"/>
        <v>0</v>
      </c>
      <c r="H16" s="32">
        <f t="shared" si="8"/>
        <v>0</v>
      </c>
      <c r="I16" s="2967"/>
      <c r="J16" s="2967"/>
      <c r="K16" s="2967"/>
      <c r="L16" s="2967"/>
      <c r="M16" s="2967"/>
      <c r="N16" s="82"/>
      <c r="O16" s="82"/>
      <c r="P16" s="82"/>
      <c r="Q16" s="82"/>
      <c r="R16" s="82"/>
      <c r="S16" s="82"/>
      <c r="T16" s="82"/>
      <c r="U16" s="82"/>
      <c r="V16" s="82"/>
      <c r="W16" s="82"/>
      <c r="X16" s="82"/>
      <c r="Y16" s="82"/>
      <c r="Z16" s="82"/>
      <c r="AA16" s="82"/>
      <c r="AB16" s="82"/>
      <c r="AC16" s="26">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3"/>
      <c r="B17" s="2963"/>
      <c r="C17" s="2965"/>
      <c r="D17" s="2964"/>
      <c r="E17" s="26">
        <f t="shared" si="6"/>
        <v>0</v>
      </c>
      <c r="F17" s="80"/>
      <c r="G17" s="81">
        <f t="shared" si="7"/>
        <v>0</v>
      </c>
      <c r="H17" s="32">
        <f t="shared" si="8"/>
        <v>0</v>
      </c>
      <c r="I17" s="2967"/>
      <c r="J17" s="2967"/>
      <c r="K17" s="2967"/>
      <c r="L17" s="2967"/>
      <c r="M17" s="2967"/>
      <c r="N17" s="82"/>
      <c r="O17" s="82"/>
      <c r="P17" s="82"/>
      <c r="Q17" s="82"/>
      <c r="R17" s="82"/>
      <c r="S17" s="82"/>
      <c r="T17" s="82"/>
      <c r="U17" s="82"/>
      <c r="V17" s="82"/>
      <c r="W17" s="82"/>
      <c r="X17" s="82"/>
      <c r="Y17" s="82"/>
      <c r="Z17" s="82"/>
      <c r="AA17" s="82"/>
      <c r="AB17" s="82"/>
      <c r="AC17" s="26">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6"/>
      <c r="E18" s="86">
        <f t="shared" si="6"/>
        <v>0</v>
      </c>
      <c r="F18" s="87"/>
      <c r="G18" s="88">
        <f t="shared" si="7"/>
        <v>0</v>
      </c>
      <c r="H18" s="89">
        <f t="shared" si="8"/>
        <v>0</v>
      </c>
      <c r="I18" s="1388"/>
      <c r="J18" s="90"/>
      <c r="K18" s="1388"/>
      <c r="L18" s="90"/>
      <c r="M18" s="90"/>
      <c r="N18" s="90"/>
      <c r="O18" s="90"/>
      <c r="P18" s="90"/>
      <c r="Q18" s="90"/>
      <c r="R18" s="90"/>
      <c r="S18" s="90"/>
      <c r="T18" s="90"/>
      <c r="U18" s="90"/>
      <c r="V18" s="90"/>
      <c r="W18" s="90"/>
      <c r="X18" s="90"/>
      <c r="Y18" s="90"/>
      <c r="Z18" s="90"/>
      <c r="AA18" s="90"/>
      <c r="AB18" s="90"/>
      <c r="AC18" s="86">
        <f t="shared" si="9"/>
        <v>0</v>
      </c>
      <c r="AD18" s="91"/>
      <c r="AE18" s="91"/>
      <c r="AF18" s="1388"/>
      <c r="AG18" s="91"/>
      <c r="AH18" s="91"/>
      <c r="AI18" s="91"/>
      <c r="AJ18" s="91"/>
      <c r="AK18" s="91"/>
      <c r="AL18" s="1357"/>
      <c r="AM18" s="91"/>
      <c r="AN18" s="1388"/>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1388"/>
      <c r="D19" s="79"/>
      <c r="E19" s="86">
        <f t="shared" si="6"/>
        <v>0</v>
      </c>
      <c r="F19" s="87"/>
      <c r="G19" s="88">
        <f t="shared" si="7"/>
        <v>0</v>
      </c>
      <c r="H19" s="89">
        <f t="shared" si="8"/>
        <v>0</v>
      </c>
      <c r="I19" s="1388"/>
      <c r="J19" s="90"/>
      <c r="K19" s="1388"/>
      <c r="L19" s="90"/>
      <c r="M19" s="90"/>
      <c r="N19" s="90"/>
      <c r="O19" s="90"/>
      <c r="P19" s="90"/>
      <c r="Q19" s="90"/>
      <c r="R19" s="90"/>
      <c r="S19" s="90"/>
      <c r="T19" s="90"/>
      <c r="U19" s="90"/>
      <c r="V19" s="90"/>
      <c r="W19" s="90"/>
      <c r="X19" s="90"/>
      <c r="Y19" s="90"/>
      <c r="Z19" s="90"/>
      <c r="AA19" s="90"/>
      <c r="AB19" s="90"/>
      <c r="AC19" s="86">
        <f t="shared" si="9"/>
        <v>0</v>
      </c>
      <c r="AD19" s="91"/>
      <c r="AE19" s="91"/>
      <c r="AF19" s="1388"/>
      <c r="AG19" s="91"/>
      <c r="AH19" s="91"/>
      <c r="AI19" s="91"/>
      <c r="AJ19" s="91"/>
      <c r="AK19" s="91"/>
      <c r="AL19" s="91"/>
      <c r="AM19" s="91"/>
      <c r="AN19" s="1388"/>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1388"/>
      <c r="D20" s="79"/>
      <c r="E20" s="86">
        <f t="shared" si="6"/>
        <v>0</v>
      </c>
      <c r="F20" s="87"/>
      <c r="G20" s="88">
        <f t="shared" si="7"/>
        <v>0</v>
      </c>
      <c r="H20" s="89">
        <f t="shared" si="8"/>
        <v>0</v>
      </c>
      <c r="I20" s="1388"/>
      <c r="J20" s="90"/>
      <c r="K20" s="1388"/>
      <c r="L20" s="90"/>
      <c r="M20" s="90"/>
      <c r="N20" s="90"/>
      <c r="O20" s="90"/>
      <c r="P20" s="90"/>
      <c r="Q20" s="90"/>
      <c r="R20" s="90"/>
      <c r="S20" s="90"/>
      <c r="T20" s="90"/>
      <c r="U20" s="90"/>
      <c r="V20" s="90"/>
      <c r="W20" s="90"/>
      <c r="X20" s="90"/>
      <c r="Y20" s="90"/>
      <c r="Z20" s="90"/>
      <c r="AA20" s="90"/>
      <c r="AB20" s="90"/>
      <c r="AC20" s="86">
        <f t="shared" si="9"/>
        <v>0</v>
      </c>
      <c r="AD20" s="91"/>
      <c r="AE20" s="91"/>
      <c r="AF20" s="1388"/>
      <c r="AG20" s="91"/>
      <c r="AH20" s="91"/>
      <c r="AI20" s="91"/>
      <c r="AJ20" s="91"/>
      <c r="AK20" s="91"/>
      <c r="AL20" s="91"/>
      <c r="AM20" s="91"/>
      <c r="AN20" s="1388"/>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1388"/>
      <c r="D21" s="79"/>
      <c r="E21" s="86">
        <f t="shared" ref="E21:E112" si="33">IF($C$3="是",ROUND($A$3*G21/$B$3,2),ROUND($A$3*(G21-AT21)/$B$3,2))</f>
        <v>0</v>
      </c>
      <c r="F21" s="87"/>
      <c r="G21" s="88">
        <f t="shared" ref="G21:G109" si="34">H21+AC21+AT21</f>
        <v>0</v>
      </c>
      <c r="H21" s="89">
        <f t="shared" ref="H21:H109" si="35">SUMIF(I$12:AB$12,"总值",I21:AB21)</f>
        <v>0</v>
      </c>
      <c r="I21" s="1390"/>
      <c r="J21" s="90"/>
      <c r="K21" s="139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1"/>
      <c r="AG21" s="91"/>
      <c r="AH21" s="91"/>
      <c r="AI21" s="91"/>
      <c r="AJ21" s="91"/>
      <c r="AK21" s="91"/>
      <c r="AL21" s="91"/>
      <c r="AM21" s="91"/>
      <c r="AN21" s="1357"/>
      <c r="AO21" s="91"/>
      <c r="AP21" s="91"/>
      <c r="AQ21" s="91"/>
      <c r="AR21" s="91"/>
      <c r="AS21" s="91"/>
      <c r="AT21" s="92"/>
      <c r="AU21" s="93"/>
      <c r="AV21" s="1961">
        <f t="shared" ref="AV21:AV112" si="37">A21</f>
        <v>0</v>
      </c>
      <c r="AW21" s="1961">
        <f t="shared" ref="AW21:AW112" si="38">B21</f>
        <v>0</v>
      </c>
      <c r="AX21" s="19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1388"/>
      <c r="D22" s="79"/>
      <c r="E22" s="86">
        <f t="shared" si="33"/>
        <v>0</v>
      </c>
      <c r="F22" s="87"/>
      <c r="G22" s="88">
        <f t="shared" si="34"/>
        <v>0</v>
      </c>
      <c r="H22" s="89">
        <f t="shared" si="35"/>
        <v>0</v>
      </c>
      <c r="I22" s="1390"/>
      <c r="J22" s="90"/>
      <c r="K22" s="1390"/>
      <c r="L22" s="90"/>
      <c r="M22" s="1357"/>
      <c r="N22" s="90"/>
      <c r="O22" s="90"/>
      <c r="P22" s="90"/>
      <c r="Q22" s="90"/>
      <c r="R22" s="90"/>
      <c r="S22" s="90"/>
      <c r="T22" s="90"/>
      <c r="U22" s="90"/>
      <c r="V22" s="90"/>
      <c r="W22" s="90"/>
      <c r="X22" s="90"/>
      <c r="Y22" s="90"/>
      <c r="Z22" s="90"/>
      <c r="AA22" s="90"/>
      <c r="AB22" s="90"/>
      <c r="AC22" s="86">
        <f t="shared" si="36"/>
        <v>0</v>
      </c>
      <c r="AD22" s="1357"/>
      <c r="AE22" s="91"/>
      <c r="AF22" s="1391"/>
      <c r="AG22" s="91"/>
      <c r="AH22" s="91"/>
      <c r="AI22" s="91"/>
      <c r="AJ22" s="91"/>
      <c r="AK22" s="91"/>
      <c r="AL22" s="1357"/>
      <c r="AM22" s="91"/>
      <c r="AN22" s="1357"/>
      <c r="AO22" s="91"/>
      <c r="AP22" s="91"/>
      <c r="AQ22" s="91"/>
      <c r="AR22" s="91"/>
      <c r="AS22" s="91"/>
      <c r="AT22" s="92"/>
      <c r="AU22" s="93"/>
      <c r="AV22" s="1961">
        <f t="shared" si="37"/>
        <v>0</v>
      </c>
      <c r="AW22" s="1961">
        <f t="shared" si="38"/>
        <v>0</v>
      </c>
      <c r="AX22" s="19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57"/>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57"/>
      <c r="AM23" s="91"/>
      <c r="AN23" s="1357"/>
      <c r="AO23" s="91"/>
      <c r="AP23" s="91"/>
      <c r="AQ23" s="91"/>
      <c r="AR23" s="91"/>
      <c r="AS23" s="91"/>
      <c r="AT23" s="92"/>
      <c r="AU23" s="93"/>
      <c r="AV23" s="1961">
        <f t="shared" si="37"/>
        <v>0</v>
      </c>
      <c r="AW23" s="1961">
        <f t="shared" si="38"/>
        <v>0</v>
      </c>
      <c r="AX23" s="19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57"/>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57"/>
      <c r="AO24" s="91"/>
      <c r="AP24" s="91"/>
      <c r="AQ24" s="91"/>
      <c r="AR24" s="91"/>
      <c r="AS24" s="91"/>
      <c r="AT24" s="92"/>
      <c r="AU24" s="93"/>
      <c r="AV24" s="1961">
        <f t="shared" si="37"/>
        <v>0</v>
      </c>
      <c r="AW24" s="1961">
        <f t="shared" si="38"/>
        <v>0</v>
      </c>
      <c r="AX24" s="19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61">
        <f t="shared" si="37"/>
        <v>0</v>
      </c>
      <c r="AW25" s="1961">
        <f t="shared" si="38"/>
        <v>0</v>
      </c>
      <c r="AX25" s="19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61">
        <f t="shared" si="37"/>
        <v>0</v>
      </c>
      <c r="AW26" s="1961">
        <f t="shared" si="38"/>
        <v>0</v>
      </c>
      <c r="AX26" s="19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61">
        <f t="shared" si="37"/>
        <v>0</v>
      </c>
      <c r="AW27" s="1961">
        <f t="shared" si="38"/>
        <v>0</v>
      </c>
      <c r="AX27" s="19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61">
        <f t="shared" si="37"/>
        <v>0</v>
      </c>
      <c r="AW28" s="1961">
        <f t="shared" si="38"/>
        <v>0</v>
      </c>
      <c r="AX28" s="19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61">
        <f t="shared" si="37"/>
        <v>0</v>
      </c>
      <c r="AW29" s="1961">
        <f t="shared" si="38"/>
        <v>0</v>
      </c>
      <c r="AX29" s="19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61">
        <f t="shared" si="37"/>
        <v>0</v>
      </c>
      <c r="AW30" s="1961">
        <f t="shared" si="38"/>
        <v>0</v>
      </c>
      <c r="AX30" s="19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61">
        <f t="shared" si="37"/>
        <v>0</v>
      </c>
      <c r="AW31" s="1961">
        <f t="shared" si="38"/>
        <v>0</v>
      </c>
      <c r="AX31" s="19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61">
        <f t="shared" si="37"/>
        <v>0</v>
      </c>
      <c r="AW32" s="1961">
        <f t="shared" si="38"/>
        <v>0</v>
      </c>
      <c r="AX32" s="19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61">
        <f t="shared" si="37"/>
        <v>0</v>
      </c>
      <c r="AW33" s="1961">
        <f t="shared" si="38"/>
        <v>0</v>
      </c>
      <c r="AX33" s="19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61">
        <f t="shared" si="37"/>
        <v>0</v>
      </c>
      <c r="AW34" s="1961">
        <f t="shared" si="38"/>
        <v>0</v>
      </c>
      <c r="AX34" s="19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61">
        <f t="shared" si="37"/>
        <v>0</v>
      </c>
      <c r="AW35" s="1961">
        <f t="shared" si="38"/>
        <v>0</v>
      </c>
      <c r="AX35" s="19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61">
        <f t="shared" si="37"/>
        <v>0</v>
      </c>
      <c r="AW36" s="1961">
        <f t="shared" si="38"/>
        <v>0</v>
      </c>
      <c r="AX36" s="19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61">
        <f t="shared" si="37"/>
        <v>0</v>
      </c>
      <c r="AW37" s="1961">
        <f t="shared" si="38"/>
        <v>0</v>
      </c>
      <c r="AX37" s="19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61">
        <f t="shared" si="37"/>
        <v>0</v>
      </c>
      <c r="AW38" s="1961">
        <f t="shared" si="38"/>
        <v>0</v>
      </c>
      <c r="AX38" s="19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61">
        <f t="shared" si="37"/>
        <v>0</v>
      </c>
      <c r="AW39" s="1961">
        <f t="shared" si="38"/>
        <v>0</v>
      </c>
      <c r="AX39" s="19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61">
        <f t="shared" si="37"/>
        <v>0</v>
      </c>
      <c r="AW40" s="1961">
        <f t="shared" si="38"/>
        <v>0</v>
      </c>
      <c r="AX40" s="19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61">
        <f t="shared" si="37"/>
        <v>0</v>
      </c>
      <c r="AW41" s="1961">
        <f t="shared" si="38"/>
        <v>0</v>
      </c>
      <c r="AX41" s="19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61">
        <f t="shared" si="37"/>
        <v>0</v>
      </c>
      <c r="AW42" s="1961">
        <f t="shared" si="38"/>
        <v>0</v>
      </c>
      <c r="AX42" s="19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61">
        <f t="shared" si="37"/>
        <v>0</v>
      </c>
      <c r="AW43" s="1961">
        <f t="shared" si="38"/>
        <v>0</v>
      </c>
      <c r="AX43" s="19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61">
        <f t="shared" si="37"/>
        <v>0</v>
      </c>
      <c r="AW44" s="1961">
        <f t="shared" si="38"/>
        <v>0</v>
      </c>
      <c r="AX44" s="19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61">
        <f t="shared" si="37"/>
        <v>0</v>
      </c>
      <c r="AW45" s="1961">
        <f t="shared" si="38"/>
        <v>0</v>
      </c>
      <c r="AX45" s="19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61">
        <f t="shared" si="37"/>
        <v>0</v>
      </c>
      <c r="AW46" s="1961">
        <f t="shared" si="38"/>
        <v>0</v>
      </c>
      <c r="AX46" s="19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61">
        <f t="shared" si="37"/>
        <v>0</v>
      </c>
      <c r="AW47" s="1961">
        <f t="shared" si="38"/>
        <v>0</v>
      </c>
      <c r="AX47" s="19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61">
        <f t="shared" si="37"/>
        <v>0</v>
      </c>
      <c r="AW48" s="1961">
        <f t="shared" si="38"/>
        <v>0</v>
      </c>
      <c r="AX48" s="19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61">
        <f t="shared" si="37"/>
        <v>0</v>
      </c>
      <c r="AW49" s="1961">
        <f t="shared" si="38"/>
        <v>0</v>
      </c>
      <c r="AX49" s="19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61">
        <f t="shared" si="37"/>
        <v>0</v>
      </c>
      <c r="AW50" s="1961">
        <f t="shared" si="38"/>
        <v>0</v>
      </c>
      <c r="AX50" s="19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61">
        <f t="shared" si="37"/>
        <v>0</v>
      </c>
      <c r="AW51" s="1961">
        <f t="shared" si="38"/>
        <v>0</v>
      </c>
      <c r="AX51" s="19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61">
        <f t="shared" si="37"/>
        <v>0</v>
      </c>
      <c r="AW52" s="1961">
        <f t="shared" si="38"/>
        <v>0</v>
      </c>
      <c r="AX52" s="19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61">
        <f t="shared" si="37"/>
        <v>0</v>
      </c>
      <c r="AW53" s="1961">
        <f t="shared" si="38"/>
        <v>0</v>
      </c>
      <c r="AX53" s="19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61">
        <f t="shared" si="37"/>
        <v>0</v>
      </c>
      <c r="AW54" s="1961">
        <f t="shared" si="38"/>
        <v>0</v>
      </c>
      <c r="AX54" s="19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61">
        <f t="shared" si="37"/>
        <v>0</v>
      </c>
      <c r="AW55" s="1961">
        <f t="shared" si="38"/>
        <v>0</v>
      </c>
      <c r="AX55" s="19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1">
        <f t="shared" si="37"/>
        <v>0</v>
      </c>
      <c r="AW56" s="1961">
        <f t="shared" si="38"/>
        <v>0</v>
      </c>
      <c r="AX56" s="19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1">
        <f t="shared" si="37"/>
        <v>0</v>
      </c>
      <c r="AW57" s="1961">
        <f t="shared" si="38"/>
        <v>0</v>
      </c>
      <c r="AX57" s="19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1">
        <f t="shared" si="37"/>
        <v>0</v>
      </c>
      <c r="AW58" s="1961">
        <f t="shared" si="38"/>
        <v>0</v>
      </c>
      <c r="AX58" s="19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1">
        <f t="shared" si="37"/>
        <v>0</v>
      </c>
      <c r="AW59" s="1961">
        <f t="shared" si="38"/>
        <v>0</v>
      </c>
      <c r="AX59" s="19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1">
        <f t="shared" si="37"/>
        <v>0</v>
      </c>
      <c r="AW60" s="1961">
        <f t="shared" si="38"/>
        <v>0</v>
      </c>
      <c r="AX60" s="19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1">
        <f t="shared" si="37"/>
        <v>0</v>
      </c>
      <c r="AW61" s="1961">
        <f t="shared" si="38"/>
        <v>0</v>
      </c>
      <c r="AX61" s="19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1">
        <f t="shared" si="37"/>
        <v>0</v>
      </c>
      <c r="AW62" s="1961">
        <f t="shared" si="38"/>
        <v>0</v>
      </c>
      <c r="AX62" s="19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1">
        <f t="shared" si="37"/>
        <v>0</v>
      </c>
      <c r="AW63" s="1961">
        <f t="shared" si="38"/>
        <v>0</v>
      </c>
      <c r="AX63" s="19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1">
        <f t="shared" si="37"/>
        <v>0</v>
      </c>
      <c r="AW64" s="1961">
        <f t="shared" si="38"/>
        <v>0</v>
      </c>
      <c r="AX64" s="19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1">
        <f t="shared" si="37"/>
        <v>0</v>
      </c>
      <c r="AW65" s="1961">
        <f t="shared" si="38"/>
        <v>0</v>
      </c>
      <c r="AX65" s="19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1">
        <f t="shared" si="37"/>
        <v>0</v>
      </c>
      <c r="AW66" s="1961">
        <f t="shared" si="38"/>
        <v>0</v>
      </c>
      <c r="AX66" s="19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1">
        <f t="shared" si="37"/>
        <v>0</v>
      </c>
      <c r="AW67" s="1961">
        <f t="shared" si="38"/>
        <v>0</v>
      </c>
      <c r="AX67" s="19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1">
        <f t="shared" si="37"/>
        <v>0</v>
      </c>
      <c r="AW68" s="1961">
        <f t="shared" si="38"/>
        <v>0</v>
      </c>
      <c r="AX68" s="19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1">
        <f t="shared" si="37"/>
        <v>0</v>
      </c>
      <c r="AW69" s="1961">
        <f t="shared" si="38"/>
        <v>0</v>
      </c>
      <c r="AX69" s="19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1">
        <f t="shared" si="37"/>
        <v>0</v>
      </c>
      <c r="AW70" s="1961">
        <f t="shared" si="38"/>
        <v>0</v>
      </c>
      <c r="AX70" s="19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1">
        <f t="shared" si="37"/>
        <v>0</v>
      </c>
      <c r="AW71" s="1961">
        <f t="shared" si="38"/>
        <v>0</v>
      </c>
      <c r="AX71" s="19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1">
        <f t="shared" si="37"/>
        <v>0</v>
      </c>
      <c r="AW72" s="1961">
        <f t="shared" si="38"/>
        <v>0</v>
      </c>
      <c r="AX72" s="19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1">
        <f t="shared" si="37"/>
        <v>0</v>
      </c>
      <c r="AW73" s="1961">
        <f t="shared" si="38"/>
        <v>0</v>
      </c>
      <c r="AX73" s="19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1">
        <f t="shared" si="37"/>
        <v>0</v>
      </c>
      <c r="AW74" s="1961">
        <f t="shared" si="38"/>
        <v>0</v>
      </c>
      <c r="AX74" s="19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1">
        <f t="shared" si="37"/>
        <v>0</v>
      </c>
      <c r="AW75" s="1961">
        <f t="shared" si="38"/>
        <v>0</v>
      </c>
      <c r="AX75" s="19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1">
        <f t="shared" si="37"/>
        <v>0</v>
      </c>
      <c r="AW76" s="1961">
        <f t="shared" si="38"/>
        <v>0</v>
      </c>
      <c r="AX76" s="19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1">
        <f t="shared" si="37"/>
        <v>0</v>
      </c>
      <c r="AW77" s="1961">
        <f t="shared" si="38"/>
        <v>0</v>
      </c>
      <c r="AX77" s="19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1">
        <f t="shared" si="37"/>
        <v>0</v>
      </c>
      <c r="AW78" s="1961">
        <f t="shared" si="38"/>
        <v>0</v>
      </c>
      <c r="AX78" s="19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1">
        <f t="shared" si="37"/>
        <v>0</v>
      </c>
      <c r="AW79" s="1961">
        <f t="shared" si="38"/>
        <v>0</v>
      </c>
      <c r="AX79" s="19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1">
        <f t="shared" si="37"/>
        <v>0</v>
      </c>
      <c r="AW80" s="1961">
        <f t="shared" si="38"/>
        <v>0</v>
      </c>
      <c r="AX80" s="19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1">
        <f t="shared" si="37"/>
        <v>0</v>
      </c>
      <c r="AW81" s="1961">
        <f t="shared" si="38"/>
        <v>0</v>
      </c>
      <c r="AX81" s="19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1">
        <f t="shared" si="37"/>
        <v>0</v>
      </c>
      <c r="AW82" s="1961">
        <f t="shared" si="38"/>
        <v>0</v>
      </c>
      <c r="AX82" s="19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1">
        <f t="shared" si="37"/>
        <v>0</v>
      </c>
      <c r="AW83" s="1961">
        <f t="shared" si="38"/>
        <v>0</v>
      </c>
      <c r="AX83" s="19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1">
        <f t="shared" si="37"/>
        <v>0</v>
      </c>
      <c r="AW84" s="1961">
        <f t="shared" si="38"/>
        <v>0</v>
      </c>
      <c r="AX84" s="19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1">
        <f t="shared" si="37"/>
        <v>0</v>
      </c>
      <c r="AW85" s="1961">
        <f t="shared" si="38"/>
        <v>0</v>
      </c>
      <c r="AX85" s="19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1">
        <f t="shared" si="37"/>
        <v>0</v>
      </c>
      <c r="AW86" s="1961">
        <f t="shared" si="38"/>
        <v>0</v>
      </c>
      <c r="AX86" s="19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1">
        <f t="shared" si="37"/>
        <v>0</v>
      </c>
      <c r="AW87" s="1961">
        <f t="shared" si="38"/>
        <v>0</v>
      </c>
      <c r="AX87" s="19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1">
        <f t="shared" si="37"/>
        <v>0</v>
      </c>
      <c r="AW88" s="1961">
        <f t="shared" si="38"/>
        <v>0</v>
      </c>
      <c r="AX88" s="19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1">
        <f t="shared" si="37"/>
        <v>0</v>
      </c>
      <c r="AW89" s="1961">
        <f t="shared" si="38"/>
        <v>0</v>
      </c>
      <c r="AX89" s="19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1">
        <f t="shared" si="37"/>
        <v>0</v>
      </c>
      <c r="AW90" s="1961">
        <f t="shared" si="38"/>
        <v>0</v>
      </c>
      <c r="AX90" s="19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1">
        <f t="shared" si="37"/>
        <v>0</v>
      </c>
      <c r="AW91" s="1961">
        <f t="shared" si="38"/>
        <v>0</v>
      </c>
      <c r="AX91" s="19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1">
        <f t="shared" si="37"/>
        <v>0</v>
      </c>
      <c r="AW92" s="1961">
        <f t="shared" si="38"/>
        <v>0</v>
      </c>
      <c r="AX92" s="19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1">
        <f t="shared" si="37"/>
        <v>0</v>
      </c>
      <c r="AW93" s="1961">
        <f t="shared" si="38"/>
        <v>0</v>
      </c>
      <c r="AX93" s="19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1">
        <f t="shared" si="37"/>
        <v>0</v>
      </c>
      <c r="AW94" s="1961">
        <f t="shared" si="38"/>
        <v>0</v>
      </c>
      <c r="AX94" s="19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1">
        <f t="shared" si="37"/>
        <v>0</v>
      </c>
      <c r="AW95" s="1961">
        <f t="shared" si="38"/>
        <v>0</v>
      </c>
      <c r="AX95" s="19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1">
        <f t="shared" si="37"/>
        <v>0</v>
      </c>
      <c r="AW96" s="1961">
        <f t="shared" si="38"/>
        <v>0</v>
      </c>
      <c r="AX96" s="19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1">
        <f t="shared" si="37"/>
        <v>0</v>
      </c>
      <c r="AW97" s="1961">
        <f t="shared" si="38"/>
        <v>0</v>
      </c>
      <c r="AX97" s="19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1">
        <f t="shared" si="37"/>
        <v>0</v>
      </c>
      <c r="AW98" s="1961">
        <f t="shared" si="38"/>
        <v>0</v>
      </c>
      <c r="AX98" s="19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1">
        <f t="shared" si="37"/>
        <v>0</v>
      </c>
      <c r="AW99" s="1961">
        <f t="shared" si="38"/>
        <v>0</v>
      </c>
      <c r="AX99" s="19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1">
        <f t="shared" si="37"/>
        <v>0</v>
      </c>
      <c r="AW100" s="1961">
        <f t="shared" si="38"/>
        <v>0</v>
      </c>
      <c r="AX100" s="19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1">
        <f t="shared" si="37"/>
        <v>0</v>
      </c>
      <c r="AW101" s="1961">
        <f t="shared" si="38"/>
        <v>0</v>
      </c>
      <c r="AX101" s="19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1">
        <f t="shared" si="37"/>
        <v>0</v>
      </c>
      <c r="AW102" s="1961">
        <f t="shared" si="38"/>
        <v>0</v>
      </c>
      <c r="AX102" s="19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1">
        <f t="shared" si="37"/>
        <v>0</v>
      </c>
      <c r="AW103" s="1961">
        <f t="shared" si="38"/>
        <v>0</v>
      </c>
      <c r="AX103" s="19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1">
        <f t="shared" si="37"/>
        <v>0</v>
      </c>
      <c r="AW104" s="1961">
        <f t="shared" si="38"/>
        <v>0</v>
      </c>
      <c r="AX104" s="19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1">
        <f t="shared" si="37"/>
        <v>0</v>
      </c>
      <c r="AW105" s="1961">
        <f t="shared" si="38"/>
        <v>0</v>
      </c>
      <c r="AX105" s="19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1">
        <f t="shared" si="37"/>
        <v>0</v>
      </c>
      <c r="AW106" s="1961">
        <f t="shared" si="38"/>
        <v>0</v>
      </c>
      <c r="AX106" s="19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1">
        <f t="shared" si="37"/>
        <v>0</v>
      </c>
      <c r="AW107" s="1961">
        <f t="shared" si="38"/>
        <v>0</v>
      </c>
      <c r="AX107" s="19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1">
        <f t="shared" si="37"/>
        <v>0</v>
      </c>
      <c r="AW108" s="1961">
        <f t="shared" si="38"/>
        <v>0</v>
      </c>
      <c r="AX108" s="19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1">
        <f t="shared" si="37"/>
        <v>0</v>
      </c>
      <c r="AW109" s="1961">
        <f t="shared" si="38"/>
        <v>0</v>
      </c>
      <c r="AX109" s="19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1">
        <f t="shared" si="37"/>
        <v>0</v>
      </c>
      <c r="AW110" s="1961">
        <f t="shared" si="38"/>
        <v>0</v>
      </c>
      <c r="AX110" s="19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1">
        <f t="shared" si="37"/>
        <v>0</v>
      </c>
      <c r="AW111" s="1961">
        <f t="shared" si="38"/>
        <v>0</v>
      </c>
      <c r="AX111" s="19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1">
        <f t="shared" si="37"/>
        <v>0</v>
      </c>
      <c r="AW112" s="1961">
        <f t="shared" si="38"/>
        <v>0</v>
      </c>
      <c r="AX112" s="19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57"/>
      <c r="AO113" s="91"/>
      <c r="AP113" s="91"/>
      <c r="AQ113" s="91"/>
      <c r="AR113" s="91"/>
      <c r="AS113" s="91"/>
      <c r="AT113" s="92"/>
      <c r="AU113" s="93"/>
      <c r="AV113" s="1961">
        <f t="shared" ref="AV113:AV144" si="88">A113</f>
        <v>0</v>
      </c>
      <c r="AW113" s="1961">
        <f t="shared" ref="AW113:AW144" si="89">B113</f>
        <v>0</v>
      </c>
      <c r="AX113" s="19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1"/>
      <c r="AG114" s="91"/>
      <c r="AH114" s="91"/>
      <c r="AI114" s="91"/>
      <c r="AJ114" s="91"/>
      <c r="AK114" s="91"/>
      <c r="AL114" s="1357"/>
      <c r="AM114" s="91"/>
      <c r="AN114" s="1357"/>
      <c r="AO114" s="91"/>
      <c r="AP114" s="91"/>
      <c r="AQ114" s="91"/>
      <c r="AR114" s="91"/>
      <c r="AS114" s="91"/>
      <c r="AT114" s="92"/>
      <c r="AU114" s="93"/>
      <c r="AV114" s="1961">
        <f t="shared" si="88"/>
        <v>0</v>
      </c>
      <c r="AW114" s="1961">
        <f t="shared" si="89"/>
        <v>0</v>
      </c>
      <c r="AX114" s="19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57"/>
      <c r="AM115" s="91"/>
      <c r="AN115" s="1357"/>
      <c r="AO115" s="91"/>
      <c r="AP115" s="91"/>
      <c r="AQ115" s="91"/>
      <c r="AR115" s="91"/>
      <c r="AS115" s="91"/>
      <c r="AT115" s="92"/>
      <c r="AU115" s="93"/>
      <c r="AV115" s="1961">
        <f t="shared" si="88"/>
        <v>0</v>
      </c>
      <c r="AW115" s="1961">
        <f t="shared" si="89"/>
        <v>0</v>
      </c>
      <c r="AX115" s="19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57"/>
      <c r="AO116" s="91"/>
      <c r="AP116" s="91"/>
      <c r="AQ116" s="91"/>
      <c r="AR116" s="91"/>
      <c r="AS116" s="91"/>
      <c r="AT116" s="92"/>
      <c r="AU116" s="93"/>
      <c r="AV116" s="1961">
        <f t="shared" si="88"/>
        <v>0</v>
      </c>
      <c r="AW116" s="1961">
        <f t="shared" si="89"/>
        <v>0</v>
      </c>
      <c r="AX116" s="19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61">
        <f t="shared" si="88"/>
        <v>0</v>
      </c>
      <c r="AW117" s="1961">
        <f t="shared" si="89"/>
        <v>0</v>
      </c>
      <c r="AX117" s="19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61">
        <f t="shared" si="88"/>
        <v>0</v>
      </c>
      <c r="AW118" s="1961">
        <f t="shared" si="89"/>
        <v>0</v>
      </c>
      <c r="AX118" s="19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61">
        <f t="shared" si="88"/>
        <v>0</v>
      </c>
      <c r="AW119" s="1961">
        <f t="shared" si="89"/>
        <v>0</v>
      </c>
      <c r="AX119" s="19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61">
        <f t="shared" si="88"/>
        <v>0</v>
      </c>
      <c r="AW120" s="1961">
        <f t="shared" si="89"/>
        <v>0</v>
      </c>
      <c r="AX120" s="19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61">
        <f t="shared" si="88"/>
        <v>0</v>
      </c>
      <c r="AW121" s="1961">
        <f t="shared" si="89"/>
        <v>0</v>
      </c>
      <c r="AX121" s="19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61">
        <f t="shared" si="88"/>
        <v>0</v>
      </c>
      <c r="AW122" s="1961">
        <f t="shared" si="89"/>
        <v>0</v>
      </c>
      <c r="AX122" s="19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61">
        <f t="shared" si="88"/>
        <v>0</v>
      </c>
      <c r="AW123" s="1961">
        <f t="shared" si="89"/>
        <v>0</v>
      </c>
      <c r="AX123" s="19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61">
        <f t="shared" si="88"/>
        <v>0</v>
      </c>
      <c r="AW124" s="1961">
        <f t="shared" si="89"/>
        <v>0</v>
      </c>
      <c r="AX124" s="19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61">
        <f t="shared" si="88"/>
        <v>0</v>
      </c>
      <c r="AW125" s="1961">
        <f t="shared" si="89"/>
        <v>0</v>
      </c>
      <c r="AX125" s="19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61">
        <f t="shared" si="88"/>
        <v>0</v>
      </c>
      <c r="AW126" s="1961">
        <f t="shared" si="89"/>
        <v>0</v>
      </c>
      <c r="AX126" s="19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61">
        <f t="shared" si="88"/>
        <v>0</v>
      </c>
      <c r="AW127" s="1961">
        <f t="shared" si="89"/>
        <v>0</v>
      </c>
      <c r="AX127" s="19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61">
        <f t="shared" si="88"/>
        <v>0</v>
      </c>
      <c r="AW128" s="1961">
        <f t="shared" si="89"/>
        <v>0</v>
      </c>
      <c r="AX128" s="19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61">
        <f t="shared" si="88"/>
        <v>0</v>
      </c>
      <c r="AW129" s="1961">
        <f t="shared" si="89"/>
        <v>0</v>
      </c>
      <c r="AX129" s="19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61">
        <f t="shared" si="88"/>
        <v>0</v>
      </c>
      <c r="AW130" s="1961">
        <f t="shared" si="89"/>
        <v>0</v>
      </c>
      <c r="AX130" s="19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61">
        <f t="shared" si="88"/>
        <v>0</v>
      </c>
      <c r="AW131" s="1961">
        <f t="shared" si="89"/>
        <v>0</v>
      </c>
      <c r="AX131" s="19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61">
        <f t="shared" si="88"/>
        <v>0</v>
      </c>
      <c r="AW132" s="1961">
        <f t="shared" si="89"/>
        <v>0</v>
      </c>
      <c r="AX132" s="19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61">
        <f t="shared" si="88"/>
        <v>0</v>
      </c>
      <c r="AW133" s="1961">
        <f t="shared" si="89"/>
        <v>0</v>
      </c>
      <c r="AX133" s="19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61">
        <f t="shared" si="88"/>
        <v>0</v>
      </c>
      <c r="AW134" s="1961">
        <f t="shared" si="89"/>
        <v>0</v>
      </c>
      <c r="AX134" s="19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61">
        <f t="shared" si="88"/>
        <v>0</v>
      </c>
      <c r="AW135" s="1961">
        <f t="shared" si="89"/>
        <v>0</v>
      </c>
      <c r="AX135" s="19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61">
        <f t="shared" si="88"/>
        <v>0</v>
      </c>
      <c r="AW136" s="1961">
        <f t="shared" si="89"/>
        <v>0</v>
      </c>
      <c r="AX136" s="19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61">
        <f t="shared" si="88"/>
        <v>0</v>
      </c>
      <c r="AW137" s="1961">
        <f t="shared" si="89"/>
        <v>0</v>
      </c>
      <c r="AX137" s="19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61">
        <f t="shared" si="88"/>
        <v>0</v>
      </c>
      <c r="AW138" s="1961">
        <f t="shared" si="89"/>
        <v>0</v>
      </c>
      <c r="AX138" s="19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61">
        <f t="shared" si="88"/>
        <v>0</v>
      </c>
      <c r="AW139" s="1961">
        <f t="shared" si="89"/>
        <v>0</v>
      </c>
      <c r="AX139" s="19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61">
        <f t="shared" si="88"/>
        <v>0</v>
      </c>
      <c r="AW140" s="1961">
        <f t="shared" si="89"/>
        <v>0</v>
      </c>
      <c r="AX140" s="19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61">
        <f t="shared" si="88"/>
        <v>0</v>
      </c>
      <c r="AW141" s="1961">
        <f t="shared" si="89"/>
        <v>0</v>
      </c>
      <c r="AX141" s="19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61">
        <f t="shared" si="88"/>
        <v>0</v>
      </c>
      <c r="AW142" s="1961">
        <f t="shared" si="89"/>
        <v>0</v>
      </c>
      <c r="AX142" s="19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61">
        <f t="shared" si="88"/>
        <v>0</v>
      </c>
      <c r="AW143" s="1961">
        <f t="shared" si="89"/>
        <v>0</v>
      </c>
      <c r="AX143" s="19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61">
        <f t="shared" si="88"/>
        <v>0</v>
      </c>
      <c r="AW144" s="1961">
        <f t="shared" si="89"/>
        <v>0</v>
      </c>
      <c r="AX144" s="19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61">
        <f t="shared" ref="AV145:AV176" si="117">A145</f>
        <v>0</v>
      </c>
      <c r="AW145" s="1961">
        <f t="shared" ref="AW145:AW176" si="118">B145</f>
        <v>0</v>
      </c>
      <c r="AX145" s="19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61">
        <f t="shared" si="117"/>
        <v>0</v>
      </c>
      <c r="AW146" s="1961">
        <f t="shared" si="118"/>
        <v>0</v>
      </c>
      <c r="AX146" s="19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61">
        <f t="shared" si="117"/>
        <v>0</v>
      </c>
      <c r="AW147" s="1961">
        <f t="shared" si="118"/>
        <v>0</v>
      </c>
      <c r="AX147" s="19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1">
        <f t="shared" si="117"/>
        <v>0</v>
      </c>
      <c r="AW148" s="1961">
        <f t="shared" si="118"/>
        <v>0</v>
      </c>
      <c r="AX148" s="19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1">
        <f t="shared" si="117"/>
        <v>0</v>
      </c>
      <c r="AW149" s="1961">
        <f t="shared" si="118"/>
        <v>0</v>
      </c>
      <c r="AX149" s="19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1">
        <f t="shared" si="117"/>
        <v>0</v>
      </c>
      <c r="AW150" s="1961">
        <f t="shared" si="118"/>
        <v>0</v>
      </c>
      <c r="AX150" s="19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1">
        <f t="shared" si="117"/>
        <v>0</v>
      </c>
      <c r="AW151" s="1961">
        <f t="shared" si="118"/>
        <v>0</v>
      </c>
      <c r="AX151" s="19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1">
        <f t="shared" si="117"/>
        <v>0</v>
      </c>
      <c r="AW152" s="1961">
        <f t="shared" si="118"/>
        <v>0</v>
      </c>
      <c r="AX152" s="19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1">
        <f t="shared" si="117"/>
        <v>0</v>
      </c>
      <c r="AW153" s="1961">
        <f t="shared" si="118"/>
        <v>0</v>
      </c>
      <c r="AX153" s="19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1">
        <f t="shared" si="117"/>
        <v>0</v>
      </c>
      <c r="AW154" s="1961">
        <f t="shared" si="118"/>
        <v>0</v>
      </c>
      <c r="AX154" s="19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1">
        <f t="shared" si="117"/>
        <v>0</v>
      </c>
      <c r="AW155" s="1961">
        <f t="shared" si="118"/>
        <v>0</v>
      </c>
      <c r="AX155" s="19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1">
        <f t="shared" si="117"/>
        <v>0</v>
      </c>
      <c r="AW156" s="1961">
        <f t="shared" si="118"/>
        <v>0</v>
      </c>
      <c r="AX156" s="19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1">
        <f t="shared" si="117"/>
        <v>0</v>
      </c>
      <c r="AW157" s="1961">
        <f t="shared" si="118"/>
        <v>0</v>
      </c>
      <c r="AX157" s="19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1">
        <f t="shared" si="117"/>
        <v>0</v>
      </c>
      <c r="AW158" s="1961">
        <f t="shared" si="118"/>
        <v>0</v>
      </c>
      <c r="AX158" s="19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1">
        <f t="shared" si="117"/>
        <v>0</v>
      </c>
      <c r="AW159" s="1961">
        <f t="shared" si="118"/>
        <v>0</v>
      </c>
      <c r="AX159" s="19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1">
        <f t="shared" si="117"/>
        <v>0</v>
      </c>
      <c r="AW160" s="1961">
        <f t="shared" si="118"/>
        <v>0</v>
      </c>
      <c r="AX160" s="19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1">
        <f t="shared" si="117"/>
        <v>0</v>
      </c>
      <c r="AW161" s="1961">
        <f t="shared" si="118"/>
        <v>0</v>
      </c>
      <c r="AX161" s="19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1">
        <f t="shared" si="117"/>
        <v>0</v>
      </c>
      <c r="AW162" s="1961">
        <f t="shared" si="118"/>
        <v>0</v>
      </c>
      <c r="AX162" s="19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1">
        <f t="shared" si="117"/>
        <v>0</v>
      </c>
      <c r="AW163" s="1961">
        <f t="shared" si="118"/>
        <v>0</v>
      </c>
      <c r="AX163" s="19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1">
        <f t="shared" si="117"/>
        <v>0</v>
      </c>
      <c r="AW164" s="1961">
        <f t="shared" si="118"/>
        <v>0</v>
      </c>
      <c r="AX164" s="19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1">
        <f t="shared" si="117"/>
        <v>0</v>
      </c>
      <c r="AW165" s="1961">
        <f t="shared" si="118"/>
        <v>0</v>
      </c>
      <c r="AX165" s="19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1">
        <f t="shared" si="117"/>
        <v>0</v>
      </c>
      <c r="AW166" s="1961">
        <f t="shared" si="118"/>
        <v>0</v>
      </c>
      <c r="AX166" s="19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1">
        <f t="shared" si="117"/>
        <v>0</v>
      </c>
      <c r="AW167" s="1961">
        <f t="shared" si="118"/>
        <v>0</v>
      </c>
      <c r="AX167" s="19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1">
        <f t="shared" si="117"/>
        <v>0</v>
      </c>
      <c r="AW168" s="1961">
        <f t="shared" si="118"/>
        <v>0</v>
      </c>
      <c r="AX168" s="19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1">
        <f t="shared" si="117"/>
        <v>0</v>
      </c>
      <c r="AW169" s="1961">
        <f t="shared" si="118"/>
        <v>0</v>
      </c>
      <c r="AX169" s="19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1">
        <f t="shared" si="117"/>
        <v>0</v>
      </c>
      <c r="AW170" s="1961">
        <f t="shared" si="118"/>
        <v>0</v>
      </c>
      <c r="AX170" s="19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1">
        <f t="shared" si="117"/>
        <v>0</v>
      </c>
      <c r="AW171" s="1961">
        <f t="shared" si="118"/>
        <v>0</v>
      </c>
      <c r="AX171" s="19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1">
        <f t="shared" si="117"/>
        <v>0</v>
      </c>
      <c r="AW172" s="1961">
        <f t="shared" si="118"/>
        <v>0</v>
      </c>
      <c r="AX172" s="19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1">
        <f t="shared" si="117"/>
        <v>0</v>
      </c>
      <c r="AW173" s="1961">
        <f t="shared" si="118"/>
        <v>0</v>
      </c>
      <c r="AX173" s="19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1">
        <f t="shared" si="117"/>
        <v>0</v>
      </c>
      <c r="AW174" s="1961">
        <f t="shared" si="118"/>
        <v>0</v>
      </c>
      <c r="AX174" s="19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1">
        <f t="shared" si="117"/>
        <v>0</v>
      </c>
      <c r="AW175" s="1961">
        <f t="shared" si="118"/>
        <v>0</v>
      </c>
      <c r="AX175" s="19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1">
        <f t="shared" si="117"/>
        <v>0</v>
      </c>
      <c r="AW176" s="1961">
        <f t="shared" si="118"/>
        <v>0</v>
      </c>
      <c r="AX176" s="19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1">
        <f t="shared" ref="AV177:AV204" si="146">A177</f>
        <v>0</v>
      </c>
      <c r="AW177" s="1961">
        <f t="shared" ref="AW177:AW204" si="147">B177</f>
        <v>0</v>
      </c>
      <c r="AX177" s="19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1">
        <f t="shared" si="146"/>
        <v>0</v>
      </c>
      <c r="AW178" s="1961">
        <f t="shared" si="147"/>
        <v>0</v>
      </c>
      <c r="AX178" s="19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1">
        <f t="shared" si="146"/>
        <v>0</v>
      </c>
      <c r="AW179" s="1961">
        <f t="shared" si="147"/>
        <v>0</v>
      </c>
      <c r="AX179" s="19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1">
        <f t="shared" si="146"/>
        <v>0</v>
      </c>
      <c r="AW180" s="1961">
        <f t="shared" si="147"/>
        <v>0</v>
      </c>
      <c r="AX180" s="19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1">
        <f t="shared" si="146"/>
        <v>0</v>
      </c>
      <c r="AW181" s="1961">
        <f t="shared" si="147"/>
        <v>0</v>
      </c>
      <c r="AX181" s="19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1">
        <f t="shared" si="146"/>
        <v>0</v>
      </c>
      <c r="AW182" s="1961">
        <f t="shared" si="147"/>
        <v>0</v>
      </c>
      <c r="AX182" s="19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1">
        <f t="shared" si="146"/>
        <v>0</v>
      </c>
      <c r="AW183" s="1961">
        <f t="shared" si="147"/>
        <v>0</v>
      </c>
      <c r="AX183" s="19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1">
        <f t="shared" si="146"/>
        <v>0</v>
      </c>
      <c r="AW184" s="1961">
        <f t="shared" si="147"/>
        <v>0</v>
      </c>
      <c r="AX184" s="19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1">
        <f t="shared" si="146"/>
        <v>0</v>
      </c>
      <c r="AW185" s="1961">
        <f t="shared" si="147"/>
        <v>0</v>
      </c>
      <c r="AX185" s="19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1">
        <f t="shared" si="146"/>
        <v>0</v>
      </c>
      <c r="AW186" s="1961">
        <f t="shared" si="147"/>
        <v>0</v>
      </c>
      <c r="AX186" s="19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1">
        <f t="shared" si="146"/>
        <v>0</v>
      </c>
      <c r="AW187" s="1961">
        <f t="shared" si="147"/>
        <v>0</v>
      </c>
      <c r="AX187" s="19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1">
        <f t="shared" si="146"/>
        <v>0</v>
      </c>
      <c r="AW188" s="1961">
        <f t="shared" si="147"/>
        <v>0</v>
      </c>
      <c r="AX188" s="19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1">
        <f t="shared" si="146"/>
        <v>0</v>
      </c>
      <c r="AW189" s="1961">
        <f t="shared" si="147"/>
        <v>0</v>
      </c>
      <c r="AX189" s="19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1">
        <f t="shared" si="146"/>
        <v>0</v>
      </c>
      <c r="AW190" s="1961">
        <f t="shared" si="147"/>
        <v>0</v>
      </c>
      <c r="AX190" s="19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1">
        <f t="shared" si="146"/>
        <v>0</v>
      </c>
      <c r="AW191" s="1961">
        <f t="shared" si="147"/>
        <v>0</v>
      </c>
      <c r="AX191" s="19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1">
        <f t="shared" si="146"/>
        <v>0</v>
      </c>
      <c r="AW192" s="1961">
        <f t="shared" si="147"/>
        <v>0</v>
      </c>
      <c r="AX192" s="19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1">
        <f t="shared" si="146"/>
        <v>0</v>
      </c>
      <c r="AW193" s="1961">
        <f t="shared" si="147"/>
        <v>0</v>
      </c>
      <c r="AX193" s="19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1">
        <f t="shared" si="146"/>
        <v>0</v>
      </c>
      <c r="AW194" s="1961">
        <f t="shared" si="147"/>
        <v>0</v>
      </c>
      <c r="AX194" s="19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1">
        <f t="shared" si="146"/>
        <v>0</v>
      </c>
      <c r="AW195" s="1961">
        <f t="shared" si="147"/>
        <v>0</v>
      </c>
      <c r="AX195" s="19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1">
        <f t="shared" si="146"/>
        <v>0</v>
      </c>
      <c r="AW196" s="1961">
        <f t="shared" si="147"/>
        <v>0</v>
      </c>
      <c r="AX196" s="19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1">
        <f t="shared" si="146"/>
        <v>0</v>
      </c>
      <c r="AW197" s="1961">
        <f t="shared" si="147"/>
        <v>0</v>
      </c>
      <c r="AX197" s="19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1">
        <f t="shared" si="146"/>
        <v>0</v>
      </c>
      <c r="AW198" s="1961">
        <f t="shared" si="147"/>
        <v>0</v>
      </c>
      <c r="AX198" s="19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1">
        <f t="shared" si="146"/>
        <v>0</v>
      </c>
      <c r="AW199" s="1961">
        <f t="shared" si="147"/>
        <v>0</v>
      </c>
      <c r="AX199" s="19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1">
        <f t="shared" si="146"/>
        <v>0</v>
      </c>
      <c r="AW200" s="1961">
        <f t="shared" si="147"/>
        <v>0</v>
      </c>
      <c r="AX200" s="19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1">
        <f t="shared" si="146"/>
        <v>0</v>
      </c>
      <c r="AW201" s="1961">
        <f t="shared" si="147"/>
        <v>0</v>
      </c>
      <c r="AX201" s="19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1">
        <f t="shared" si="146"/>
        <v>0</v>
      </c>
      <c r="AW202" s="1961">
        <f t="shared" si="147"/>
        <v>0</v>
      </c>
      <c r="AX202" s="19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1">
        <f t="shared" si="146"/>
        <v>0</v>
      </c>
      <c r="AW203" s="1961">
        <f t="shared" si="147"/>
        <v>0</v>
      </c>
      <c r="AX203" s="19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1">
        <f t="shared" si="146"/>
        <v>0</v>
      </c>
      <c r="AW204" s="1961">
        <f t="shared" si="147"/>
        <v>0</v>
      </c>
      <c r="AX204" s="19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57"/>
      <c r="AO205" s="91"/>
      <c r="AP205" s="91"/>
      <c r="AQ205" s="91"/>
      <c r="AR205" s="91"/>
      <c r="AS205" s="91"/>
      <c r="AT205" s="92"/>
      <c r="AU205" s="93"/>
      <c r="AV205" s="1961">
        <f t="shared" ref="AV205:AV296" si="153">A205</f>
        <v>0</v>
      </c>
      <c r="AW205" s="1961">
        <f t="shared" ref="AW205:AW296" si="154">B205</f>
        <v>0</v>
      </c>
      <c r="AX205" s="19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1"/>
      <c r="AG206" s="91"/>
      <c r="AH206" s="91"/>
      <c r="AI206" s="91"/>
      <c r="AJ206" s="91"/>
      <c r="AK206" s="91"/>
      <c r="AL206" s="1357"/>
      <c r="AM206" s="91"/>
      <c r="AN206" s="1357"/>
      <c r="AO206" s="91"/>
      <c r="AP206" s="91"/>
      <c r="AQ206" s="91"/>
      <c r="AR206" s="91"/>
      <c r="AS206" s="91"/>
      <c r="AT206" s="92"/>
      <c r="AU206" s="93"/>
      <c r="AV206" s="1961">
        <f t="shared" si="153"/>
        <v>0</v>
      </c>
      <c r="AW206" s="1961">
        <f t="shared" si="154"/>
        <v>0</v>
      </c>
      <c r="AX206" s="19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57"/>
      <c r="AM207" s="91"/>
      <c r="AN207" s="1357"/>
      <c r="AO207" s="91"/>
      <c r="AP207" s="91"/>
      <c r="AQ207" s="91"/>
      <c r="AR207" s="91"/>
      <c r="AS207" s="91"/>
      <c r="AT207" s="92"/>
      <c r="AU207" s="93"/>
      <c r="AV207" s="1961">
        <f t="shared" si="153"/>
        <v>0</v>
      </c>
      <c r="AW207" s="1961">
        <f t="shared" si="154"/>
        <v>0</v>
      </c>
      <c r="AX207" s="19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57"/>
      <c r="AO208" s="91"/>
      <c r="AP208" s="91"/>
      <c r="AQ208" s="91"/>
      <c r="AR208" s="91"/>
      <c r="AS208" s="91"/>
      <c r="AT208" s="92"/>
      <c r="AU208" s="93"/>
      <c r="AV208" s="1961">
        <f t="shared" si="153"/>
        <v>0</v>
      </c>
      <c r="AW208" s="1961">
        <f t="shared" si="154"/>
        <v>0</v>
      </c>
      <c r="AX208" s="19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61">
        <f t="shared" si="153"/>
        <v>0</v>
      </c>
      <c r="AW209" s="1961">
        <f t="shared" si="154"/>
        <v>0</v>
      </c>
      <c r="AX209" s="19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61">
        <f t="shared" si="153"/>
        <v>0</v>
      </c>
      <c r="AW210" s="1961">
        <f t="shared" si="154"/>
        <v>0</v>
      </c>
      <c r="AX210" s="19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61">
        <f t="shared" si="153"/>
        <v>0</v>
      </c>
      <c r="AW211" s="1961">
        <f t="shared" si="154"/>
        <v>0</v>
      </c>
      <c r="AX211" s="19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61">
        <f t="shared" si="153"/>
        <v>0</v>
      </c>
      <c r="AW212" s="1961">
        <f t="shared" si="154"/>
        <v>0</v>
      </c>
      <c r="AX212" s="19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61">
        <f t="shared" si="153"/>
        <v>0</v>
      </c>
      <c r="AW213" s="1961">
        <f t="shared" si="154"/>
        <v>0</v>
      </c>
      <c r="AX213" s="19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61">
        <f t="shared" si="153"/>
        <v>0</v>
      </c>
      <c r="AW214" s="1961">
        <f t="shared" si="154"/>
        <v>0</v>
      </c>
      <c r="AX214" s="19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61">
        <f t="shared" si="153"/>
        <v>0</v>
      </c>
      <c r="AW215" s="1961">
        <f t="shared" si="154"/>
        <v>0</v>
      </c>
      <c r="AX215" s="19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61">
        <f t="shared" si="153"/>
        <v>0</v>
      </c>
      <c r="AW216" s="1961">
        <f t="shared" si="154"/>
        <v>0</v>
      </c>
      <c r="AX216" s="19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61">
        <f t="shared" si="153"/>
        <v>0</v>
      </c>
      <c r="AW217" s="1961">
        <f t="shared" si="154"/>
        <v>0</v>
      </c>
      <c r="AX217" s="19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61">
        <f t="shared" si="153"/>
        <v>0</v>
      </c>
      <c r="AW218" s="1961">
        <f t="shared" si="154"/>
        <v>0</v>
      </c>
      <c r="AX218" s="19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61">
        <f t="shared" si="153"/>
        <v>0</v>
      </c>
      <c r="AW219" s="1961">
        <f t="shared" si="154"/>
        <v>0</v>
      </c>
      <c r="AX219" s="19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61">
        <f t="shared" si="153"/>
        <v>0</v>
      </c>
      <c r="AW220" s="1961">
        <f t="shared" si="154"/>
        <v>0</v>
      </c>
      <c r="AX220" s="19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61">
        <f t="shared" si="153"/>
        <v>0</v>
      </c>
      <c r="AW221" s="1961">
        <f t="shared" si="154"/>
        <v>0</v>
      </c>
      <c r="AX221" s="19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61">
        <f t="shared" si="153"/>
        <v>0</v>
      </c>
      <c r="AW222" s="1961">
        <f t="shared" si="154"/>
        <v>0</v>
      </c>
      <c r="AX222" s="19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61">
        <f t="shared" si="153"/>
        <v>0</v>
      </c>
      <c r="AW223" s="1961">
        <f t="shared" si="154"/>
        <v>0</v>
      </c>
      <c r="AX223" s="19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61">
        <f t="shared" si="153"/>
        <v>0</v>
      </c>
      <c r="AW224" s="1961">
        <f t="shared" si="154"/>
        <v>0</v>
      </c>
      <c r="AX224" s="19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61">
        <f t="shared" si="153"/>
        <v>0</v>
      </c>
      <c r="AW225" s="1961">
        <f t="shared" si="154"/>
        <v>0</v>
      </c>
      <c r="AX225" s="19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61">
        <f t="shared" si="153"/>
        <v>0</v>
      </c>
      <c r="AW226" s="1961">
        <f t="shared" si="154"/>
        <v>0</v>
      </c>
      <c r="AX226" s="19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61">
        <f t="shared" si="153"/>
        <v>0</v>
      </c>
      <c r="AW227" s="1961">
        <f t="shared" si="154"/>
        <v>0</v>
      </c>
      <c r="AX227" s="19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61">
        <f t="shared" si="153"/>
        <v>0</v>
      </c>
      <c r="AW228" s="1961">
        <f t="shared" si="154"/>
        <v>0</v>
      </c>
      <c r="AX228" s="19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61">
        <f t="shared" si="153"/>
        <v>0</v>
      </c>
      <c r="AW229" s="1961">
        <f t="shared" si="154"/>
        <v>0</v>
      </c>
      <c r="AX229" s="19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61">
        <f t="shared" si="153"/>
        <v>0</v>
      </c>
      <c r="AW230" s="1961">
        <f t="shared" si="154"/>
        <v>0</v>
      </c>
      <c r="AX230" s="19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61">
        <f t="shared" si="153"/>
        <v>0</v>
      </c>
      <c r="AW231" s="1961">
        <f t="shared" si="154"/>
        <v>0</v>
      </c>
      <c r="AX231" s="19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61">
        <f t="shared" si="153"/>
        <v>0</v>
      </c>
      <c r="AW232" s="1961">
        <f t="shared" si="154"/>
        <v>0</v>
      </c>
      <c r="AX232" s="19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61">
        <f t="shared" si="153"/>
        <v>0</v>
      </c>
      <c r="AW233" s="1961">
        <f t="shared" si="154"/>
        <v>0</v>
      </c>
      <c r="AX233" s="19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61">
        <f t="shared" si="153"/>
        <v>0</v>
      </c>
      <c r="AW234" s="1961">
        <f t="shared" si="154"/>
        <v>0</v>
      </c>
      <c r="AX234" s="19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61">
        <f t="shared" si="153"/>
        <v>0</v>
      </c>
      <c r="AW235" s="1961">
        <f t="shared" si="154"/>
        <v>0</v>
      </c>
      <c r="AX235" s="19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61">
        <f t="shared" si="153"/>
        <v>0</v>
      </c>
      <c r="AW236" s="1961">
        <f t="shared" si="154"/>
        <v>0</v>
      </c>
      <c r="AX236" s="19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61">
        <f t="shared" si="153"/>
        <v>0</v>
      </c>
      <c r="AW237" s="1961">
        <f t="shared" si="154"/>
        <v>0</v>
      </c>
      <c r="AX237" s="19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61">
        <f t="shared" si="153"/>
        <v>0</v>
      </c>
      <c r="AW238" s="1961">
        <f t="shared" si="154"/>
        <v>0</v>
      </c>
      <c r="AX238" s="19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61">
        <f t="shared" si="153"/>
        <v>0</v>
      </c>
      <c r="AW239" s="1961">
        <f t="shared" si="154"/>
        <v>0</v>
      </c>
      <c r="AX239" s="19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1">
        <f t="shared" si="153"/>
        <v>0</v>
      </c>
      <c r="AW240" s="1961">
        <f t="shared" si="154"/>
        <v>0</v>
      </c>
      <c r="AX240" s="19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1">
        <f t="shared" si="153"/>
        <v>0</v>
      </c>
      <c r="AW241" s="1961">
        <f t="shared" si="154"/>
        <v>0</v>
      </c>
      <c r="AX241" s="19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1">
        <f t="shared" si="153"/>
        <v>0</v>
      </c>
      <c r="AW242" s="1961">
        <f t="shared" si="154"/>
        <v>0</v>
      </c>
      <c r="AX242" s="19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1">
        <f t="shared" si="153"/>
        <v>0</v>
      </c>
      <c r="AW243" s="1961">
        <f t="shared" si="154"/>
        <v>0</v>
      </c>
      <c r="AX243" s="19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1">
        <f t="shared" si="153"/>
        <v>0</v>
      </c>
      <c r="AW244" s="1961">
        <f t="shared" si="154"/>
        <v>0</v>
      </c>
      <c r="AX244" s="19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1">
        <f t="shared" si="153"/>
        <v>0</v>
      </c>
      <c r="AW245" s="1961">
        <f t="shared" si="154"/>
        <v>0</v>
      </c>
      <c r="AX245" s="19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1">
        <f t="shared" si="153"/>
        <v>0</v>
      </c>
      <c r="AW246" s="1961">
        <f t="shared" si="154"/>
        <v>0</v>
      </c>
      <c r="AX246" s="19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1">
        <f t="shared" si="153"/>
        <v>0</v>
      </c>
      <c r="AW247" s="1961">
        <f t="shared" si="154"/>
        <v>0</v>
      </c>
      <c r="AX247" s="19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1">
        <f t="shared" si="153"/>
        <v>0</v>
      </c>
      <c r="AW248" s="1961">
        <f t="shared" si="154"/>
        <v>0</v>
      </c>
      <c r="AX248" s="19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1">
        <f t="shared" si="153"/>
        <v>0</v>
      </c>
      <c r="AW249" s="1961">
        <f t="shared" si="154"/>
        <v>0</v>
      </c>
      <c r="AX249" s="19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1">
        <f t="shared" si="153"/>
        <v>0</v>
      </c>
      <c r="AW250" s="1961">
        <f t="shared" si="154"/>
        <v>0</v>
      </c>
      <c r="AX250" s="19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1">
        <f t="shared" si="153"/>
        <v>0</v>
      </c>
      <c r="AW251" s="1961">
        <f t="shared" si="154"/>
        <v>0</v>
      </c>
      <c r="AX251" s="19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1">
        <f t="shared" si="153"/>
        <v>0</v>
      </c>
      <c r="AW252" s="1961">
        <f t="shared" si="154"/>
        <v>0</v>
      </c>
      <c r="AX252" s="19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1">
        <f t="shared" si="153"/>
        <v>0</v>
      </c>
      <c r="AW253" s="1961">
        <f t="shared" si="154"/>
        <v>0</v>
      </c>
      <c r="AX253" s="19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1">
        <f t="shared" si="153"/>
        <v>0</v>
      </c>
      <c r="AW254" s="1961">
        <f t="shared" si="154"/>
        <v>0</v>
      </c>
      <c r="AX254" s="19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1">
        <f t="shared" si="153"/>
        <v>0</v>
      </c>
      <c r="AW255" s="1961">
        <f t="shared" si="154"/>
        <v>0</v>
      </c>
      <c r="AX255" s="19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1">
        <f t="shared" si="153"/>
        <v>0</v>
      </c>
      <c r="AW256" s="1961">
        <f t="shared" si="154"/>
        <v>0</v>
      </c>
      <c r="AX256" s="19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1">
        <f t="shared" si="153"/>
        <v>0</v>
      </c>
      <c r="AW257" s="1961">
        <f t="shared" si="154"/>
        <v>0</v>
      </c>
      <c r="AX257" s="19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1">
        <f t="shared" si="153"/>
        <v>0</v>
      </c>
      <c r="AW258" s="1961">
        <f t="shared" si="154"/>
        <v>0</v>
      </c>
      <c r="AX258" s="19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1">
        <f t="shared" si="153"/>
        <v>0</v>
      </c>
      <c r="AW259" s="1961">
        <f t="shared" si="154"/>
        <v>0</v>
      </c>
      <c r="AX259" s="19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1">
        <f t="shared" si="153"/>
        <v>0</v>
      </c>
      <c r="AW260" s="1961">
        <f t="shared" si="154"/>
        <v>0</v>
      </c>
      <c r="AX260" s="19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1">
        <f t="shared" si="153"/>
        <v>0</v>
      </c>
      <c r="AW261" s="1961">
        <f t="shared" si="154"/>
        <v>0</v>
      </c>
      <c r="AX261" s="19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1">
        <f t="shared" si="153"/>
        <v>0</v>
      </c>
      <c r="AW262" s="1961">
        <f t="shared" si="154"/>
        <v>0</v>
      </c>
      <c r="AX262" s="19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1">
        <f t="shared" si="153"/>
        <v>0</v>
      </c>
      <c r="AW263" s="1961">
        <f t="shared" si="154"/>
        <v>0</v>
      </c>
      <c r="AX263" s="19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1">
        <f t="shared" si="153"/>
        <v>0</v>
      </c>
      <c r="AW264" s="1961">
        <f t="shared" si="154"/>
        <v>0</v>
      </c>
      <c r="AX264" s="19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1">
        <f t="shared" si="153"/>
        <v>0</v>
      </c>
      <c r="AW265" s="1961">
        <f t="shared" si="154"/>
        <v>0</v>
      </c>
      <c r="AX265" s="19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1">
        <f t="shared" si="153"/>
        <v>0</v>
      </c>
      <c r="AW266" s="1961">
        <f t="shared" si="154"/>
        <v>0</v>
      </c>
      <c r="AX266" s="19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1">
        <f t="shared" si="153"/>
        <v>0</v>
      </c>
      <c r="AW267" s="1961">
        <f t="shared" si="154"/>
        <v>0</v>
      </c>
      <c r="AX267" s="19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1">
        <f t="shared" si="153"/>
        <v>0</v>
      </c>
      <c r="AW268" s="1961">
        <f t="shared" si="154"/>
        <v>0</v>
      </c>
      <c r="AX268" s="19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1">
        <f t="shared" si="153"/>
        <v>0</v>
      </c>
      <c r="AW269" s="1961">
        <f t="shared" si="154"/>
        <v>0</v>
      </c>
      <c r="AX269" s="19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1">
        <f t="shared" si="153"/>
        <v>0</v>
      </c>
      <c r="AW270" s="1961">
        <f t="shared" si="154"/>
        <v>0</v>
      </c>
      <c r="AX270" s="19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1">
        <f t="shared" si="153"/>
        <v>0</v>
      </c>
      <c r="AW271" s="1961">
        <f t="shared" si="154"/>
        <v>0</v>
      </c>
      <c r="AX271" s="19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1">
        <f t="shared" si="153"/>
        <v>0</v>
      </c>
      <c r="AW272" s="1961">
        <f t="shared" si="154"/>
        <v>0</v>
      </c>
      <c r="AX272" s="19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1">
        <f t="shared" si="153"/>
        <v>0</v>
      </c>
      <c r="AW273" s="1961">
        <f t="shared" si="154"/>
        <v>0</v>
      </c>
      <c r="AX273" s="19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1">
        <f t="shared" si="153"/>
        <v>0</v>
      </c>
      <c r="AW274" s="1961">
        <f t="shared" si="154"/>
        <v>0</v>
      </c>
      <c r="AX274" s="19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1">
        <f t="shared" si="153"/>
        <v>0</v>
      </c>
      <c r="AW275" s="1961">
        <f t="shared" si="154"/>
        <v>0</v>
      </c>
      <c r="AX275" s="19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1">
        <f t="shared" si="153"/>
        <v>0</v>
      </c>
      <c r="AW276" s="1961">
        <f t="shared" si="154"/>
        <v>0</v>
      </c>
      <c r="AX276" s="19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1">
        <f t="shared" si="153"/>
        <v>0</v>
      </c>
      <c r="AW277" s="1961">
        <f t="shared" si="154"/>
        <v>0</v>
      </c>
      <c r="AX277" s="19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1">
        <f t="shared" si="153"/>
        <v>0</v>
      </c>
      <c r="AW278" s="1961">
        <f t="shared" si="154"/>
        <v>0</v>
      </c>
      <c r="AX278" s="19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1">
        <f t="shared" si="153"/>
        <v>0</v>
      </c>
      <c r="AW279" s="1961">
        <f t="shared" si="154"/>
        <v>0</v>
      </c>
      <c r="AX279" s="19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1">
        <f t="shared" si="153"/>
        <v>0</v>
      </c>
      <c r="AW280" s="1961">
        <f t="shared" si="154"/>
        <v>0</v>
      </c>
      <c r="AX280" s="19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1">
        <f t="shared" si="153"/>
        <v>0</v>
      </c>
      <c r="AW281" s="1961">
        <f t="shared" si="154"/>
        <v>0</v>
      </c>
      <c r="AX281" s="19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1">
        <f t="shared" si="153"/>
        <v>0</v>
      </c>
      <c r="AW282" s="1961">
        <f t="shared" si="154"/>
        <v>0</v>
      </c>
      <c r="AX282" s="19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1">
        <f t="shared" si="153"/>
        <v>0</v>
      </c>
      <c r="AW283" s="1961">
        <f t="shared" si="154"/>
        <v>0</v>
      </c>
      <c r="AX283" s="19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1">
        <f t="shared" si="153"/>
        <v>0</v>
      </c>
      <c r="AW284" s="1961">
        <f t="shared" si="154"/>
        <v>0</v>
      </c>
      <c r="AX284" s="19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1">
        <f t="shared" si="153"/>
        <v>0</v>
      </c>
      <c r="AW285" s="1961">
        <f t="shared" si="154"/>
        <v>0</v>
      </c>
      <c r="AX285" s="19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1">
        <f t="shared" si="153"/>
        <v>0</v>
      </c>
      <c r="AW286" s="1961">
        <f t="shared" si="154"/>
        <v>0</v>
      </c>
      <c r="AX286" s="19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1">
        <f t="shared" si="153"/>
        <v>0</v>
      </c>
      <c r="AW287" s="1961">
        <f t="shared" si="154"/>
        <v>0</v>
      </c>
      <c r="AX287" s="19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1">
        <f t="shared" si="153"/>
        <v>0</v>
      </c>
      <c r="AW288" s="1961">
        <f t="shared" si="154"/>
        <v>0</v>
      </c>
      <c r="AX288" s="19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1">
        <f t="shared" si="153"/>
        <v>0</v>
      </c>
      <c r="AW289" s="1961">
        <f t="shared" si="154"/>
        <v>0</v>
      </c>
      <c r="AX289" s="19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1">
        <f t="shared" si="153"/>
        <v>0</v>
      </c>
      <c r="AW290" s="1961">
        <f t="shared" si="154"/>
        <v>0</v>
      </c>
      <c r="AX290" s="19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1">
        <f t="shared" si="153"/>
        <v>0</v>
      </c>
      <c r="AW291" s="1961">
        <f t="shared" si="154"/>
        <v>0</v>
      </c>
      <c r="AX291" s="19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1">
        <f t="shared" si="153"/>
        <v>0</v>
      </c>
      <c r="AW292" s="1961">
        <f t="shared" si="154"/>
        <v>0</v>
      </c>
      <c r="AX292" s="19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1">
        <f t="shared" si="153"/>
        <v>0</v>
      </c>
      <c r="AW293" s="1961">
        <f t="shared" si="154"/>
        <v>0</v>
      </c>
      <c r="AX293" s="19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1">
        <f t="shared" si="153"/>
        <v>0</v>
      </c>
      <c r="AW294" s="1961">
        <f t="shared" si="154"/>
        <v>0</v>
      </c>
      <c r="AX294" s="19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1">
        <f t="shared" si="153"/>
        <v>0</v>
      </c>
      <c r="AW295" s="1961">
        <f t="shared" si="154"/>
        <v>0</v>
      </c>
      <c r="AX295" s="19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1">
        <f t="shared" si="153"/>
        <v>0</v>
      </c>
      <c r="AW296" s="1961">
        <f t="shared" si="154"/>
        <v>0</v>
      </c>
      <c r="AX296" s="19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57"/>
      <c r="AO297" s="91"/>
      <c r="AP297" s="91"/>
      <c r="AQ297" s="91"/>
      <c r="AR297" s="91"/>
      <c r="AS297" s="91"/>
      <c r="AT297" s="92"/>
      <c r="AU297" s="93"/>
      <c r="AV297" s="1961">
        <f t="shared" ref="AV297:AV328" si="204">A297</f>
        <v>0</v>
      </c>
      <c r="AW297" s="1961">
        <f t="shared" ref="AW297:AW328" si="205">B297</f>
        <v>0</v>
      </c>
      <c r="AX297" s="19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1"/>
      <c r="AG298" s="91"/>
      <c r="AH298" s="91"/>
      <c r="AI298" s="91"/>
      <c r="AJ298" s="91"/>
      <c r="AK298" s="91"/>
      <c r="AL298" s="1357"/>
      <c r="AM298" s="91"/>
      <c r="AN298" s="1357"/>
      <c r="AO298" s="91"/>
      <c r="AP298" s="91"/>
      <c r="AQ298" s="91"/>
      <c r="AR298" s="91"/>
      <c r="AS298" s="91"/>
      <c r="AT298" s="92"/>
      <c r="AU298" s="93"/>
      <c r="AV298" s="1961">
        <f t="shared" si="204"/>
        <v>0</v>
      </c>
      <c r="AW298" s="1961">
        <f t="shared" si="205"/>
        <v>0</v>
      </c>
      <c r="AX298" s="19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57"/>
      <c r="AM299" s="91"/>
      <c r="AN299" s="1357"/>
      <c r="AO299" s="91"/>
      <c r="AP299" s="91"/>
      <c r="AQ299" s="91"/>
      <c r="AR299" s="91"/>
      <c r="AS299" s="91"/>
      <c r="AT299" s="92"/>
      <c r="AU299" s="93"/>
      <c r="AV299" s="1961">
        <f t="shared" si="204"/>
        <v>0</v>
      </c>
      <c r="AW299" s="1961">
        <f t="shared" si="205"/>
        <v>0</v>
      </c>
      <c r="AX299" s="19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57"/>
      <c r="AO300" s="91"/>
      <c r="AP300" s="91"/>
      <c r="AQ300" s="91"/>
      <c r="AR300" s="91"/>
      <c r="AS300" s="91"/>
      <c r="AT300" s="92"/>
      <c r="AU300" s="93"/>
      <c r="AV300" s="1961">
        <f t="shared" si="204"/>
        <v>0</v>
      </c>
      <c r="AW300" s="1961">
        <f t="shared" si="205"/>
        <v>0</v>
      </c>
      <c r="AX300" s="19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61">
        <f t="shared" si="204"/>
        <v>0</v>
      </c>
      <c r="AW301" s="1961">
        <f t="shared" si="205"/>
        <v>0</v>
      </c>
      <c r="AX301" s="19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61">
        <f t="shared" si="204"/>
        <v>0</v>
      </c>
      <c r="AW302" s="1961">
        <f t="shared" si="205"/>
        <v>0</v>
      </c>
      <c r="AX302" s="19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61">
        <f t="shared" si="204"/>
        <v>0</v>
      </c>
      <c r="AW303" s="1961">
        <f t="shared" si="205"/>
        <v>0</v>
      </c>
      <c r="AX303" s="19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61">
        <f t="shared" si="204"/>
        <v>0</v>
      </c>
      <c r="AW304" s="1961">
        <f t="shared" si="205"/>
        <v>0</v>
      </c>
      <c r="AX304" s="19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61">
        <f t="shared" si="204"/>
        <v>0</v>
      </c>
      <c r="AW305" s="1961">
        <f t="shared" si="205"/>
        <v>0</v>
      </c>
      <c r="AX305" s="19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61">
        <f t="shared" si="204"/>
        <v>0</v>
      </c>
      <c r="AW306" s="1961">
        <f t="shared" si="205"/>
        <v>0</v>
      </c>
      <c r="AX306" s="19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61">
        <f t="shared" si="204"/>
        <v>0</v>
      </c>
      <c r="AW307" s="1961">
        <f t="shared" si="205"/>
        <v>0</v>
      </c>
      <c r="AX307" s="19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61">
        <f t="shared" si="204"/>
        <v>0</v>
      </c>
      <c r="AW308" s="1961">
        <f t="shared" si="205"/>
        <v>0</v>
      </c>
      <c r="AX308" s="19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61">
        <f t="shared" si="204"/>
        <v>0</v>
      </c>
      <c r="AW309" s="1961">
        <f t="shared" si="205"/>
        <v>0</v>
      </c>
      <c r="AX309" s="19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61">
        <f t="shared" si="204"/>
        <v>0</v>
      </c>
      <c r="AW310" s="1961">
        <f t="shared" si="205"/>
        <v>0</v>
      </c>
      <c r="AX310" s="19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61">
        <f t="shared" si="204"/>
        <v>0</v>
      </c>
      <c r="AW311" s="1961">
        <f t="shared" si="205"/>
        <v>0</v>
      </c>
      <c r="AX311" s="19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61">
        <f t="shared" si="204"/>
        <v>0</v>
      </c>
      <c r="AW312" s="1961">
        <f t="shared" si="205"/>
        <v>0</v>
      </c>
      <c r="AX312" s="19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61">
        <f t="shared" si="204"/>
        <v>0</v>
      </c>
      <c r="AW313" s="1961">
        <f t="shared" si="205"/>
        <v>0</v>
      </c>
      <c r="AX313" s="19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61">
        <f t="shared" si="204"/>
        <v>0</v>
      </c>
      <c r="AW314" s="1961">
        <f t="shared" si="205"/>
        <v>0</v>
      </c>
      <c r="AX314" s="19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61">
        <f t="shared" si="204"/>
        <v>0</v>
      </c>
      <c r="AW315" s="1961">
        <f t="shared" si="205"/>
        <v>0</v>
      </c>
      <c r="AX315" s="19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61">
        <f t="shared" si="204"/>
        <v>0</v>
      </c>
      <c r="AW316" s="1961">
        <f t="shared" si="205"/>
        <v>0</v>
      </c>
      <c r="AX316" s="19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61">
        <f t="shared" si="204"/>
        <v>0</v>
      </c>
      <c r="AW317" s="1961">
        <f t="shared" si="205"/>
        <v>0</v>
      </c>
      <c r="AX317" s="19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61">
        <f t="shared" si="204"/>
        <v>0</v>
      </c>
      <c r="AW318" s="1961">
        <f t="shared" si="205"/>
        <v>0</v>
      </c>
      <c r="AX318" s="19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61">
        <f t="shared" si="204"/>
        <v>0</v>
      </c>
      <c r="AW319" s="1961">
        <f t="shared" si="205"/>
        <v>0</v>
      </c>
      <c r="AX319" s="19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61">
        <f t="shared" si="204"/>
        <v>0</v>
      </c>
      <c r="AW320" s="1961">
        <f t="shared" si="205"/>
        <v>0</v>
      </c>
      <c r="AX320" s="19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61">
        <f t="shared" si="204"/>
        <v>0</v>
      </c>
      <c r="AW321" s="1961">
        <f t="shared" si="205"/>
        <v>0</v>
      </c>
      <c r="AX321" s="19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61">
        <f t="shared" si="204"/>
        <v>0</v>
      </c>
      <c r="AW322" s="1961">
        <f t="shared" si="205"/>
        <v>0</v>
      </c>
      <c r="AX322" s="19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61">
        <f t="shared" si="204"/>
        <v>0</v>
      </c>
      <c r="AW323" s="1961">
        <f t="shared" si="205"/>
        <v>0</v>
      </c>
      <c r="AX323" s="19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61">
        <f t="shared" si="204"/>
        <v>0</v>
      </c>
      <c r="AW324" s="1961">
        <f t="shared" si="205"/>
        <v>0</v>
      </c>
      <c r="AX324" s="19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61">
        <f t="shared" si="204"/>
        <v>0</v>
      </c>
      <c r="AW325" s="1961">
        <f t="shared" si="205"/>
        <v>0</v>
      </c>
      <c r="AX325" s="19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61">
        <f t="shared" si="204"/>
        <v>0</v>
      </c>
      <c r="AW326" s="1961">
        <f t="shared" si="205"/>
        <v>0</v>
      </c>
      <c r="AX326" s="19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61">
        <f t="shared" si="204"/>
        <v>0</v>
      </c>
      <c r="AW327" s="1961">
        <f t="shared" si="205"/>
        <v>0</v>
      </c>
      <c r="AX327" s="19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61">
        <f t="shared" si="204"/>
        <v>0</v>
      </c>
      <c r="AW328" s="1961">
        <f t="shared" si="205"/>
        <v>0</v>
      </c>
      <c r="AX328" s="19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61">
        <f t="shared" ref="AV329:AV360" si="233">A329</f>
        <v>0</v>
      </c>
      <c r="AW329" s="1961">
        <f t="shared" ref="AW329:AW360" si="234">B329</f>
        <v>0</v>
      </c>
      <c r="AX329" s="19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61">
        <f t="shared" si="233"/>
        <v>0</v>
      </c>
      <c r="AW330" s="1961">
        <f t="shared" si="234"/>
        <v>0</v>
      </c>
      <c r="AX330" s="19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61">
        <f t="shared" si="233"/>
        <v>0</v>
      </c>
      <c r="AW331" s="1961">
        <f t="shared" si="234"/>
        <v>0</v>
      </c>
      <c r="AX331" s="19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1">
        <f t="shared" si="233"/>
        <v>0</v>
      </c>
      <c r="AW332" s="1961">
        <f t="shared" si="234"/>
        <v>0</v>
      </c>
      <c r="AX332" s="19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1">
        <f t="shared" si="233"/>
        <v>0</v>
      </c>
      <c r="AW333" s="1961">
        <f t="shared" si="234"/>
        <v>0</v>
      </c>
      <c r="AX333" s="19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1">
        <f t="shared" si="233"/>
        <v>0</v>
      </c>
      <c r="AW334" s="1961">
        <f t="shared" si="234"/>
        <v>0</v>
      </c>
      <c r="AX334" s="19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1">
        <f t="shared" si="233"/>
        <v>0</v>
      </c>
      <c r="AW335" s="1961">
        <f t="shared" si="234"/>
        <v>0</v>
      </c>
      <c r="AX335" s="19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1">
        <f t="shared" si="233"/>
        <v>0</v>
      </c>
      <c r="AW336" s="1961">
        <f t="shared" si="234"/>
        <v>0</v>
      </c>
      <c r="AX336" s="19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1">
        <f t="shared" si="233"/>
        <v>0</v>
      </c>
      <c r="AW337" s="1961">
        <f t="shared" si="234"/>
        <v>0</v>
      </c>
      <c r="AX337" s="19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1">
        <f t="shared" si="233"/>
        <v>0</v>
      </c>
      <c r="AW338" s="1961">
        <f t="shared" si="234"/>
        <v>0</v>
      </c>
      <c r="AX338" s="19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1">
        <f t="shared" si="233"/>
        <v>0</v>
      </c>
      <c r="AW339" s="1961">
        <f t="shared" si="234"/>
        <v>0</v>
      </c>
      <c r="AX339" s="19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1">
        <f t="shared" si="233"/>
        <v>0</v>
      </c>
      <c r="AW340" s="1961">
        <f t="shared" si="234"/>
        <v>0</v>
      </c>
      <c r="AX340" s="19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1">
        <f t="shared" si="233"/>
        <v>0</v>
      </c>
      <c r="AW341" s="1961">
        <f t="shared" si="234"/>
        <v>0</v>
      </c>
      <c r="AX341" s="19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1">
        <f t="shared" si="233"/>
        <v>0</v>
      </c>
      <c r="AW342" s="1961">
        <f t="shared" si="234"/>
        <v>0</v>
      </c>
      <c r="AX342" s="19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1">
        <f t="shared" si="233"/>
        <v>0</v>
      </c>
      <c r="AW343" s="1961">
        <f t="shared" si="234"/>
        <v>0</v>
      </c>
      <c r="AX343" s="19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1">
        <f t="shared" si="233"/>
        <v>0</v>
      </c>
      <c r="AW344" s="1961">
        <f t="shared" si="234"/>
        <v>0</v>
      </c>
      <c r="AX344" s="19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1">
        <f t="shared" si="233"/>
        <v>0</v>
      </c>
      <c r="AW345" s="1961">
        <f t="shared" si="234"/>
        <v>0</v>
      </c>
      <c r="AX345" s="19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1">
        <f t="shared" si="233"/>
        <v>0</v>
      </c>
      <c r="AW346" s="1961">
        <f t="shared" si="234"/>
        <v>0</v>
      </c>
      <c r="AX346" s="19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1">
        <f t="shared" si="233"/>
        <v>0</v>
      </c>
      <c r="AW347" s="1961">
        <f t="shared" si="234"/>
        <v>0</v>
      </c>
      <c r="AX347" s="19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1">
        <f t="shared" si="233"/>
        <v>0</v>
      </c>
      <c r="AW348" s="1961">
        <f t="shared" si="234"/>
        <v>0</v>
      </c>
      <c r="AX348" s="19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1">
        <f t="shared" si="233"/>
        <v>0</v>
      </c>
      <c r="AW349" s="1961">
        <f t="shared" si="234"/>
        <v>0</v>
      </c>
      <c r="AX349" s="19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1">
        <f t="shared" si="233"/>
        <v>0</v>
      </c>
      <c r="AW350" s="1961">
        <f t="shared" si="234"/>
        <v>0</v>
      </c>
      <c r="AX350" s="19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1">
        <f t="shared" si="233"/>
        <v>0</v>
      </c>
      <c r="AW351" s="1961">
        <f t="shared" si="234"/>
        <v>0</v>
      </c>
      <c r="AX351" s="19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1">
        <f t="shared" si="233"/>
        <v>0</v>
      </c>
      <c r="AW352" s="1961">
        <f t="shared" si="234"/>
        <v>0</v>
      </c>
      <c r="AX352" s="19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1">
        <f t="shared" si="233"/>
        <v>0</v>
      </c>
      <c r="AW353" s="1961">
        <f t="shared" si="234"/>
        <v>0</v>
      </c>
      <c r="AX353" s="19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1">
        <f t="shared" si="233"/>
        <v>0</v>
      </c>
      <c r="AW354" s="1961">
        <f t="shared" si="234"/>
        <v>0</v>
      </c>
      <c r="AX354" s="19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1">
        <f t="shared" si="233"/>
        <v>0</v>
      </c>
      <c r="AW355" s="1961">
        <f t="shared" si="234"/>
        <v>0</v>
      </c>
      <c r="AX355" s="19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1">
        <f t="shared" si="233"/>
        <v>0</v>
      </c>
      <c r="AW356" s="1961">
        <f t="shared" si="234"/>
        <v>0</v>
      </c>
      <c r="AX356" s="19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1">
        <f t="shared" si="233"/>
        <v>0</v>
      </c>
      <c r="AW357" s="1961">
        <f t="shared" si="234"/>
        <v>0</v>
      </c>
      <c r="AX357" s="19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1">
        <f t="shared" si="233"/>
        <v>0</v>
      </c>
      <c r="AW358" s="1961">
        <f t="shared" si="234"/>
        <v>0</v>
      </c>
      <c r="AX358" s="19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1">
        <f t="shared" si="233"/>
        <v>0</v>
      </c>
      <c r="AW359" s="1961">
        <f t="shared" si="234"/>
        <v>0</v>
      </c>
      <c r="AX359" s="19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1">
        <f t="shared" si="233"/>
        <v>0</v>
      </c>
      <c r="AW360" s="1961">
        <f t="shared" si="234"/>
        <v>0</v>
      </c>
      <c r="AX360" s="19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1">
        <f t="shared" ref="AV361:AV388" si="262">A361</f>
        <v>0</v>
      </c>
      <c r="AW361" s="1961">
        <f t="shared" ref="AW361:AW388" si="263">B361</f>
        <v>0</v>
      </c>
      <c r="AX361" s="19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1">
        <f t="shared" si="262"/>
        <v>0</v>
      </c>
      <c r="AW362" s="1961">
        <f t="shared" si="263"/>
        <v>0</v>
      </c>
      <c r="AX362" s="19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1">
        <f t="shared" si="262"/>
        <v>0</v>
      </c>
      <c r="AW363" s="1961">
        <f t="shared" si="263"/>
        <v>0</v>
      </c>
      <c r="AX363" s="19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1">
        <f t="shared" si="262"/>
        <v>0</v>
      </c>
      <c r="AW364" s="1961">
        <f t="shared" si="263"/>
        <v>0</v>
      </c>
      <c r="AX364" s="19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1">
        <f t="shared" si="262"/>
        <v>0</v>
      </c>
      <c r="AW365" s="1961">
        <f t="shared" si="263"/>
        <v>0</v>
      </c>
      <c r="AX365" s="19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1">
        <f t="shared" si="262"/>
        <v>0</v>
      </c>
      <c r="AW366" s="1961">
        <f t="shared" si="263"/>
        <v>0</v>
      </c>
      <c r="AX366" s="19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1">
        <f t="shared" si="262"/>
        <v>0</v>
      </c>
      <c r="AW367" s="1961">
        <f t="shared" si="263"/>
        <v>0</v>
      </c>
      <c r="AX367" s="19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1">
        <f t="shared" si="262"/>
        <v>0</v>
      </c>
      <c r="AW368" s="1961">
        <f t="shared" si="263"/>
        <v>0</v>
      </c>
      <c r="AX368" s="19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1">
        <f t="shared" si="262"/>
        <v>0</v>
      </c>
      <c r="AW369" s="1961">
        <f t="shared" si="263"/>
        <v>0</v>
      </c>
      <c r="AX369" s="19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1">
        <f t="shared" si="262"/>
        <v>0</v>
      </c>
      <c r="AW370" s="1961">
        <f t="shared" si="263"/>
        <v>0</v>
      </c>
      <c r="AX370" s="19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1">
        <f t="shared" si="262"/>
        <v>0</v>
      </c>
      <c r="AW371" s="1961">
        <f t="shared" si="263"/>
        <v>0</v>
      </c>
      <c r="AX371" s="19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1">
        <f t="shared" si="262"/>
        <v>0</v>
      </c>
      <c r="AW372" s="1961">
        <f t="shared" si="263"/>
        <v>0</v>
      </c>
      <c r="AX372" s="19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1">
        <f t="shared" si="262"/>
        <v>0</v>
      </c>
      <c r="AW373" s="1961">
        <f t="shared" si="263"/>
        <v>0</v>
      </c>
      <c r="AX373" s="19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1">
        <f t="shared" si="262"/>
        <v>0</v>
      </c>
      <c r="AW374" s="1961">
        <f t="shared" si="263"/>
        <v>0</v>
      </c>
      <c r="AX374" s="19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1">
        <f t="shared" si="262"/>
        <v>0</v>
      </c>
      <c r="AW375" s="1961">
        <f t="shared" si="263"/>
        <v>0</v>
      </c>
      <c r="AX375" s="19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1">
        <f t="shared" si="262"/>
        <v>0</v>
      </c>
      <c r="AW376" s="1961">
        <f t="shared" si="263"/>
        <v>0</v>
      </c>
      <c r="AX376" s="19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1">
        <f t="shared" si="262"/>
        <v>0</v>
      </c>
      <c r="AW377" s="1961">
        <f t="shared" si="263"/>
        <v>0</v>
      </c>
      <c r="AX377" s="19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1">
        <f t="shared" si="262"/>
        <v>0</v>
      </c>
      <c r="AW378" s="1961">
        <f t="shared" si="263"/>
        <v>0</v>
      </c>
      <c r="AX378" s="19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1">
        <f t="shared" si="262"/>
        <v>0</v>
      </c>
      <c r="AW379" s="1961">
        <f t="shared" si="263"/>
        <v>0</v>
      </c>
      <c r="AX379" s="19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1">
        <f t="shared" si="262"/>
        <v>0</v>
      </c>
      <c r="AW380" s="1961">
        <f t="shared" si="263"/>
        <v>0</v>
      </c>
      <c r="AX380" s="19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1">
        <f t="shared" si="262"/>
        <v>0</v>
      </c>
      <c r="AW381" s="1961">
        <f t="shared" si="263"/>
        <v>0</v>
      </c>
      <c r="AX381" s="19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1">
        <f t="shared" si="262"/>
        <v>0</v>
      </c>
      <c r="AW382" s="1961">
        <f t="shared" si="263"/>
        <v>0</v>
      </c>
      <c r="AX382" s="19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1">
        <f t="shared" si="262"/>
        <v>0</v>
      </c>
      <c r="AW383" s="1961">
        <f t="shared" si="263"/>
        <v>0</v>
      </c>
      <c r="AX383" s="19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1">
        <f t="shared" si="262"/>
        <v>0</v>
      </c>
      <c r="AW384" s="1961">
        <f t="shared" si="263"/>
        <v>0</v>
      </c>
      <c r="AX384" s="19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1">
        <f t="shared" si="262"/>
        <v>0</v>
      </c>
      <c r="AW385" s="1961">
        <f t="shared" si="263"/>
        <v>0</v>
      </c>
      <c r="AX385" s="19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1">
        <f t="shared" si="262"/>
        <v>0</v>
      </c>
      <c r="AW386" s="1961">
        <f t="shared" si="263"/>
        <v>0</v>
      </c>
      <c r="AX386" s="19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1">
        <f t="shared" si="262"/>
        <v>0</v>
      </c>
      <c r="AW387" s="1961">
        <f t="shared" si="263"/>
        <v>0</v>
      </c>
      <c r="AX387" s="19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1">
        <f t="shared" si="262"/>
        <v>0</v>
      </c>
      <c r="AW388" s="1961">
        <f t="shared" si="263"/>
        <v>0</v>
      </c>
      <c r="AX388" s="19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57"/>
      <c r="AO389" s="91"/>
      <c r="AP389" s="91"/>
      <c r="AQ389" s="91"/>
      <c r="AR389" s="91"/>
      <c r="AS389" s="91"/>
      <c r="AT389" s="92"/>
      <c r="AU389" s="93"/>
      <c r="AV389" s="1961">
        <f t="shared" ref="AV389:AV480" si="269">A389</f>
        <v>0</v>
      </c>
      <c r="AW389" s="1961">
        <f t="shared" ref="AW389:AW480" si="270">B389</f>
        <v>0</v>
      </c>
      <c r="AX389" s="19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1"/>
      <c r="AG390" s="91"/>
      <c r="AH390" s="91"/>
      <c r="AI390" s="91"/>
      <c r="AJ390" s="91"/>
      <c r="AK390" s="91"/>
      <c r="AL390" s="1357"/>
      <c r="AM390" s="91"/>
      <c r="AN390" s="1357"/>
      <c r="AO390" s="91"/>
      <c r="AP390" s="91"/>
      <c r="AQ390" s="91"/>
      <c r="AR390" s="91"/>
      <c r="AS390" s="91"/>
      <c r="AT390" s="92"/>
      <c r="AU390" s="93"/>
      <c r="AV390" s="1961">
        <f t="shared" si="269"/>
        <v>0</v>
      </c>
      <c r="AW390" s="1961">
        <f t="shared" si="270"/>
        <v>0</v>
      </c>
      <c r="AX390" s="19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57"/>
      <c r="AM391" s="91"/>
      <c r="AN391" s="1357"/>
      <c r="AO391" s="91"/>
      <c r="AP391" s="91"/>
      <c r="AQ391" s="91"/>
      <c r="AR391" s="91"/>
      <c r="AS391" s="91"/>
      <c r="AT391" s="92"/>
      <c r="AU391" s="93"/>
      <c r="AV391" s="1961">
        <f t="shared" si="269"/>
        <v>0</v>
      </c>
      <c r="AW391" s="1961">
        <f t="shared" si="270"/>
        <v>0</v>
      </c>
      <c r="AX391" s="19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57"/>
      <c r="AO392" s="91"/>
      <c r="AP392" s="91"/>
      <c r="AQ392" s="91"/>
      <c r="AR392" s="91"/>
      <c r="AS392" s="91"/>
      <c r="AT392" s="92"/>
      <c r="AU392" s="93"/>
      <c r="AV392" s="1961">
        <f t="shared" si="269"/>
        <v>0</v>
      </c>
      <c r="AW392" s="1961">
        <f t="shared" si="270"/>
        <v>0</v>
      </c>
      <c r="AX392" s="19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61">
        <f t="shared" si="269"/>
        <v>0</v>
      </c>
      <c r="AW393" s="1961">
        <f t="shared" si="270"/>
        <v>0</v>
      </c>
      <c r="AX393" s="19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61">
        <f t="shared" si="269"/>
        <v>0</v>
      </c>
      <c r="AW394" s="1961">
        <f t="shared" si="270"/>
        <v>0</v>
      </c>
      <c r="AX394" s="19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61">
        <f t="shared" si="269"/>
        <v>0</v>
      </c>
      <c r="AW395" s="1961">
        <f t="shared" si="270"/>
        <v>0</v>
      </c>
      <c r="AX395" s="19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61">
        <f t="shared" si="269"/>
        <v>0</v>
      </c>
      <c r="AW396" s="1961">
        <f t="shared" si="270"/>
        <v>0</v>
      </c>
      <c r="AX396" s="19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61">
        <f t="shared" si="269"/>
        <v>0</v>
      </c>
      <c r="AW397" s="1961">
        <f t="shared" si="270"/>
        <v>0</v>
      </c>
      <c r="AX397" s="19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61">
        <f t="shared" si="269"/>
        <v>0</v>
      </c>
      <c r="AW398" s="1961">
        <f t="shared" si="270"/>
        <v>0</v>
      </c>
      <c r="AX398" s="19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61">
        <f t="shared" si="269"/>
        <v>0</v>
      </c>
      <c r="AW399" s="1961">
        <f t="shared" si="270"/>
        <v>0</v>
      </c>
      <c r="AX399" s="19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61">
        <f t="shared" si="269"/>
        <v>0</v>
      </c>
      <c r="AW400" s="1961">
        <f t="shared" si="270"/>
        <v>0</v>
      </c>
      <c r="AX400" s="19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61">
        <f t="shared" si="269"/>
        <v>0</v>
      </c>
      <c r="AW401" s="1961">
        <f t="shared" si="270"/>
        <v>0</v>
      </c>
      <c r="AX401" s="19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61">
        <f t="shared" si="269"/>
        <v>0</v>
      </c>
      <c r="AW402" s="1961">
        <f t="shared" si="270"/>
        <v>0</v>
      </c>
      <c r="AX402" s="19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61">
        <f t="shared" si="269"/>
        <v>0</v>
      </c>
      <c r="AW403" s="1961">
        <f t="shared" si="270"/>
        <v>0</v>
      </c>
      <c r="AX403" s="19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61">
        <f t="shared" si="269"/>
        <v>0</v>
      </c>
      <c r="AW404" s="1961">
        <f t="shared" si="270"/>
        <v>0</v>
      </c>
      <c r="AX404" s="19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61">
        <f t="shared" si="269"/>
        <v>0</v>
      </c>
      <c r="AW405" s="1961">
        <f t="shared" si="270"/>
        <v>0</v>
      </c>
      <c r="AX405" s="19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61">
        <f t="shared" si="269"/>
        <v>0</v>
      </c>
      <c r="AW406" s="1961">
        <f t="shared" si="270"/>
        <v>0</v>
      </c>
      <c r="AX406" s="19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61">
        <f t="shared" si="269"/>
        <v>0</v>
      </c>
      <c r="AW407" s="1961">
        <f t="shared" si="270"/>
        <v>0</v>
      </c>
      <c r="AX407" s="19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61">
        <f t="shared" si="269"/>
        <v>0</v>
      </c>
      <c r="AW408" s="1961">
        <f t="shared" si="270"/>
        <v>0</v>
      </c>
      <c r="AX408" s="19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61">
        <f t="shared" si="269"/>
        <v>0</v>
      </c>
      <c r="AW409" s="1961">
        <f t="shared" si="270"/>
        <v>0</v>
      </c>
      <c r="AX409" s="19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61">
        <f t="shared" si="269"/>
        <v>0</v>
      </c>
      <c r="AW410" s="1961">
        <f t="shared" si="270"/>
        <v>0</v>
      </c>
      <c r="AX410" s="19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61">
        <f t="shared" si="269"/>
        <v>0</v>
      </c>
      <c r="AW411" s="1961">
        <f t="shared" si="270"/>
        <v>0</v>
      </c>
      <c r="AX411" s="19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61">
        <f t="shared" si="269"/>
        <v>0</v>
      </c>
      <c r="AW412" s="1961">
        <f t="shared" si="270"/>
        <v>0</v>
      </c>
      <c r="AX412" s="19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61">
        <f t="shared" si="269"/>
        <v>0</v>
      </c>
      <c r="AW413" s="1961">
        <f t="shared" si="270"/>
        <v>0</v>
      </c>
      <c r="AX413" s="19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61">
        <f t="shared" si="269"/>
        <v>0</v>
      </c>
      <c r="AW414" s="1961">
        <f t="shared" si="270"/>
        <v>0</v>
      </c>
      <c r="AX414" s="19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61">
        <f t="shared" si="269"/>
        <v>0</v>
      </c>
      <c r="AW415" s="1961">
        <f t="shared" si="270"/>
        <v>0</v>
      </c>
      <c r="AX415" s="19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61">
        <f t="shared" si="269"/>
        <v>0</v>
      </c>
      <c r="AW416" s="1961">
        <f t="shared" si="270"/>
        <v>0</v>
      </c>
      <c r="AX416" s="19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61">
        <f t="shared" si="269"/>
        <v>0</v>
      </c>
      <c r="AW417" s="1961">
        <f t="shared" si="270"/>
        <v>0</v>
      </c>
      <c r="AX417" s="19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61">
        <f t="shared" si="269"/>
        <v>0</v>
      </c>
      <c r="AW418" s="1961">
        <f t="shared" si="270"/>
        <v>0</v>
      </c>
      <c r="AX418" s="19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61">
        <f t="shared" si="269"/>
        <v>0</v>
      </c>
      <c r="AW419" s="1961">
        <f t="shared" si="270"/>
        <v>0</v>
      </c>
      <c r="AX419" s="19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61">
        <f t="shared" si="269"/>
        <v>0</v>
      </c>
      <c r="AW420" s="1961">
        <f t="shared" si="270"/>
        <v>0</v>
      </c>
      <c r="AX420" s="19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61">
        <f t="shared" si="269"/>
        <v>0</v>
      </c>
      <c r="AW421" s="1961">
        <f t="shared" si="270"/>
        <v>0</v>
      </c>
      <c r="AX421" s="19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61">
        <f t="shared" si="269"/>
        <v>0</v>
      </c>
      <c r="AW422" s="1961">
        <f t="shared" si="270"/>
        <v>0</v>
      </c>
      <c r="AX422" s="19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61">
        <f t="shared" si="269"/>
        <v>0</v>
      </c>
      <c r="AW423" s="1961">
        <f t="shared" si="270"/>
        <v>0</v>
      </c>
      <c r="AX423" s="19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1">
        <f t="shared" si="269"/>
        <v>0</v>
      </c>
      <c r="AW424" s="1961">
        <f t="shared" si="270"/>
        <v>0</v>
      </c>
      <c r="AX424" s="19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1">
        <f t="shared" si="269"/>
        <v>0</v>
      </c>
      <c r="AW425" s="1961">
        <f t="shared" si="270"/>
        <v>0</v>
      </c>
      <c r="AX425" s="19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1">
        <f t="shared" si="269"/>
        <v>0</v>
      </c>
      <c r="AW426" s="1961">
        <f t="shared" si="270"/>
        <v>0</v>
      </c>
      <c r="AX426" s="19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1">
        <f t="shared" si="269"/>
        <v>0</v>
      </c>
      <c r="AW427" s="1961">
        <f t="shared" si="270"/>
        <v>0</v>
      </c>
      <c r="AX427" s="19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1">
        <f t="shared" si="269"/>
        <v>0</v>
      </c>
      <c r="AW428" s="1961">
        <f t="shared" si="270"/>
        <v>0</v>
      </c>
      <c r="AX428" s="19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1">
        <f t="shared" si="269"/>
        <v>0</v>
      </c>
      <c r="AW429" s="1961">
        <f t="shared" si="270"/>
        <v>0</v>
      </c>
      <c r="AX429" s="19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1">
        <f t="shared" si="269"/>
        <v>0</v>
      </c>
      <c r="AW430" s="1961">
        <f t="shared" si="270"/>
        <v>0</v>
      </c>
      <c r="AX430" s="19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1">
        <f t="shared" si="269"/>
        <v>0</v>
      </c>
      <c r="AW431" s="1961">
        <f t="shared" si="270"/>
        <v>0</v>
      </c>
      <c r="AX431" s="19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1">
        <f t="shared" si="269"/>
        <v>0</v>
      </c>
      <c r="AW432" s="1961">
        <f t="shared" si="270"/>
        <v>0</v>
      </c>
      <c r="AX432" s="19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1">
        <f t="shared" si="269"/>
        <v>0</v>
      </c>
      <c r="AW433" s="1961">
        <f t="shared" si="270"/>
        <v>0</v>
      </c>
      <c r="AX433" s="19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1">
        <f t="shared" si="269"/>
        <v>0</v>
      </c>
      <c r="AW434" s="1961">
        <f t="shared" si="270"/>
        <v>0</v>
      </c>
      <c r="AX434" s="19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1">
        <f t="shared" si="269"/>
        <v>0</v>
      </c>
      <c r="AW435" s="1961">
        <f t="shared" si="270"/>
        <v>0</v>
      </c>
      <c r="AX435" s="19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1">
        <f t="shared" si="269"/>
        <v>0</v>
      </c>
      <c r="AW436" s="1961">
        <f t="shared" si="270"/>
        <v>0</v>
      </c>
      <c r="AX436" s="19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1">
        <f t="shared" si="269"/>
        <v>0</v>
      </c>
      <c r="AW437" s="1961">
        <f t="shared" si="270"/>
        <v>0</v>
      </c>
      <c r="AX437" s="19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1">
        <f t="shared" si="269"/>
        <v>0</v>
      </c>
      <c r="AW438" s="1961">
        <f t="shared" si="270"/>
        <v>0</v>
      </c>
      <c r="AX438" s="19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1">
        <f t="shared" si="269"/>
        <v>0</v>
      </c>
      <c r="AW439" s="1961">
        <f t="shared" si="270"/>
        <v>0</v>
      </c>
      <c r="AX439" s="19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1">
        <f t="shared" si="269"/>
        <v>0</v>
      </c>
      <c r="AW440" s="1961">
        <f t="shared" si="270"/>
        <v>0</v>
      </c>
      <c r="AX440" s="19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1">
        <f t="shared" si="269"/>
        <v>0</v>
      </c>
      <c r="AW441" s="1961">
        <f t="shared" si="270"/>
        <v>0</v>
      </c>
      <c r="AX441" s="19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1">
        <f t="shared" si="269"/>
        <v>0</v>
      </c>
      <c r="AW442" s="1961">
        <f t="shared" si="270"/>
        <v>0</v>
      </c>
      <c r="AX442" s="19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1">
        <f t="shared" si="269"/>
        <v>0</v>
      </c>
      <c r="AW443" s="1961">
        <f t="shared" si="270"/>
        <v>0</v>
      </c>
      <c r="AX443" s="19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1">
        <f t="shared" si="269"/>
        <v>0</v>
      </c>
      <c r="AW444" s="1961">
        <f t="shared" si="270"/>
        <v>0</v>
      </c>
      <c r="AX444" s="19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1">
        <f t="shared" si="269"/>
        <v>0</v>
      </c>
      <c r="AW445" s="1961">
        <f t="shared" si="270"/>
        <v>0</v>
      </c>
      <c r="AX445" s="19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1">
        <f t="shared" si="269"/>
        <v>0</v>
      </c>
      <c r="AW446" s="1961">
        <f t="shared" si="270"/>
        <v>0</v>
      </c>
      <c r="AX446" s="19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1">
        <f t="shared" si="269"/>
        <v>0</v>
      </c>
      <c r="AW447" s="1961">
        <f t="shared" si="270"/>
        <v>0</v>
      </c>
      <c r="AX447" s="19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1">
        <f t="shared" si="269"/>
        <v>0</v>
      </c>
      <c r="AW448" s="1961">
        <f t="shared" si="270"/>
        <v>0</v>
      </c>
      <c r="AX448" s="19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1">
        <f t="shared" si="269"/>
        <v>0</v>
      </c>
      <c r="AW449" s="1961">
        <f t="shared" si="270"/>
        <v>0</v>
      </c>
      <c r="AX449" s="19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1">
        <f t="shared" si="269"/>
        <v>0</v>
      </c>
      <c r="AW450" s="1961">
        <f t="shared" si="270"/>
        <v>0</v>
      </c>
      <c r="AX450" s="19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1">
        <f t="shared" si="269"/>
        <v>0</v>
      </c>
      <c r="AW451" s="1961">
        <f t="shared" si="270"/>
        <v>0</v>
      </c>
      <c r="AX451" s="19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1">
        <f t="shared" si="269"/>
        <v>0</v>
      </c>
      <c r="AW452" s="1961">
        <f t="shared" si="270"/>
        <v>0</v>
      </c>
      <c r="AX452" s="19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1">
        <f t="shared" si="269"/>
        <v>0</v>
      </c>
      <c r="AW453" s="1961">
        <f t="shared" si="270"/>
        <v>0</v>
      </c>
      <c r="AX453" s="19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1">
        <f t="shared" si="269"/>
        <v>0</v>
      </c>
      <c r="AW454" s="1961">
        <f t="shared" si="270"/>
        <v>0</v>
      </c>
      <c r="AX454" s="19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1">
        <f t="shared" si="269"/>
        <v>0</v>
      </c>
      <c r="AW455" s="1961">
        <f t="shared" si="270"/>
        <v>0</v>
      </c>
      <c r="AX455" s="19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1">
        <f t="shared" si="269"/>
        <v>0</v>
      </c>
      <c r="AW456" s="1961">
        <f t="shared" si="270"/>
        <v>0</v>
      </c>
      <c r="AX456" s="19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1">
        <f t="shared" si="269"/>
        <v>0</v>
      </c>
      <c r="AW457" s="1961">
        <f t="shared" si="270"/>
        <v>0</v>
      </c>
      <c r="AX457" s="19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1">
        <f t="shared" si="269"/>
        <v>0</v>
      </c>
      <c r="AW458" s="1961">
        <f t="shared" si="270"/>
        <v>0</v>
      </c>
      <c r="AX458" s="19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1">
        <f t="shared" si="269"/>
        <v>0</v>
      </c>
      <c r="AW459" s="1961">
        <f t="shared" si="270"/>
        <v>0</v>
      </c>
      <c r="AX459" s="19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1">
        <f t="shared" si="269"/>
        <v>0</v>
      </c>
      <c r="AW460" s="1961">
        <f t="shared" si="270"/>
        <v>0</v>
      </c>
      <c r="AX460" s="19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1">
        <f t="shared" si="269"/>
        <v>0</v>
      </c>
      <c r="AW461" s="1961">
        <f t="shared" si="270"/>
        <v>0</v>
      </c>
      <c r="AX461" s="19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1">
        <f t="shared" si="269"/>
        <v>0</v>
      </c>
      <c r="AW462" s="1961">
        <f t="shared" si="270"/>
        <v>0</v>
      </c>
      <c r="AX462" s="19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1">
        <f t="shared" si="269"/>
        <v>0</v>
      </c>
      <c r="AW463" s="1961">
        <f t="shared" si="270"/>
        <v>0</v>
      </c>
      <c r="AX463" s="19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1">
        <f t="shared" si="269"/>
        <v>0</v>
      </c>
      <c r="AW464" s="1961">
        <f t="shared" si="270"/>
        <v>0</v>
      </c>
      <c r="AX464" s="19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1">
        <f t="shared" si="269"/>
        <v>0</v>
      </c>
      <c r="AW465" s="1961">
        <f t="shared" si="270"/>
        <v>0</v>
      </c>
      <c r="AX465" s="19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1">
        <f t="shared" si="269"/>
        <v>0</v>
      </c>
      <c r="AW466" s="1961">
        <f t="shared" si="270"/>
        <v>0</v>
      </c>
      <c r="AX466" s="19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1">
        <f t="shared" si="269"/>
        <v>0</v>
      </c>
      <c r="AW467" s="1961">
        <f t="shared" si="270"/>
        <v>0</v>
      </c>
      <c r="AX467" s="19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1">
        <f t="shared" si="269"/>
        <v>0</v>
      </c>
      <c r="AW468" s="1961">
        <f t="shared" si="270"/>
        <v>0</v>
      </c>
      <c r="AX468" s="19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1">
        <f t="shared" si="269"/>
        <v>0</v>
      </c>
      <c r="AW469" s="1961">
        <f t="shared" si="270"/>
        <v>0</v>
      </c>
      <c r="AX469" s="19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1">
        <f t="shared" si="269"/>
        <v>0</v>
      </c>
      <c r="AW470" s="1961">
        <f t="shared" si="270"/>
        <v>0</v>
      </c>
      <c r="AX470" s="19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1">
        <f t="shared" si="269"/>
        <v>0</v>
      </c>
      <c r="AW471" s="1961">
        <f t="shared" si="270"/>
        <v>0</v>
      </c>
      <c r="AX471" s="19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1">
        <f t="shared" si="269"/>
        <v>0</v>
      </c>
      <c r="AW472" s="1961">
        <f t="shared" si="270"/>
        <v>0</v>
      </c>
      <c r="AX472" s="19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1">
        <f t="shared" si="269"/>
        <v>0</v>
      </c>
      <c r="AW473" s="1961">
        <f t="shared" si="270"/>
        <v>0</v>
      </c>
      <c r="AX473" s="19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1">
        <f t="shared" si="269"/>
        <v>0</v>
      </c>
      <c r="AW474" s="1961">
        <f t="shared" si="270"/>
        <v>0</v>
      </c>
      <c r="AX474" s="19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1">
        <f t="shared" si="269"/>
        <v>0</v>
      </c>
      <c r="AW475" s="1961">
        <f t="shared" si="270"/>
        <v>0</v>
      </c>
      <c r="AX475" s="19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1">
        <f t="shared" si="269"/>
        <v>0</v>
      </c>
      <c r="AW476" s="1961">
        <f t="shared" si="270"/>
        <v>0</v>
      </c>
      <c r="AX476" s="19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1">
        <f t="shared" si="269"/>
        <v>0</v>
      </c>
      <c r="AW477" s="1961">
        <f t="shared" si="270"/>
        <v>0</v>
      </c>
      <c r="AX477" s="19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1">
        <f t="shared" si="269"/>
        <v>0</v>
      </c>
      <c r="AW478" s="1961">
        <f t="shared" si="270"/>
        <v>0</v>
      </c>
      <c r="AX478" s="19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1">
        <f t="shared" si="269"/>
        <v>0</v>
      </c>
      <c r="AW479" s="1961">
        <f t="shared" si="270"/>
        <v>0</v>
      </c>
      <c r="AX479" s="19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1">
        <f t="shared" si="269"/>
        <v>0</v>
      </c>
      <c r="AW480" s="1961">
        <f t="shared" si="270"/>
        <v>0</v>
      </c>
      <c r="AX480" s="19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1"/>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3" t="s">
        <v>202</v>
      </c>
      <c r="B1" s="1966"/>
      <c r="C1" s="1966"/>
      <c r="D1" s="1966"/>
      <c r="E1" s="1966"/>
      <c r="F1" s="1966"/>
      <c r="G1" s="1966"/>
      <c r="H1" s="1966"/>
      <c r="I1" s="1966"/>
      <c r="J1" s="1966"/>
      <c r="K1" s="1966"/>
      <c r="L1" s="1966"/>
    </row>
    <row r="2" spans="1:16" ht="15">
      <c r="A2" s="3288" t="s">
        <v>203</v>
      </c>
      <c r="B2" s="3288"/>
      <c r="C2" s="3288"/>
      <c r="D2" s="1957" t="s">
        <v>204</v>
      </c>
      <c r="E2" s="105" t="s">
        <v>205</v>
      </c>
      <c r="F2" s="1966"/>
      <c r="G2" s="1191"/>
      <c r="H2" s="1192"/>
      <c r="I2" s="1193" t="s">
        <v>856</v>
      </c>
      <c r="J2" s="1966"/>
      <c r="K2" s="1966"/>
      <c r="L2" s="1966"/>
    </row>
    <row r="3" spans="1:16" ht="15.75" thickBot="1">
      <c r="A3" s="3289" t="s">
        <v>206</v>
      </c>
      <c r="B3" s="3289"/>
      <c r="C3" s="3289"/>
      <c r="D3" s="106">
        <f>'数据-基础表'!AY6</f>
        <v>285760.2</v>
      </c>
      <c r="E3" s="106">
        <f>'数据-基础表'!AZ5</f>
        <v>939662.47000000009</v>
      </c>
      <c r="F3" s="1966"/>
      <c r="G3" s="279" t="s">
        <v>857</v>
      </c>
      <c r="H3" s="274" t="s">
        <v>858</v>
      </c>
      <c r="I3" s="1958">
        <f>ROUND('数据-基础表'!B3/'数据-基础表'!A3,2)</f>
        <v>3.29</v>
      </c>
      <c r="J3" s="1966"/>
      <c r="K3" s="1966"/>
      <c r="L3" s="1966"/>
    </row>
    <row r="4" spans="1:16" ht="15">
      <c r="A4" s="3290"/>
      <c r="B4" s="3291"/>
      <c r="C4" s="3292"/>
      <c r="D4" s="107" t="s">
        <v>204</v>
      </c>
      <c r="E4" s="108" t="s">
        <v>205</v>
      </c>
      <c r="F4" s="1966"/>
      <c r="G4" s="1194"/>
      <c r="H4" s="274" t="s">
        <v>859</v>
      </c>
      <c r="I4" s="1958">
        <f>ROUND(SUMIF('数据-基础表'!I9:AS9,"地上",'数据-基础表'!I5:AS5)/'数据-基础表'!A3,2)</f>
        <v>2.1800000000000002</v>
      </c>
      <c r="J4" s="1966"/>
      <c r="K4" s="1966"/>
      <c r="L4" s="1966"/>
    </row>
    <row r="5" spans="1:16">
      <c r="A5" s="109" t="s">
        <v>207</v>
      </c>
      <c r="B5" s="3293" t="s">
        <v>230</v>
      </c>
      <c r="C5" s="3293"/>
      <c r="D5" s="110">
        <f>ROUND($D$3*E5/$E$3,2)</f>
        <v>126530.65</v>
      </c>
      <c r="E5" s="111">
        <f>SUMIF('数据-基础表'!$11:$11,"住宅",'数据-基础表'!$5:$5)</f>
        <v>416069.5</v>
      </c>
      <c r="F5" s="1966"/>
      <c r="G5" s="279" t="s">
        <v>860</v>
      </c>
      <c r="H5" s="274" t="s">
        <v>858</v>
      </c>
      <c r="I5" s="1958">
        <f>ROUND(E31/D31,2)</f>
        <v>3.29</v>
      </c>
      <c r="J5" s="1966"/>
      <c r="K5" s="1966"/>
      <c r="L5" s="1966"/>
    </row>
    <row r="6" spans="1:16" ht="15" thickBot="1">
      <c r="A6" s="112"/>
      <c r="B6" s="3293" t="s">
        <v>208</v>
      </c>
      <c r="C6" s="3293"/>
      <c r="D6" s="110">
        <f>ROUND($D$3*E6/$E$3,2)</f>
        <v>159229.54999999999</v>
      </c>
      <c r="E6" s="111">
        <f>E3-E5</f>
        <v>523592.97000000009</v>
      </c>
      <c r="F6" s="1966"/>
      <c r="G6" s="1194"/>
      <c r="H6" s="274" t="s">
        <v>859</v>
      </c>
      <c r="I6" s="1958">
        <f>ROUND(F31/D31,2)</f>
        <v>2.1800000000000002</v>
      </c>
      <c r="J6" s="1966"/>
      <c r="K6" s="1966"/>
      <c r="L6" s="1966"/>
    </row>
    <row r="7" spans="1:16" ht="15">
      <c r="A7" s="3285"/>
      <c r="B7" s="3286"/>
      <c r="C7" s="3287"/>
      <c r="D7" s="107" t="s">
        <v>204</v>
      </c>
      <c r="E7" s="113" t="s">
        <v>231</v>
      </c>
      <c r="F7" s="1966"/>
      <c r="G7" s="1149" t="s">
        <v>1644</v>
      </c>
      <c r="H7" s="1150"/>
      <c r="I7" s="1828">
        <f>'[1]5、8、9、10期规划'!$J$15</f>
        <v>2.1800000000000002</v>
      </c>
      <c r="J7" s="1966"/>
      <c r="K7" s="1966"/>
      <c r="L7" s="1966"/>
    </row>
    <row r="8" spans="1:16">
      <c r="A8" s="109" t="s">
        <v>209</v>
      </c>
      <c r="B8" s="114" t="s">
        <v>210</v>
      </c>
      <c r="C8" s="110" t="s">
        <v>211</v>
      </c>
      <c r="D8" s="110">
        <f t="shared" ref="D8:D15" si="0">ROUND($D$3*E8/$E$3,2)</f>
        <v>183688.72</v>
      </c>
      <c r="E8" s="115">
        <f>SUMIF('数据-基础表'!BB10:BK10,"地上",'数据-基础表'!BB5:BK5)</f>
        <v>604021.82000000007</v>
      </c>
      <c r="F8" s="1966"/>
      <c r="G8" s="1968"/>
      <c r="H8" s="1968"/>
      <c r="I8" s="1966"/>
      <c r="J8" s="1966"/>
      <c r="K8" s="1966"/>
      <c r="L8" s="1966"/>
    </row>
    <row r="9" spans="1:16">
      <c r="A9" s="116"/>
      <c r="B9" s="117"/>
      <c r="C9" s="110" t="s">
        <v>212</v>
      </c>
      <c r="D9" s="110">
        <f t="shared" si="0"/>
        <v>0</v>
      </c>
      <c r="E9" s="118">
        <v>0</v>
      </c>
      <c r="F9" s="1966"/>
      <c r="G9" s="1968"/>
      <c r="H9" s="1968"/>
      <c r="I9" s="1966"/>
      <c r="J9" s="1966"/>
      <c r="K9" s="1966"/>
      <c r="L9" s="1966"/>
    </row>
    <row r="10" spans="1:16">
      <c r="A10" s="116"/>
      <c r="B10" s="117"/>
      <c r="C10" s="110" t="s">
        <v>213</v>
      </c>
      <c r="D10" s="110">
        <f t="shared" si="0"/>
        <v>0</v>
      </c>
      <c r="E10" s="115">
        <f>SUMPRODUCT(('数据-基础表'!BB10:BK10="地下")*('数据-基础表'!BB11:BK11="商业")*('数据-基础表'!BB5:BK5))</f>
        <v>0</v>
      </c>
      <c r="F10" s="1966"/>
      <c r="G10" s="1968"/>
      <c r="H10" s="1968"/>
      <c r="I10" s="1966"/>
      <c r="J10" s="1966"/>
      <c r="K10" s="1966"/>
      <c r="L10" s="1966"/>
    </row>
    <row r="11" spans="1:16">
      <c r="A11" s="116"/>
      <c r="B11" s="117"/>
      <c r="C11" s="2313" t="s">
        <v>2326</v>
      </c>
      <c r="D11" s="110">
        <f t="shared" si="0"/>
        <v>0</v>
      </c>
      <c r="E11" s="115">
        <f>SUMPRODUCT(('数据-基础表'!BB10:BK10="地下")*('数据-基础表'!BB11:BK11="办公")*('数据-基础表'!BB5:BK5))+'数据-基础表'!AJ5</f>
        <v>0</v>
      </c>
      <c r="F11" s="1966"/>
      <c r="G11" s="1968"/>
      <c r="H11" s="1968"/>
      <c r="I11" s="1966"/>
      <c r="J11" s="1966"/>
      <c r="K11" s="1966"/>
      <c r="L11" s="1966"/>
    </row>
    <row r="12" spans="1:16">
      <c r="A12" s="116"/>
      <c r="B12" s="117"/>
      <c r="C12" s="110" t="s">
        <v>214</v>
      </c>
      <c r="D12" s="110">
        <f t="shared" si="0"/>
        <v>0</v>
      </c>
      <c r="E12" s="115">
        <f>SUMPRODUCT(('数据-基础表'!BB10:BK10="地下")*('数据-基础表'!BB11:BK11="仓储")*('数据-基础表'!BB5:BK5))</f>
        <v>0</v>
      </c>
      <c r="F12" s="1966"/>
      <c r="G12" s="1968"/>
      <c r="H12" s="1968"/>
      <c r="I12" s="1966"/>
      <c r="J12" s="1966"/>
      <c r="K12" s="1966"/>
      <c r="L12" s="1966"/>
    </row>
    <row r="13" spans="1:16">
      <c r="A13" s="116"/>
      <c r="B13" s="117"/>
      <c r="C13" s="2313" t="s">
        <v>2333</v>
      </c>
      <c r="D13" s="110">
        <f t="shared" si="0"/>
        <v>62213.18</v>
      </c>
      <c r="E13" s="115">
        <f>SUMPRODUCT(('数据-基础表'!BB10:BK10="地下")*('数据-基础表'!BB11:BK11="车库")*('数据-基础表'!BB5:BK5))</f>
        <v>204575</v>
      </c>
      <c r="F13" s="1966"/>
      <c r="G13" s="1968"/>
      <c r="H13" s="1968"/>
      <c r="I13" s="1966"/>
      <c r="J13" s="1966"/>
      <c r="K13" s="1966"/>
      <c r="L13" s="1966"/>
    </row>
    <row r="14" spans="1:16">
      <c r="A14" s="116"/>
      <c r="B14" s="117"/>
      <c r="C14" s="110" t="s">
        <v>232</v>
      </c>
      <c r="D14" s="110">
        <f t="shared" si="0"/>
        <v>0</v>
      </c>
      <c r="E14" s="115">
        <f>SUMPRODUCT(('数据-基础表'!BB10:BK10="地下")*('数据-基础表'!BB11:BK11="车库—商业")*('数据-基础表'!BB5:BK5))</f>
        <v>0</v>
      </c>
      <c r="F14" s="1966"/>
      <c r="G14" s="1968"/>
      <c r="H14" s="1968"/>
      <c r="I14" s="1966"/>
      <c r="J14" s="1966"/>
      <c r="K14" s="1966"/>
      <c r="L14" s="1966"/>
    </row>
    <row r="15" spans="1:16" ht="15" thickBot="1">
      <c r="A15" s="116"/>
      <c r="B15" s="117"/>
      <c r="C15" s="110" t="s">
        <v>233</v>
      </c>
      <c r="D15" s="110">
        <f t="shared" si="0"/>
        <v>0</v>
      </c>
      <c r="E15" s="115">
        <f>SUMPRODUCT(('数据-基础表'!BB10:BK10="地下")*('数据-基础表'!BB11:BK11="车库—办公")*('数据-基础表'!BB5:BK5))</f>
        <v>0</v>
      </c>
      <c r="F15" s="1966"/>
      <c r="G15" s="1968"/>
      <c r="H15" s="1968"/>
      <c r="I15" s="1966"/>
      <c r="J15" s="1966"/>
      <c r="K15" s="1966"/>
      <c r="L15" s="1966"/>
    </row>
    <row r="16" spans="1:16" ht="15.75" thickBot="1">
      <c r="A16" s="112"/>
      <c r="B16" s="117"/>
      <c r="C16" s="114" t="s">
        <v>215</v>
      </c>
      <c r="D16" s="114">
        <f>SUM(D8:D15)</f>
        <v>245901.9</v>
      </c>
      <c r="E16" s="119">
        <f>SUM(E8:E15)</f>
        <v>808596.82000000007</v>
      </c>
      <c r="F16" s="1966"/>
      <c r="G16" s="1968"/>
      <c r="H16" s="965" t="s">
        <v>219</v>
      </c>
      <c r="I16" s="966"/>
      <c r="J16" s="1966"/>
      <c r="K16" s="3279" t="s">
        <v>2565</v>
      </c>
      <c r="L16" s="3280"/>
      <c r="M16" s="3280"/>
      <c r="N16" s="3280"/>
      <c r="O16" s="3280"/>
      <c r="P16" s="3281"/>
    </row>
    <row r="17" spans="1:19" ht="15">
      <c r="A17" s="120" t="s">
        <v>216</v>
      </c>
      <c r="B17" s="121" t="s">
        <v>217</v>
      </c>
      <c r="C17" s="2280" t="s">
        <v>2312</v>
      </c>
      <c r="D17" s="107" t="s">
        <v>204</v>
      </c>
      <c r="E17" s="123" t="s">
        <v>205</v>
      </c>
      <c r="F17" s="124"/>
      <c r="G17" s="1359"/>
      <c r="H17" s="967" t="s">
        <v>218</v>
      </c>
      <c r="I17" s="968" t="s">
        <v>2311</v>
      </c>
      <c r="J17" s="1966"/>
      <c r="K17" s="3282" t="s">
        <v>2566</v>
      </c>
      <c r="L17" s="3283"/>
      <c r="M17" s="3284"/>
      <c r="N17" s="3282" t="s">
        <v>2567</v>
      </c>
      <c r="O17" s="3283"/>
      <c r="P17" s="3284"/>
      <c r="R17" s="2281" t="s">
        <v>2310</v>
      </c>
      <c r="S17" s="143"/>
    </row>
    <row r="18" spans="1:19" ht="15">
      <c r="A18" s="116"/>
      <c r="B18" s="127"/>
      <c r="C18" s="128"/>
      <c r="D18" s="2603"/>
      <c r="E18" s="129" t="s">
        <v>220</v>
      </c>
      <c r="F18" s="130" t="s">
        <v>221</v>
      </c>
      <c r="G18" s="1360" t="s">
        <v>222</v>
      </c>
      <c r="H18" s="969" t="s">
        <v>223</v>
      </c>
      <c r="I18" s="970" t="s">
        <v>224</v>
      </c>
      <c r="J18" s="1966"/>
      <c r="K18" s="2566" t="s">
        <v>2568</v>
      </c>
      <c r="L18" s="2567" t="s">
        <v>2569</v>
      </c>
      <c r="M18" s="2568" t="s">
        <v>2570</v>
      </c>
      <c r="N18" s="2566" t="s">
        <v>2568</v>
      </c>
      <c r="O18" s="2567" t="s">
        <v>2569</v>
      </c>
      <c r="P18" s="2568" t="s">
        <v>2570</v>
      </c>
      <c r="R18" s="2282" t="s">
        <v>2308</v>
      </c>
      <c r="S18" s="2282" t="s">
        <v>2309</v>
      </c>
    </row>
    <row r="19" spans="1:19">
      <c r="A19" s="132"/>
      <c r="B19" s="114" t="s">
        <v>225</v>
      </c>
      <c r="C19" s="2974" t="s">
        <v>3003</v>
      </c>
      <c r="D19" s="110">
        <f t="shared" ref="D19:D26" si="1">ROUND($D$3*E19/$E$3,2)</f>
        <v>126530.65</v>
      </c>
      <c r="E19" s="133">
        <f t="shared" ref="E19:E26" si="2">SUM(F19:G19)</f>
        <v>416069.5</v>
      </c>
      <c r="F19" s="134">
        <f>'数据-基础表'!I13</f>
        <v>416069.5</v>
      </c>
      <c r="G19" s="1361"/>
      <c r="H19" s="971">
        <f>ROUND($D$3*I19/$E$3,2)</f>
        <v>20509.38</v>
      </c>
      <c r="I19" s="115">
        <f>IF($I$17="自定义",P19,M19)</f>
        <v>67440.800000000003</v>
      </c>
      <c r="J19" s="1966"/>
      <c r="K19" s="2569">
        <f t="shared" ref="K19:K26" si="3">ROUND(E$28*E19/E$27,2)</f>
        <v>67440.800000000003</v>
      </c>
      <c r="L19" s="274">
        <f t="shared" ref="L19:L26" si="4">ROUND(IF(COUNTIF(C19,"*住宅*")&gt;0,E$29*E19/E$32,0),2)</f>
        <v>0</v>
      </c>
      <c r="M19" s="2570">
        <f>K19+L19</f>
        <v>67440.800000000003</v>
      </c>
      <c r="N19" s="2571"/>
      <c r="O19" s="2572"/>
      <c r="P19" s="2573">
        <f>N19+O19</f>
        <v>0</v>
      </c>
      <c r="R19" s="274">
        <f t="shared" ref="R19:S26" si="5">D19+H19</f>
        <v>147040.03</v>
      </c>
      <c r="S19" s="2283">
        <f t="shared" si="5"/>
        <v>483510.3</v>
      </c>
    </row>
    <row r="20" spans="1:19">
      <c r="A20" s="137"/>
      <c r="B20" s="114" t="s">
        <v>226</v>
      </c>
      <c r="C20" s="2974" t="s">
        <v>3004</v>
      </c>
      <c r="D20" s="110">
        <f t="shared" si="1"/>
        <v>57158.07</v>
      </c>
      <c r="E20" s="133">
        <f t="shared" si="2"/>
        <v>187952.32</v>
      </c>
      <c r="F20" s="134">
        <f>'数据-基础表'!K13</f>
        <v>187952.32</v>
      </c>
      <c r="G20" s="1361"/>
      <c r="H20" s="971">
        <f t="shared" ref="H20:H26" si="6">ROUND($D$3*I20/$E$3,2)</f>
        <v>9264.77</v>
      </c>
      <c r="I20" s="115">
        <f t="shared" ref="I20:I26" si="7">IF($I$17="自定义",P20,M20)</f>
        <v>30465.24</v>
      </c>
      <c r="J20" s="1966"/>
      <c r="K20" s="2569">
        <f t="shared" si="3"/>
        <v>30465.24</v>
      </c>
      <c r="L20" s="274">
        <f t="shared" si="4"/>
        <v>0</v>
      </c>
      <c r="M20" s="2570">
        <f t="shared" ref="M20:M26" si="8">K20+L20</f>
        <v>30465.24</v>
      </c>
      <c r="N20" s="2571"/>
      <c r="O20" s="2572"/>
      <c r="P20" s="2573">
        <f t="shared" ref="P20:P26" si="9">N20+O20</f>
        <v>0</v>
      </c>
      <c r="R20" s="274">
        <f t="shared" si="5"/>
        <v>66422.84</v>
      </c>
      <c r="S20" s="2283">
        <f t="shared" si="5"/>
        <v>218417.56</v>
      </c>
    </row>
    <row r="21" spans="1:19">
      <c r="A21" s="137"/>
      <c r="B21" s="114" t="s">
        <v>226</v>
      </c>
      <c r="C21" s="2974" t="s">
        <v>3006</v>
      </c>
      <c r="D21" s="110">
        <f t="shared" si="1"/>
        <v>62213.18</v>
      </c>
      <c r="E21" s="133">
        <f t="shared" si="2"/>
        <v>204575</v>
      </c>
      <c r="F21" s="134"/>
      <c r="G21" s="1361">
        <f>'数据-基础表'!M13</f>
        <v>204575</v>
      </c>
      <c r="H21" s="971">
        <f t="shared" si="6"/>
        <v>10084.15</v>
      </c>
      <c r="I21" s="115">
        <f t="shared" si="7"/>
        <v>33159.61</v>
      </c>
      <c r="J21" s="1966"/>
      <c r="K21" s="2569">
        <f t="shared" si="3"/>
        <v>33159.61</v>
      </c>
      <c r="L21" s="274">
        <f t="shared" si="4"/>
        <v>0</v>
      </c>
      <c r="M21" s="2570">
        <f t="shared" si="8"/>
        <v>33159.61</v>
      </c>
      <c r="N21" s="2571"/>
      <c r="O21" s="2572"/>
      <c r="P21" s="2573">
        <f t="shared" si="9"/>
        <v>0</v>
      </c>
      <c r="R21" s="274">
        <f t="shared" si="5"/>
        <v>72297.33</v>
      </c>
      <c r="S21" s="2283">
        <f t="shared" si="5"/>
        <v>237734.61</v>
      </c>
    </row>
    <row r="22" spans="1:19">
      <c r="A22" s="137"/>
      <c r="B22" s="114" t="s">
        <v>226</v>
      </c>
      <c r="C22" s="1358"/>
      <c r="D22" s="110">
        <f t="shared" si="1"/>
        <v>0</v>
      </c>
      <c r="E22" s="133">
        <f t="shared" si="2"/>
        <v>0</v>
      </c>
      <c r="F22" s="139"/>
      <c r="G22" s="1362"/>
      <c r="H22" s="971">
        <f t="shared" si="6"/>
        <v>0</v>
      </c>
      <c r="I22" s="115">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7"/>
      <c r="B23" s="114" t="s">
        <v>226</v>
      </c>
      <c r="C23" s="138"/>
      <c r="D23" s="110">
        <f>ROUND($D$3*E23/$E$3,2)</f>
        <v>0</v>
      </c>
      <c r="E23" s="133">
        <f>SUM(F23:G23)</f>
        <v>0</v>
      </c>
      <c r="F23" s="139"/>
      <c r="G23" s="1362"/>
      <c r="H23" s="971">
        <f>ROUND($D$3*I23/$E$3,2)</f>
        <v>0</v>
      </c>
      <c r="I23" s="115">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7"/>
      <c r="B24" s="114" t="s">
        <v>226</v>
      </c>
      <c r="C24" s="138"/>
      <c r="D24" s="110">
        <f>ROUND($D$3*E24/$E$3,2)</f>
        <v>0</v>
      </c>
      <c r="E24" s="133">
        <f>SUM(F24:G24)</f>
        <v>0</v>
      </c>
      <c r="F24" s="139"/>
      <c r="G24" s="1362"/>
      <c r="H24" s="971">
        <f>ROUND($D$3*I24/$E$3,2)</f>
        <v>0</v>
      </c>
      <c r="I24" s="115">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7"/>
      <c r="B25" s="114" t="s">
        <v>226</v>
      </c>
      <c r="C25" s="138"/>
      <c r="D25" s="110">
        <f t="shared" si="1"/>
        <v>0</v>
      </c>
      <c r="E25" s="133">
        <f t="shared" si="2"/>
        <v>0</v>
      </c>
      <c r="F25" s="139"/>
      <c r="G25" s="1362"/>
      <c r="H25" s="109">
        <f t="shared" si="6"/>
        <v>0</v>
      </c>
      <c r="I25" s="115">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7"/>
      <c r="B26" s="114" t="s">
        <v>226</v>
      </c>
      <c r="C26" s="141"/>
      <c r="D26" s="110">
        <f t="shared" si="1"/>
        <v>0</v>
      </c>
      <c r="E26" s="133">
        <f t="shared" si="2"/>
        <v>0</v>
      </c>
      <c r="F26" s="139"/>
      <c r="G26" s="1362"/>
      <c r="H26" s="109">
        <f t="shared" si="6"/>
        <v>0</v>
      </c>
      <c r="I26" s="115">
        <f t="shared" si="7"/>
        <v>0</v>
      </c>
      <c r="J26" s="1966"/>
      <c r="K26" s="2574">
        <f t="shared" si="3"/>
        <v>0</v>
      </c>
      <c r="L26" s="279">
        <f t="shared" si="4"/>
        <v>0</v>
      </c>
      <c r="M26" s="145">
        <f t="shared" si="8"/>
        <v>0</v>
      </c>
      <c r="N26" s="2575"/>
      <c r="O26" s="2576"/>
      <c r="P26" s="2577">
        <f t="shared" si="9"/>
        <v>0</v>
      </c>
      <c r="R26" s="274">
        <f t="shared" si="5"/>
        <v>0</v>
      </c>
      <c r="S26" s="2283">
        <f t="shared" si="5"/>
        <v>0</v>
      </c>
    </row>
    <row r="27" spans="1:19" ht="15.75" thickBot="1">
      <c r="A27" s="137"/>
      <c r="B27" s="110"/>
      <c r="C27" s="126" t="s">
        <v>215</v>
      </c>
      <c r="D27" s="133">
        <f>SUM(D19:D26)</f>
        <v>245901.9</v>
      </c>
      <c r="E27" s="142">
        <f>IF(SUM(E19:E26)='数据-基础表'!BA5,SUM(E19:E26),IF(F27="地上面积有误","面积有误","地下面积有误"))</f>
        <v>808596.82000000007</v>
      </c>
      <c r="F27" s="133">
        <f>IF(SUM(F19:F26)=E8,SUM(F19:F26),"地上面积有误")</f>
        <v>604021.82000000007</v>
      </c>
      <c r="G27" s="111">
        <f>SUM(G19:G26)</f>
        <v>204575</v>
      </c>
      <c r="H27" s="972">
        <f>SUM(H19:H26)</f>
        <v>39858.300000000003</v>
      </c>
      <c r="I27" s="973">
        <f>SUM(I19:I26)</f>
        <v>131065.65000000001</v>
      </c>
      <c r="J27" s="1966"/>
      <c r="K27" s="2578">
        <f>SUM(K19:K26)</f>
        <v>131065.65000000001</v>
      </c>
      <c r="L27" s="2579">
        <f>SUM(L19:L26)</f>
        <v>0</v>
      </c>
      <c r="M27" s="2580">
        <f>SUM(M19:M26)</f>
        <v>131065.65000000001</v>
      </c>
      <c r="N27" s="2578">
        <f t="shared" ref="N27:O27" si="10">SUM(N19:N26)</f>
        <v>0</v>
      </c>
      <c r="O27" s="2579">
        <f t="shared" si="10"/>
        <v>0</v>
      </c>
      <c r="P27" s="2581">
        <f>SUM(P19:P26)</f>
        <v>0</v>
      </c>
      <c r="R27" s="2287">
        <f>IF(SUM(R19:R26)=$D$3,SUM(R19:R26),SUM(R19:R26)&amp;"误差"&amp;ROUND(SUM(R19:R26)-$D$3,2))</f>
        <v>285760.2</v>
      </c>
      <c r="S27" s="274">
        <f>IF(SUM(S19:S26)=$E$3,SUM(S19:S26),SUM(S19:S26)&amp;"误差"&amp;ROUND(SUM(S19:S26)-E3,2))</f>
        <v>939662.47</v>
      </c>
    </row>
    <row r="28" spans="1:19">
      <c r="A28" s="137"/>
      <c r="B28" s="114" t="s">
        <v>227</v>
      </c>
      <c r="C28" s="135" t="s">
        <v>228</v>
      </c>
      <c r="D28" s="110">
        <f>ROUND($D$3*E28/$E$3,2)</f>
        <v>39858.300000000003</v>
      </c>
      <c r="E28" s="133">
        <f>SUM(F28:G28)</f>
        <v>131065.65000000001</v>
      </c>
      <c r="F28" s="143">
        <f>'数据-基础表'!BQ5+'数据-基础表'!BS5</f>
        <v>18926.48</v>
      </c>
      <c r="G28" s="144">
        <f>'数据-基础表'!BR5+'数据-基础表'!BT5</f>
        <v>112139.17000000001</v>
      </c>
      <c r="H28" s="1966"/>
      <c r="I28" s="1966"/>
      <c r="J28" s="1966"/>
      <c r="K28" s="1966"/>
      <c r="L28" s="1966"/>
    </row>
    <row r="29" spans="1:19">
      <c r="A29" s="137"/>
      <c r="B29" s="114" t="s">
        <v>227</v>
      </c>
      <c r="C29" s="2295" t="s">
        <v>2319</v>
      </c>
      <c r="D29" s="110">
        <f>ROUND($D$3*E29/$E$3,2)</f>
        <v>0</v>
      </c>
      <c r="E29" s="133">
        <f>SUM(F29:G29)</f>
        <v>0</v>
      </c>
      <c r="F29" s="143">
        <f>'数据-基础表'!BM5+'数据-基础表'!BO5</f>
        <v>0</v>
      </c>
      <c r="G29" s="145">
        <f>'数据-基础表'!BN5+'数据-基础表'!BP5</f>
        <v>0</v>
      </c>
      <c r="H29" s="1966"/>
      <c r="I29" s="1966"/>
      <c r="J29" s="1966"/>
      <c r="K29" s="1966"/>
      <c r="L29" s="1966"/>
    </row>
    <row r="30" spans="1:19">
      <c r="A30" s="137"/>
      <c r="B30" s="110"/>
      <c r="C30" s="146" t="s">
        <v>215</v>
      </c>
      <c r="D30" s="133">
        <f>SUM(D28:D29)</f>
        <v>39858.300000000003</v>
      </c>
      <c r="E30" s="133">
        <f>SUM(E28:E29)</f>
        <v>131065.65000000001</v>
      </c>
      <c r="F30" s="133">
        <f>SUM(F28:F29)</f>
        <v>18926.48</v>
      </c>
      <c r="G30" s="111">
        <f>SUM(G28:G29)</f>
        <v>112139.17000000001</v>
      </c>
      <c r="H30" s="1966"/>
      <c r="I30" s="1966"/>
      <c r="J30" s="1966"/>
      <c r="K30" s="1966"/>
      <c r="L30" s="1966"/>
    </row>
    <row r="31" spans="1:19" ht="32.25" customHeight="1" thickBot="1">
      <c r="A31" s="1363"/>
      <c r="B31" s="1364" t="s">
        <v>229</v>
      </c>
      <c r="C31" s="2312" t="s">
        <v>2321</v>
      </c>
      <c r="D31" s="1365">
        <f>D27+D30</f>
        <v>285760.2</v>
      </c>
      <c r="E31" s="1365">
        <f>E27+E30</f>
        <v>939662.47000000009</v>
      </c>
      <c r="F31" s="1366">
        <f>F27+F30</f>
        <v>622948.30000000005</v>
      </c>
      <c r="G31" s="1367">
        <f>G27+G30</f>
        <v>316714.17000000004</v>
      </c>
      <c r="H31" s="1966"/>
      <c r="I31" s="1966"/>
      <c r="J31" s="1966"/>
      <c r="K31" s="1966"/>
      <c r="L31" s="1966"/>
    </row>
    <row r="32" spans="1:19">
      <c r="A32" s="1966"/>
      <c r="B32" s="2324" t="s">
        <v>2320</v>
      </c>
      <c r="C32" s="2608"/>
      <c r="D32" s="1194"/>
      <c r="E32" s="1194">
        <f>SUMIF(C19:C26,"*住宅*",E19:E26)</f>
        <v>416069.5</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32" sqref="N32"/>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7"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8" t="s">
        <v>235</v>
      </c>
      <c r="B2" s="2320">
        <f>项目基本情况!D3</f>
        <v>43630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49"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6"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2826</v>
      </c>
      <c r="O5" s="162" t="s">
        <v>246</v>
      </c>
      <c r="P5" s="164" t="s">
        <v>247</v>
      </c>
      <c r="Q5" s="165" t="s">
        <v>248</v>
      </c>
      <c r="R5" s="166" t="s">
        <v>249</v>
      </c>
      <c r="S5" s="2582" t="s">
        <v>2571</v>
      </c>
      <c r="T5" s="167" t="s">
        <v>250</v>
      </c>
      <c r="U5" s="168" t="s">
        <v>251</v>
      </c>
      <c r="V5" s="158" t="s">
        <v>252</v>
      </c>
      <c r="W5" s="158" t="s">
        <v>253</v>
      </c>
      <c r="X5" s="1800"/>
      <c r="Y5" s="169" t="s">
        <v>254</v>
      </c>
      <c r="Z5" s="170" t="s">
        <v>255</v>
      </c>
      <c r="AA5" s="158" t="s">
        <v>252</v>
      </c>
      <c r="AB5" s="158" t="s">
        <v>253</v>
      </c>
      <c r="AC5" s="1801"/>
      <c r="AD5" s="171" t="s">
        <v>254</v>
      </c>
      <c r="AE5" s="1" t="s">
        <v>869</v>
      </c>
      <c r="AF5" s="158" t="s">
        <v>256</v>
      </c>
      <c r="AG5" s="169" t="s">
        <v>257</v>
      </c>
      <c r="AH5" s="1801" t="s">
        <v>2322</v>
      </c>
      <c r="AI5" s="170" t="s">
        <v>2291</v>
      </c>
      <c r="AJ5" s="170" t="s">
        <v>258</v>
      </c>
      <c r="AK5" s="158" t="s">
        <v>259</v>
      </c>
      <c r="AL5" s="158" t="s">
        <v>260</v>
      </c>
      <c r="AM5" s="171"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2" t="s">
        <v>922</v>
      </c>
      <c r="D6" s="2290">
        <f>SUMIF(项目基本情况!D$15:I$15,C6,项目基本情况!D$18:I$18)</f>
        <v>70</v>
      </c>
      <c r="E6" s="2291">
        <f>IF(B6="","",SUMIF(项目基本情况!D$15:I$15,C6,项目基本情况!D$17:I$17))</f>
        <v>64310</v>
      </c>
      <c r="F6" s="173">
        <f>SUMIF(项目基本情况!D$15:I$15,C6,项目基本情况!D$19:I$19)</f>
        <v>56.65</v>
      </c>
      <c r="G6" s="174">
        <f>IF(ISERROR(ROUND(POWER(1+H6,D6-F6)*(POWER(1+H6,F6)-1)/(POWER(1+H6,D6)-1),3)),0,ROUND(POWER(1+H6,D6-F6)*(POWER(1+H6,F6)-1)/(POWER(1+H6,D6)-1),3))</f>
        <v>0.96199999999999997</v>
      </c>
      <c r="H6" s="2975">
        <f>'[1]数据-取费表'!$H$6</f>
        <v>4.4999999999999998E-2</v>
      </c>
      <c r="I6" s="2975">
        <f>'[1]数据-取费表'!$I$6</f>
        <v>0.05</v>
      </c>
      <c r="J6" s="175">
        <f>'[1]数据-取费表'!$J$6</f>
        <v>8.5000000000000006E-2</v>
      </c>
      <c r="K6" s="178">
        <f>SUMIF('数据-汇总表'!C$19:C$33,'数据-取费表'!A6,'数据-汇总表'!E$19:E$33)</f>
        <v>416069.5</v>
      </c>
      <c r="L6" s="2976">
        <f>'[1]数据-取费表'!$L$6</f>
        <v>3000</v>
      </c>
      <c r="M6" s="176">
        <f t="shared" ref="M6:M14" si="0">ROUND(K6*L6/10000,0)</f>
        <v>124821</v>
      </c>
      <c r="N6" s="2977">
        <v>0</v>
      </c>
      <c r="O6" s="176">
        <f>IF($N$5="成新度","——",ROUND(M6*N6,0))</f>
        <v>0</v>
      </c>
      <c r="P6" s="177">
        <f>IF($N$5="成新度","——",M6-O6)</f>
        <v>124821</v>
      </c>
      <c r="Q6" s="2978">
        <f>'[1]数据-取费表'!$Q$6</f>
        <v>0.1</v>
      </c>
      <c r="R6" s="178">
        <f>SUMIF('数据-汇总表'!C$19:C$33,A6,'数据-汇总表'!R$19:R$33)</f>
        <v>147040.03</v>
      </c>
      <c r="S6" s="131">
        <f>IF('数据-汇总表'!$I$17="按面积比例",SUMIF('数据-汇总表'!C$19:C$33,A6,'数据-汇总表'!K$19:K$33),SUMIF('数据-汇总表'!C$19:C$33,A6,'数据-汇总表'!N$19:N$33))</f>
        <v>67440.800000000003</v>
      </c>
      <c r="T6" s="2216">
        <f>IF($T$4="按面积比例",IF(ISERROR(ROUND($M$14*S6/S$16,0)),"0",ROUND($M$14*S6/S$16,0)),"需自行计算录入")</f>
        <v>16186</v>
      </c>
      <c r="U6" s="179"/>
      <c r="V6" s="180"/>
      <c r="W6" s="180"/>
      <c r="X6" s="2303"/>
      <c r="Y6" s="181"/>
      <c r="Z6" s="182"/>
      <c r="AA6" s="175"/>
      <c r="AB6" s="175"/>
      <c r="AC6" s="2306"/>
      <c r="AD6" s="183"/>
      <c r="AE6" s="969">
        <f ca="1">IF(AN6="",0,SUMIF(INDIRECT("'"&amp;AN6&amp;"'"&amp;"!E:E"),$AE$5,INDIRECT("'"&amp;AN6&amp;"'"&amp;"!F:F")))</f>
        <v>0</v>
      </c>
      <c r="AF6" s="140"/>
      <c r="AG6" s="1206">
        <f>IF(AF6="",0,AE6-AF6)</f>
        <v>0</v>
      </c>
      <c r="AH6" s="140"/>
      <c r="AI6" s="186"/>
      <c r="AJ6" s="187"/>
      <c r="AK6" s="188"/>
      <c r="AL6" s="189"/>
      <c r="AM6" s="2989"/>
      <c r="AN6" s="2353"/>
      <c r="AO6" s="1982"/>
      <c r="AP6" s="1197">
        <f>ROUND(1-1/(1+H6)^F6,3)</f>
        <v>0.91700000000000004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商业</v>
      </c>
      <c r="B7" s="2319" t="str">
        <f t="shared" ref="B7:B13" si="1">IF(A7=0,"","经营性")</f>
        <v>经营性</v>
      </c>
      <c r="C7" s="172" t="s">
        <v>2998</v>
      </c>
      <c r="D7" s="2290">
        <f>SUMIF(项目基本情况!D$15:I$15,C7,项目基本情况!D$18:I$18)</f>
        <v>40</v>
      </c>
      <c r="E7" s="2291">
        <f>IF(B7="","",SUMIF(项目基本情况!D$15:I$15,C7,项目基本情况!D$17:I$17))</f>
        <v>52257</v>
      </c>
      <c r="F7" s="173">
        <f>SUMIF(项目基本情况!D$15:I$15,C7,项目基本情况!D$19:I$19)</f>
        <v>23.63</v>
      </c>
      <c r="G7" s="174">
        <f t="shared" ref="G7:G11" si="2">IF(ISERROR(ROUND(POWER(1+H7,D7-F7)*(POWER(1+H7,F7)-1)/(POWER(1+H7,D7)-1),3)),0,ROUND(POWER(1+H7,D7-F7)*(POWER(1+H7,F7)-1)/(POWER(1+H7,D7)-1),3))</f>
        <v>0.79800000000000004</v>
      </c>
      <c r="H7" s="2975">
        <f>'[1]数据-取费表'!$H$7</f>
        <v>0.05</v>
      </c>
      <c r="I7" s="2975">
        <f>'[1]数据-取费表'!$I$7</f>
        <v>5.5E-2</v>
      </c>
      <c r="J7" s="175">
        <f>'[1]数据-取费表'!$J$7</f>
        <v>8.5000000000000006E-2</v>
      </c>
      <c r="K7" s="178">
        <f>SUMIF('数据-汇总表'!C$19:C$33,'数据-取费表'!A7,'数据-汇总表'!E$19:E$33)</f>
        <v>187952.32</v>
      </c>
      <c r="L7" s="2976">
        <f>'[1]数据-取费表'!$L$7</f>
        <v>3000</v>
      </c>
      <c r="M7" s="176">
        <f t="shared" si="0"/>
        <v>56386</v>
      </c>
      <c r="N7" s="2977">
        <v>0</v>
      </c>
      <c r="O7" s="176">
        <f t="shared" ref="O7:O14" si="3">IF($N$5="成新度","——",ROUND(M7*N7,0))</f>
        <v>0</v>
      </c>
      <c r="P7" s="177">
        <f t="shared" ref="P7:P14" si="4">IF($N$5="成新度","——",M7-O7)</f>
        <v>56386</v>
      </c>
      <c r="Q7" s="2978">
        <f>'[1]数据-取费表'!$Q$7</f>
        <v>0.2</v>
      </c>
      <c r="R7" s="178">
        <f>SUMIF('数据-汇总表'!C$19:C$33,A7,'数据-汇总表'!R$19:R$33)</f>
        <v>66422.84</v>
      </c>
      <c r="S7" s="131">
        <f>IF('数据-汇总表'!$I$17="按面积比例",SUMIF('数据-汇总表'!C$19:C$33,A7,'数据-汇总表'!K$19:K$33),SUMIF('数据-汇总表'!C$19:C$33,A7,'数据-汇总表'!N$19:N$33))</f>
        <v>30465.24</v>
      </c>
      <c r="T7" s="2216">
        <f t="shared" ref="T7:T13" si="5">IF($T$4="按面积比例",IF(ISERROR(ROUND($M$14*S7/S$16,0)),"0",ROUND($M$14*S7/S$16,0)),"需自行计算录入")</f>
        <v>7312</v>
      </c>
      <c r="U7" s="3200">
        <v>3.8</v>
      </c>
      <c r="V7" s="180">
        <f>'[1]数据-取费表'!$V$7</f>
        <v>0.03</v>
      </c>
      <c r="W7" s="180">
        <f>'[1]数据-取费表'!$W$7</f>
        <v>0.1</v>
      </c>
      <c r="X7" s="2303"/>
      <c r="Y7" s="181">
        <v>1</v>
      </c>
      <c r="Z7" s="182"/>
      <c r="AA7" s="175"/>
      <c r="AB7" s="175"/>
      <c r="AC7" s="2306"/>
      <c r="AD7" s="183"/>
      <c r="AE7" s="969">
        <f t="shared" ref="AE7:AE13" ca="1" si="6">IF(AN7="",0,SUMIF(INDIRECT("'"&amp;AN7&amp;"'"&amp;"!E:E"),$AE$5,INDIRECT("'"&amp;AN7&amp;"'"&amp;"!F:F")))</f>
        <v>18.63</v>
      </c>
      <c r="AF7" s="140"/>
      <c r="AG7" s="1206">
        <f t="shared" ref="AG7:AG13" si="7">IF(AF7="",0,AE7-AF7)</f>
        <v>0</v>
      </c>
      <c r="AH7" s="140"/>
      <c r="AI7" s="186">
        <v>365</v>
      </c>
      <c r="AJ7" s="187"/>
      <c r="AK7" s="188">
        <f>'[1]数据-取费表'!$AK$7</f>
        <v>1.4999999999999999E-2</v>
      </c>
      <c r="AL7" s="189">
        <f>'[1]数据-取费表'!$AL$7</f>
        <v>1.5E-3</v>
      </c>
      <c r="AM7" s="2351">
        <f>'[1]数据-取费表'!$AM$7</f>
        <v>0.01</v>
      </c>
      <c r="AN7" s="2353" t="s">
        <v>3008</v>
      </c>
      <c r="AO7" s="1982"/>
      <c r="AP7" s="1197">
        <f t="shared" ref="AP7:AP13" si="8">ROUND(1-1/(1+H7)^F7,3)</f>
        <v>0.68400000000000005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t="str">
        <f>'数据-汇总表'!C21</f>
        <v>地下车库</v>
      </c>
      <c r="B8" s="2319" t="str">
        <f t="shared" si="1"/>
        <v>经营性</v>
      </c>
      <c r="C8" s="172" t="s">
        <v>2999</v>
      </c>
      <c r="D8" s="2290">
        <f>SUMIF(项目基本情况!D$15:I$15,C8,项目基本情况!D$18:I$18)</f>
        <v>50</v>
      </c>
      <c r="E8" s="2291">
        <f>IF(B8="","",SUMIF(项目基本情况!D$15:I$15,C8,项目基本情况!D$17:I$17))</f>
        <v>55910</v>
      </c>
      <c r="F8" s="173">
        <f>SUMIF(项目基本情况!D$15:I$15,C8,项目基本情况!D$19:I$19)</f>
        <v>33.64</v>
      </c>
      <c r="G8" s="174">
        <f t="shared" si="2"/>
        <v>0.86899999999999999</v>
      </c>
      <c r="H8" s="2975">
        <f>'[1]数据-取费表'!$H$8</f>
        <v>4.4999999999999998E-2</v>
      </c>
      <c r="I8" s="2975">
        <f>'[1]数据-取费表'!$I$8</f>
        <v>0.05</v>
      </c>
      <c r="J8" s="175">
        <f>'[1]数据-取费表'!$J$8</f>
        <v>8.5000000000000006E-2</v>
      </c>
      <c r="K8" s="178">
        <f>SUMIF('数据-汇总表'!C$19:C$33,'数据-取费表'!A8,'数据-汇总表'!E$19:E$33)</f>
        <v>204575</v>
      </c>
      <c r="L8" s="2976">
        <f>'[1]数据-取费表'!$L$8</f>
        <v>2400</v>
      </c>
      <c r="M8" s="176">
        <f>ROUND(K8*L8/10000,0)</f>
        <v>49098</v>
      </c>
      <c r="N8" s="2977">
        <v>0</v>
      </c>
      <c r="O8" s="176">
        <f t="shared" si="3"/>
        <v>0</v>
      </c>
      <c r="P8" s="177">
        <f t="shared" si="4"/>
        <v>49098</v>
      </c>
      <c r="Q8" s="2978">
        <f>'[1]数据-取费表'!$Q$8</f>
        <v>0.03</v>
      </c>
      <c r="R8" s="178">
        <f>SUMIF('数据-汇总表'!C$19:C$33,A8,'数据-汇总表'!R$19:R$33)</f>
        <v>72297.33</v>
      </c>
      <c r="S8" s="131">
        <f>IF('数据-汇总表'!$I$17="按面积比例",SUMIF('数据-汇总表'!C$19:C$33,A8,'数据-汇总表'!K$19:K$33),SUMIF('数据-汇总表'!C$19:C$33,A8,'数据-汇总表'!N$19:N$33))</f>
        <v>33159.61</v>
      </c>
      <c r="T8" s="2216">
        <f t="shared" si="5"/>
        <v>7958</v>
      </c>
      <c r="U8" s="179">
        <f>'[1]数据-取费表'!$U$8</f>
        <v>0.8</v>
      </c>
      <c r="V8" s="180">
        <f>'[1]数据-取费表'!$V$8</f>
        <v>0.03</v>
      </c>
      <c r="W8" s="180">
        <f>'[1]数据-取费表'!$W$8</f>
        <v>0.1</v>
      </c>
      <c r="X8" s="2303"/>
      <c r="Y8" s="181">
        <v>1</v>
      </c>
      <c r="Z8" s="182"/>
      <c r="AA8" s="175"/>
      <c r="AB8" s="175"/>
      <c r="AC8" s="2306"/>
      <c r="AD8" s="183"/>
      <c r="AE8" s="969">
        <f t="shared" ca="1" si="6"/>
        <v>28.64</v>
      </c>
      <c r="AF8" s="140"/>
      <c r="AG8" s="1206">
        <f t="shared" si="7"/>
        <v>0</v>
      </c>
      <c r="AH8" s="140"/>
      <c r="AI8" s="186">
        <v>365</v>
      </c>
      <c r="AJ8" s="187"/>
      <c r="AK8" s="188">
        <f>'[1]数据-取费表'!$AK$8</f>
        <v>1.4999999999999999E-2</v>
      </c>
      <c r="AL8" s="189">
        <f>'[1]数据-取费表'!$AL$8</f>
        <v>1.5E-3</v>
      </c>
      <c r="AM8" s="2351">
        <f>'[1]数据-取费表'!$AM$8</f>
        <v>0.01</v>
      </c>
      <c r="AN8" s="2353" t="s">
        <v>3009</v>
      </c>
      <c r="AO8" s="1982"/>
      <c r="AP8" s="1197">
        <f t="shared" si="8"/>
        <v>0.77300000000000002</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6">
        <f t="shared" si="5"/>
        <v>0</v>
      </c>
      <c r="U9" s="179"/>
      <c r="V9" s="180"/>
      <c r="W9" s="180"/>
      <c r="X9" s="2303"/>
      <c r="Y9" s="181"/>
      <c r="Z9" s="182"/>
      <c r="AA9" s="175"/>
      <c r="AB9" s="175"/>
      <c r="AC9" s="2306"/>
      <c r="AD9" s="183"/>
      <c r="AE9" s="969">
        <f t="shared" ca="1" si="6"/>
        <v>0</v>
      </c>
      <c r="AF9" s="140"/>
      <c r="AG9" s="1206">
        <f t="shared" si="7"/>
        <v>0</v>
      </c>
      <c r="AH9" s="140"/>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f t="shared" si="5"/>
        <v>0</v>
      </c>
      <c r="U10" s="179"/>
      <c r="V10" s="180"/>
      <c r="W10" s="180"/>
      <c r="X10" s="2303"/>
      <c r="Y10" s="181"/>
      <c r="Z10" s="182"/>
      <c r="AA10" s="175"/>
      <c r="AB10" s="175"/>
      <c r="AC10" s="2306"/>
      <c r="AD10" s="183"/>
      <c r="AE10" s="969">
        <f t="shared" ca="1" si="6"/>
        <v>0</v>
      </c>
      <c r="AF10" s="140"/>
      <c r="AG10" s="1206">
        <f t="shared" si="7"/>
        <v>0</v>
      </c>
      <c r="AH10" s="140"/>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f t="shared" si="5"/>
        <v>0</v>
      </c>
      <c r="U11" s="184"/>
      <c r="V11" s="175"/>
      <c r="W11" s="175"/>
      <c r="X11" s="2306"/>
      <c r="Y11" s="181"/>
      <c r="Z11" s="194"/>
      <c r="AA11" s="175"/>
      <c r="AB11" s="175"/>
      <c r="AC11" s="2306"/>
      <c r="AD11" s="183"/>
      <c r="AE11" s="969">
        <f t="shared" ca="1" si="6"/>
        <v>0</v>
      </c>
      <c r="AF11" s="140"/>
      <c r="AG11" s="1206">
        <f t="shared" si="7"/>
        <v>0</v>
      </c>
      <c r="AH11" s="140"/>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f t="shared" si="5"/>
        <v>0</v>
      </c>
      <c r="U12" s="184"/>
      <c r="V12" s="175"/>
      <c r="W12" s="175"/>
      <c r="X12" s="2306"/>
      <c r="Y12" s="181"/>
      <c r="Z12" s="194"/>
      <c r="AA12" s="175"/>
      <c r="AB12" s="175"/>
      <c r="AC12" s="2306"/>
      <c r="AD12" s="183"/>
      <c r="AE12" s="969">
        <f t="shared" ca="1" si="6"/>
        <v>0</v>
      </c>
      <c r="AF12" s="140"/>
      <c r="AG12" s="1206">
        <f t="shared" si="7"/>
        <v>0</v>
      </c>
      <c r="AH12" s="140"/>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f t="shared" si="5"/>
        <v>0</v>
      </c>
      <c r="U13" s="179"/>
      <c r="V13" s="180"/>
      <c r="W13" s="180"/>
      <c r="X13" s="2303"/>
      <c r="Y13" s="181"/>
      <c r="Z13" s="182"/>
      <c r="AA13" s="175"/>
      <c r="AB13" s="175"/>
      <c r="AC13" s="2306"/>
      <c r="AD13" s="183"/>
      <c r="AE13" s="969">
        <f t="shared" ca="1" si="6"/>
        <v>0</v>
      </c>
      <c r="AF13" s="140"/>
      <c r="AG13" s="1206">
        <f t="shared" si="7"/>
        <v>0</v>
      </c>
      <c r="AH13" s="140"/>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2313</v>
      </c>
      <c r="B14" s="2288" t="s">
        <v>1678</v>
      </c>
      <c r="C14" s="2289" t="s">
        <v>2313</v>
      </c>
      <c r="D14" s="2290"/>
      <c r="E14" s="2291"/>
      <c r="F14" s="173"/>
      <c r="G14" s="174"/>
      <c r="H14" s="2292"/>
      <c r="I14" s="2292"/>
      <c r="J14" s="2292"/>
      <c r="K14" s="178">
        <f>SUMIF('数据-汇总表'!C$19:C$33,'数据-取费表'!A14,'数据-汇总表'!E$19:E$33)</f>
        <v>131065.65000000001</v>
      </c>
      <c r="L14" s="192">
        <f>'[1]数据-取费表'!$L$14</f>
        <v>2400</v>
      </c>
      <c r="M14" s="176">
        <f t="shared" si="0"/>
        <v>31456</v>
      </c>
      <c r="N14" s="193">
        <v>0</v>
      </c>
      <c r="O14" s="176">
        <f t="shared" si="3"/>
        <v>0</v>
      </c>
      <c r="P14" s="177">
        <f t="shared" si="4"/>
        <v>31456</v>
      </c>
      <c r="Q14" s="2300"/>
      <c r="R14" s="178"/>
      <c r="S14" s="131"/>
      <c r="T14" s="2299"/>
      <c r="U14" s="971"/>
      <c r="V14" s="2302"/>
      <c r="W14" s="2302"/>
      <c r="X14" s="2303"/>
      <c r="Y14" s="2304"/>
      <c r="Z14" s="135"/>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2315</v>
      </c>
      <c r="B15" s="2288" t="s">
        <v>1678</v>
      </c>
      <c r="C15" s="2289" t="s">
        <v>2314</v>
      </c>
      <c r="D15" s="2290"/>
      <c r="E15" s="2291"/>
      <c r="F15" s="173"/>
      <c r="G15" s="174"/>
      <c r="H15" s="2292"/>
      <c r="I15" s="2292"/>
      <c r="J15" s="2292"/>
      <c r="K15" s="178">
        <f>SUMIF('数据-汇总表'!C$19:C$33,'数据-取费表'!A15,'数据-汇总表'!E$19:E$33)</f>
        <v>0</v>
      </c>
      <c r="L15" s="2298"/>
      <c r="M15" s="176"/>
      <c r="N15" s="2301"/>
      <c r="O15" s="176"/>
      <c r="P15" s="177"/>
      <c r="Q15" s="2300"/>
      <c r="R15" s="178"/>
      <c r="S15" s="131"/>
      <c r="T15" s="2299"/>
      <c r="U15" s="971"/>
      <c r="V15" s="2302"/>
      <c r="W15" s="2302"/>
      <c r="X15" s="2303"/>
      <c r="Y15" s="2304"/>
      <c r="Z15" s="135"/>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0.9</v>
      </c>
      <c r="H16" s="202">
        <f>ROUND(SUMPRODUCT(H6:H13,K6:K13)/SUMPRODUCT((H6:H13&gt;0)*(K6:K13)),3)</f>
        <v>4.5999999999999999E-2</v>
      </c>
      <c r="I16" s="203"/>
      <c r="J16" s="203"/>
      <c r="K16" s="204">
        <f>SUM(K6:K15)</f>
        <v>939662.47000000009</v>
      </c>
      <c r="L16" s="205">
        <f>ROUND(M16*10000/SUM(K6:K14),0)</f>
        <v>2786</v>
      </c>
      <c r="M16" s="205">
        <f>SUM(M6:M14)</f>
        <v>261761</v>
      </c>
      <c r="N16" s="206">
        <f>ROUND(SUMPRODUCT(M6:M14,N6:N14)/M16,3)</f>
        <v>0</v>
      </c>
      <c r="O16" s="205">
        <f>SUM(O6:O14)</f>
        <v>0</v>
      </c>
      <c r="P16" s="205">
        <f>SUM(P6:P14)</f>
        <v>261761</v>
      </c>
      <c r="Q16" s="207">
        <f>ROUND(SUMPRODUCT(Q6:Q13,K6:K13)/SUMPRODUCT((Q6:Q13&gt;0)*(K6:K13)),2)</f>
        <v>0.11</v>
      </c>
      <c r="R16" s="2293">
        <f>SUM(R6:R13)</f>
        <v>285760.2</v>
      </c>
      <c r="S16" s="208">
        <f>SUM(S6:S13)</f>
        <v>131065.65000000001</v>
      </c>
      <c r="T16" s="209">
        <f>IF(SUMIF(T6:T13,"&lt;9E307")=M14,SUMIF(T6:T13,"&lt;9E307"),"有误，请检查")</f>
        <v>31456</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0.82599999999999996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5</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2337</v>
      </c>
      <c r="B27" s="226">
        <f>'[1]数据-取费表'!$B$27</f>
        <v>220</v>
      </c>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2338</v>
      </c>
      <c r="B28" s="228">
        <f>'[1]数据-取费表'!$B$28</f>
        <v>220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2336</v>
      </c>
      <c r="B29" s="231"/>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f>'[1]数据-取费表'!$B$30</f>
        <v>250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250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f>'[1]数据-取费表'!$B$33</f>
        <v>0.03</v>
      </c>
      <c r="C33" s="2326" t="s">
        <v>2892</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f>'[1]数据-取费表'!$B$34</f>
        <v>0.03</v>
      </c>
      <c r="C34" s="2326" t="s">
        <v>2893</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f>'[1]数据-取费表'!$B$35</f>
        <v>250</v>
      </c>
      <c r="C35" s="2326" t="s">
        <v>2894</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f>'[1]数据-取费表'!$B$36</f>
        <v>1.4999999999999999E-2</v>
      </c>
      <c r="C36" s="2326" t="s">
        <v>2895</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f>'[1]数据-取费表'!$B$37</f>
        <v>0.02</v>
      </c>
      <c r="C37" s="2326" t="s">
        <v>2896</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f>'[1]数据-取费表'!$B$38</f>
        <v>0.02</v>
      </c>
      <c r="C38" s="2326" t="s">
        <v>2896</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f>'[1]数据-取费表'!$B$42</f>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2897</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2898</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2899</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3" t="s">
        <v>2900</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f>'[1]数据-取费表'!$B$48</f>
        <v>0.03</v>
      </c>
      <c r="C48" s="3024" t="s">
        <v>2901</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f>'[1]数据-取费表'!$B$49</f>
        <v>5.0000000000000001E-4</v>
      </c>
      <c r="C49" s="3024" t="s">
        <v>2902</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12</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1095</v>
      </c>
      <c r="C53" s="3025" t="s">
        <v>2903</v>
      </c>
      <c r="D53" s="3026" t="s">
        <v>2904</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2905</v>
      </c>
      <c r="B54" s="185">
        <f>'[1]数据-取费表'!$B$54</f>
        <v>12</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2906</v>
      </c>
      <c r="B55" s="185"/>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2907</v>
      </c>
      <c r="B56" s="185"/>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2908</v>
      </c>
      <c r="B57" s="185"/>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2909</v>
      </c>
      <c r="B58" s="185"/>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2910</v>
      </c>
      <c r="B59" s="185"/>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2911</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2912</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2913</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2914</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6"/>
      <c r="L64" s="56"/>
    </row>
    <row r="65" spans="1:12" s="1980" customFormat="1">
      <c r="A65" s="252"/>
      <c r="D65" s="1981"/>
      <c r="K65" s="56"/>
      <c r="L65" s="56"/>
    </row>
    <row r="66" spans="1:12" s="1980" customFormat="1">
      <c r="A66" s="252"/>
      <c r="D66" s="1981"/>
      <c r="K66" s="56"/>
      <c r="L66" s="56"/>
    </row>
    <row r="67" spans="1:12" s="1980" customFormat="1">
      <c r="A67" s="252"/>
      <c r="D67" s="1981"/>
      <c r="K67" s="56"/>
      <c r="L67" s="56"/>
    </row>
    <row r="68" spans="1:12" s="1980" customFormat="1">
      <c r="A68" s="252"/>
      <c r="D68" s="1981"/>
      <c r="K68" s="56"/>
      <c r="L68" s="56"/>
    </row>
    <row r="69" spans="1:12" s="1980" customFormat="1">
      <c r="A69" s="252"/>
      <c r="D69" s="1981"/>
      <c r="K69" s="56"/>
      <c r="L69" s="56"/>
    </row>
    <row r="70" spans="1:12" s="1980" customFormat="1">
      <c r="A70" s="252"/>
      <c r="D70" s="1981"/>
      <c r="K70" s="56"/>
      <c r="L70" s="56"/>
    </row>
    <row r="71" spans="1:12" s="1980" customFormat="1">
      <c r="A71" s="252"/>
      <c r="D71" s="1981"/>
      <c r="K71" s="56"/>
      <c r="L71" s="56"/>
    </row>
    <row r="72" spans="1:12" s="1980" customFormat="1">
      <c r="A72" s="252"/>
      <c r="D72" s="1981"/>
      <c r="K72" s="56"/>
      <c r="L72" s="56"/>
    </row>
    <row r="73" spans="1:12" s="1980" customFormat="1">
      <c r="A73" s="252"/>
      <c r="D73" s="1981"/>
      <c r="K73" s="56"/>
      <c r="L73" s="56"/>
    </row>
    <row r="74" spans="1:12" s="1980" customFormat="1">
      <c r="A74" s="252"/>
      <c r="D74" s="1981"/>
      <c r="K74" s="56"/>
      <c r="L74" s="56"/>
    </row>
    <row r="75" spans="1:12" s="1980" customFormat="1">
      <c r="A75" s="252"/>
      <c r="D75" s="1981"/>
      <c r="K75" s="56"/>
      <c r="L75" s="56"/>
    </row>
    <row r="76" spans="1:12" s="1980" customFormat="1">
      <c r="A76" s="252"/>
      <c r="D76" s="1981"/>
      <c r="K76" s="56"/>
      <c r="L76" s="56"/>
    </row>
    <row r="77" spans="1:12" s="1980" customFormat="1">
      <c r="A77" s="252"/>
      <c r="D77" s="1981"/>
      <c r="K77" s="56"/>
      <c r="L77" s="56"/>
    </row>
    <row r="78" spans="1:12" s="1980" customFormat="1">
      <c r="A78" s="252"/>
      <c r="D78" s="1981"/>
      <c r="K78" s="56"/>
      <c r="L78" s="56"/>
    </row>
    <row r="79" spans="1:12" s="1980" customFormat="1">
      <c r="A79" s="252"/>
      <c r="D79" s="1981"/>
      <c r="K79" s="56"/>
      <c r="L79" s="56"/>
    </row>
    <row r="80" spans="1:12" s="1980" customFormat="1">
      <c r="A80" s="252"/>
      <c r="D80" s="1981"/>
      <c r="K80" s="56"/>
      <c r="L80" s="56"/>
    </row>
    <row r="81" spans="1:12" s="1980" customFormat="1">
      <c r="A81" s="252"/>
      <c r="D81" s="1981"/>
      <c r="K81" s="56"/>
      <c r="L81" s="56"/>
    </row>
    <row r="82" spans="1:12" s="1980" customFormat="1">
      <c r="A82" s="252"/>
      <c r="D82" s="1981"/>
      <c r="K82" s="56"/>
      <c r="L82" s="56"/>
    </row>
    <row r="83" spans="1:12" s="1980" customFormat="1">
      <c r="A83" s="252"/>
      <c r="D83" s="1981"/>
      <c r="K83" s="56"/>
      <c r="L83" s="56"/>
    </row>
    <row r="84" spans="1:12" s="1980" customFormat="1">
      <c r="A84" s="252"/>
      <c r="D84" s="1981"/>
      <c r="K84" s="56"/>
      <c r="L84" s="56"/>
    </row>
    <row r="85" spans="1:12" s="1980" customFormat="1">
      <c r="A85" s="252"/>
      <c r="D85" s="1981"/>
      <c r="K85" s="56"/>
      <c r="L85" s="56"/>
    </row>
    <row r="86" spans="1:12" s="1980" customFormat="1">
      <c r="A86" s="252"/>
      <c r="D86" s="1981"/>
      <c r="K86" s="56"/>
      <c r="L86" s="56"/>
    </row>
    <row r="87" spans="1:12" s="1980" customFormat="1">
      <c r="A87" s="252"/>
      <c r="D87" s="1981"/>
      <c r="K87" s="56"/>
      <c r="L87" s="56"/>
    </row>
    <row r="88" spans="1:12" s="1980" customFormat="1">
      <c r="A88" s="252"/>
      <c r="D88" s="1981"/>
      <c r="K88" s="56"/>
      <c r="L88" s="56"/>
    </row>
    <row r="89" spans="1:12" s="1980" customFormat="1">
      <c r="A89" s="252"/>
      <c r="D89" s="1981"/>
      <c r="K89" s="56"/>
      <c r="L89" s="56"/>
    </row>
    <row r="90" spans="1:12" s="1980" customFormat="1">
      <c r="A90" s="252"/>
      <c r="D90" s="1981"/>
      <c r="K90" s="56"/>
      <c r="L90" s="56"/>
    </row>
    <row r="91" spans="1:12" s="1980" customFormat="1">
      <c r="A91" s="252"/>
      <c r="D91" s="1981"/>
      <c r="K91" s="56"/>
      <c r="L91" s="56"/>
    </row>
    <row r="92" spans="1:12" s="1980" customFormat="1">
      <c r="A92" s="252"/>
      <c r="D92" s="1981"/>
      <c r="K92" s="56"/>
      <c r="L92" s="56"/>
    </row>
    <row r="93" spans="1:12" s="1980" customFormat="1">
      <c r="A93" s="252"/>
      <c r="D93" s="1981"/>
      <c r="K93" s="56"/>
      <c r="L93" s="56"/>
    </row>
    <row r="94" spans="1:12" s="1980" customFormat="1">
      <c r="A94" s="252"/>
      <c r="D94" s="1981"/>
      <c r="K94" s="56"/>
      <c r="L94" s="56"/>
    </row>
    <row r="95" spans="1:12" s="1980" customFormat="1">
      <c r="A95" s="252"/>
      <c r="D95" s="1981"/>
      <c r="K95" s="56"/>
      <c r="L95" s="56"/>
    </row>
    <row r="96" spans="1:12" s="1980" customFormat="1">
      <c r="A96" s="252"/>
      <c r="D96" s="1981"/>
      <c r="K96" s="56"/>
      <c r="L96" s="56"/>
    </row>
    <row r="97" spans="1:12" s="1980" customFormat="1">
      <c r="A97" s="252"/>
      <c r="D97" s="1981"/>
      <c r="K97" s="56"/>
      <c r="L97" s="56"/>
    </row>
    <row r="98" spans="1:12" s="1980" customFormat="1">
      <c r="A98" s="252"/>
      <c r="D98" s="1981"/>
      <c r="K98" s="56"/>
      <c r="L98" s="56"/>
    </row>
    <row r="99" spans="1:12" s="1980" customFormat="1">
      <c r="A99" s="252"/>
      <c r="D99" s="1981"/>
      <c r="K99" s="56"/>
      <c r="L99" s="56"/>
    </row>
    <row r="100" spans="1:12" s="1980" customFormat="1">
      <c r="A100" s="252"/>
      <c r="D100" s="1981"/>
      <c r="K100" s="56"/>
      <c r="L100" s="56"/>
    </row>
    <row r="101" spans="1:12" s="1980" customFormat="1">
      <c r="A101" s="252"/>
      <c r="D101" s="1981"/>
      <c r="K101" s="56"/>
      <c r="L101" s="56"/>
    </row>
    <row r="102" spans="1:12" s="1980" customFormat="1">
      <c r="A102" s="252"/>
      <c r="D102" s="1981"/>
      <c r="K102" s="56"/>
      <c r="L102" s="56"/>
    </row>
    <row r="103" spans="1:12" s="1980" customFormat="1">
      <c r="A103" s="252"/>
      <c r="D103" s="1981"/>
      <c r="K103" s="56"/>
      <c r="L103" s="56"/>
    </row>
    <row r="104" spans="1:12" s="1980" customFormat="1">
      <c r="A104" s="252"/>
      <c r="D104" s="1981"/>
      <c r="K104" s="56"/>
      <c r="L104" s="56"/>
    </row>
    <row r="105" spans="1:12" s="1980" customFormat="1">
      <c r="A105" s="252"/>
      <c r="D105" s="1981"/>
      <c r="K105" s="56"/>
      <c r="L105" s="56"/>
    </row>
    <row r="106" spans="1:12" s="1980" customFormat="1">
      <c r="A106" s="252"/>
      <c r="D106" s="1981"/>
      <c r="K106" s="56"/>
      <c r="L106" s="56"/>
    </row>
    <row r="107" spans="1:12" s="1980" customFormat="1">
      <c r="A107" s="252"/>
      <c r="D107" s="1981"/>
      <c r="K107" s="56"/>
      <c r="L107" s="56"/>
    </row>
    <row r="108" spans="1:12" s="1980" customFormat="1">
      <c r="A108" s="252"/>
      <c r="D108" s="1981"/>
      <c r="K108" s="56"/>
      <c r="L108" s="56"/>
    </row>
    <row r="109" spans="1:12" s="1980" customFormat="1">
      <c r="A109" s="252"/>
      <c r="D109" s="1981"/>
      <c r="K109" s="56"/>
      <c r="L109" s="56"/>
    </row>
    <row r="110" spans="1:12" s="1980" customFormat="1">
      <c r="A110" s="252"/>
      <c r="D110" s="1981"/>
      <c r="K110" s="56"/>
      <c r="L110" s="56"/>
    </row>
    <row r="111" spans="1:12" s="1980" customFormat="1">
      <c r="A111" s="252"/>
      <c r="D111" s="1981"/>
      <c r="K111" s="56"/>
      <c r="L111" s="56"/>
    </row>
    <row r="112" spans="1:12" s="1980" customFormat="1">
      <c r="A112" s="252"/>
      <c r="D112" s="1981"/>
      <c r="K112" s="56"/>
      <c r="L112" s="56"/>
    </row>
    <row r="113" spans="1:12" s="1980" customFormat="1">
      <c r="A113" s="252"/>
      <c r="D113" s="1981"/>
      <c r="K113" s="56"/>
      <c r="L113" s="56"/>
    </row>
    <row r="114" spans="1:12" s="1980" customFormat="1">
      <c r="A114" s="252"/>
      <c r="D114" s="1981"/>
      <c r="K114" s="56"/>
      <c r="L114" s="56"/>
    </row>
    <row r="115" spans="1:12" s="1980" customFormat="1">
      <c r="A115" s="252"/>
      <c r="D115" s="1981"/>
      <c r="K115" s="56"/>
      <c r="L115" s="56"/>
    </row>
    <row r="116" spans="1:12" s="1980" customFormat="1">
      <c r="A116" s="252"/>
      <c r="D116" s="1981"/>
      <c r="K116" s="56"/>
      <c r="L116" s="56"/>
    </row>
    <row r="117" spans="1:12" s="1980" customFormat="1">
      <c r="A117" s="252"/>
      <c r="D117" s="1981"/>
      <c r="K117" s="56"/>
      <c r="L117" s="56"/>
    </row>
    <row r="118" spans="1:12" s="1980" customFormat="1">
      <c r="A118" s="252"/>
      <c r="D118" s="1981"/>
      <c r="K118" s="56"/>
      <c r="L118" s="56"/>
    </row>
    <row r="119" spans="1:12" s="1980" customFormat="1">
      <c r="A119" s="252"/>
      <c r="D119" s="1981"/>
      <c r="K119" s="56"/>
      <c r="L119" s="56"/>
    </row>
    <row r="120" spans="1:12" s="1980" customFormat="1">
      <c r="A120" s="252"/>
      <c r="D120" s="1981"/>
      <c r="K120" s="56"/>
      <c r="L120" s="56"/>
    </row>
    <row r="121" spans="1:12" s="1980" customFormat="1">
      <c r="A121" s="252"/>
      <c r="D121" s="1981"/>
      <c r="K121" s="56"/>
      <c r="L121" s="56"/>
    </row>
    <row r="122" spans="1:12" s="1980" customFormat="1">
      <c r="A122" s="252"/>
      <c r="D122" s="1981"/>
      <c r="K122" s="56"/>
      <c r="L122" s="56"/>
    </row>
    <row r="123" spans="1:12" s="1980" customFormat="1">
      <c r="A123" s="252"/>
      <c r="D123" s="1981"/>
      <c r="K123" s="56"/>
      <c r="L123" s="56"/>
    </row>
    <row r="124" spans="1:12" s="1980" customFormat="1">
      <c r="A124" s="252"/>
      <c r="D124" s="1981"/>
      <c r="K124" s="56"/>
      <c r="L124" s="56"/>
    </row>
    <row r="125" spans="1:12" s="1980" customFormat="1">
      <c r="A125" s="252"/>
      <c r="D125" s="1981"/>
      <c r="K125" s="56"/>
      <c r="L125" s="56"/>
    </row>
    <row r="126" spans="1:12" s="1980" customFormat="1">
      <c r="A126" s="252"/>
      <c r="D126" s="1981"/>
      <c r="K126" s="56"/>
      <c r="L126" s="56"/>
    </row>
    <row r="127" spans="1:12" s="1980" customFormat="1">
      <c r="A127" s="252"/>
      <c r="D127" s="1981"/>
      <c r="K127" s="56"/>
      <c r="L127" s="56"/>
    </row>
    <row r="128" spans="1:12" s="1980" customFormat="1">
      <c r="A128" s="252"/>
      <c r="D128" s="1981"/>
      <c r="K128" s="56"/>
      <c r="L128" s="56"/>
    </row>
    <row r="129" spans="1:12" s="1980" customFormat="1">
      <c r="A129" s="252"/>
      <c r="D129" s="1981"/>
      <c r="K129" s="56"/>
      <c r="L129" s="56"/>
    </row>
    <row r="130" spans="1:12" s="1980" customFormat="1">
      <c r="A130" s="252"/>
      <c r="D130" s="1981"/>
      <c r="K130" s="56"/>
      <c r="L130" s="56"/>
    </row>
    <row r="131" spans="1:12" s="1980" customFormat="1">
      <c r="A131" s="252"/>
      <c r="D131" s="1981"/>
      <c r="K131" s="56"/>
      <c r="L131" s="56"/>
    </row>
    <row r="132" spans="1:12" s="1980" customFormat="1">
      <c r="A132" s="252"/>
      <c r="D132" s="1981"/>
      <c r="K132" s="56"/>
      <c r="L132" s="56"/>
    </row>
    <row r="133" spans="1:12" s="1980" customFormat="1">
      <c r="A133" s="252"/>
      <c r="D133" s="1981"/>
      <c r="K133" s="56"/>
      <c r="L133" s="56"/>
    </row>
    <row r="134" spans="1:12" s="1980" customFormat="1">
      <c r="A134" s="252"/>
      <c r="D134" s="1981"/>
      <c r="K134" s="56"/>
      <c r="L134" s="56"/>
    </row>
    <row r="135" spans="1:12" s="1980" customFormat="1">
      <c r="A135" s="252"/>
      <c r="D135" s="1981"/>
      <c r="K135" s="56"/>
      <c r="L135" s="56"/>
    </row>
    <row r="136" spans="1:12" s="1980" customFormat="1">
      <c r="A136" s="252"/>
      <c r="D136" s="1981"/>
      <c r="K136" s="56"/>
      <c r="L136" s="56"/>
    </row>
    <row r="137" spans="1:12" s="1980" customFormat="1">
      <c r="A137" s="252"/>
      <c r="D137" s="1981"/>
      <c r="K137" s="56"/>
      <c r="L137" s="56"/>
    </row>
    <row r="138" spans="1:12" s="1980" customFormat="1">
      <c r="A138" s="252"/>
      <c r="D138" s="1981"/>
      <c r="K138" s="56"/>
      <c r="L138" s="56"/>
    </row>
    <row r="139" spans="1:12" s="1980" customFormat="1">
      <c r="A139" s="252"/>
      <c r="D139" s="1981"/>
      <c r="K139" s="56"/>
      <c r="L139" s="56"/>
    </row>
    <row r="140" spans="1:12" s="1980" customFormat="1">
      <c r="A140" s="252"/>
      <c r="D140" s="1981"/>
      <c r="K140" s="56"/>
      <c r="L140" s="56"/>
    </row>
    <row r="141" spans="1:12" s="1980" customFormat="1">
      <c r="A141" s="252"/>
      <c r="D141" s="1981"/>
      <c r="K141" s="56"/>
      <c r="L141" s="56"/>
    </row>
    <row r="142" spans="1:12" s="1980" customFormat="1">
      <c r="A142" s="252"/>
      <c r="D142" s="1981"/>
      <c r="K142" s="56"/>
      <c r="L142" s="56"/>
    </row>
    <row r="143" spans="1:12" s="1980" customFormat="1">
      <c r="A143" s="252"/>
      <c r="D143" s="1981"/>
      <c r="K143" s="56"/>
      <c r="L143" s="56"/>
    </row>
    <row r="144" spans="1:12" s="1980" customFormat="1">
      <c r="A144" s="252"/>
      <c r="D144" s="1981"/>
      <c r="K144" s="56"/>
      <c r="L144" s="56"/>
    </row>
    <row r="145" spans="1:12" s="1980" customFormat="1">
      <c r="A145" s="252"/>
      <c r="D145" s="1981"/>
      <c r="K145" s="56"/>
      <c r="L145" s="56"/>
    </row>
    <row r="146" spans="1:12" s="1980" customFormat="1">
      <c r="A146" s="252"/>
      <c r="D146" s="1981"/>
      <c r="K146" s="56"/>
      <c r="L146" s="56"/>
    </row>
    <row r="147" spans="1:12" s="1980" customFormat="1">
      <c r="A147" s="252"/>
      <c r="D147" s="1981"/>
      <c r="K147" s="56"/>
      <c r="L147" s="56"/>
    </row>
    <row r="148" spans="1:12" s="1980" customFormat="1">
      <c r="A148" s="252"/>
      <c r="D148" s="1981"/>
      <c r="K148" s="56"/>
      <c r="L148" s="56"/>
    </row>
    <row r="149" spans="1:12" s="1980" customFormat="1">
      <c r="A149" s="252"/>
      <c r="D149" s="1981"/>
      <c r="K149" s="56"/>
      <c r="L149" s="56"/>
    </row>
    <row r="150" spans="1:12" s="1980" customFormat="1">
      <c r="A150" s="252"/>
      <c r="D150" s="1981"/>
      <c r="K150" s="56"/>
      <c r="L150" s="56"/>
    </row>
    <row r="151" spans="1:12" s="1980" customFormat="1">
      <c r="A151" s="252"/>
      <c r="D151" s="1981"/>
      <c r="K151" s="56"/>
      <c r="L151" s="56"/>
    </row>
    <row r="152" spans="1:12" s="1980" customFormat="1">
      <c r="A152" s="252"/>
      <c r="D152" s="1981"/>
      <c r="K152" s="56"/>
      <c r="L152" s="56"/>
    </row>
    <row r="153" spans="1:12" s="1980" customFormat="1">
      <c r="A153" s="252"/>
      <c r="D153" s="1981"/>
      <c r="K153" s="56"/>
      <c r="L153" s="56"/>
    </row>
    <row r="154" spans="1:12" s="1980" customFormat="1">
      <c r="A154" s="252"/>
      <c r="D154" s="1981"/>
      <c r="K154" s="56"/>
      <c r="L154" s="56"/>
    </row>
    <row r="155" spans="1:12" s="1980" customFormat="1">
      <c r="A155" s="252"/>
      <c r="D155" s="1981"/>
      <c r="K155" s="56"/>
      <c r="L155" s="56"/>
    </row>
    <row r="156" spans="1:12" s="1980" customFormat="1">
      <c r="A156" s="252"/>
      <c r="D156" s="1981"/>
      <c r="K156" s="56"/>
      <c r="L156" s="56"/>
    </row>
    <row r="157" spans="1:12" s="1980" customFormat="1">
      <c r="A157" s="252"/>
      <c r="D157" s="1981"/>
      <c r="K157" s="56"/>
      <c r="L157" s="56"/>
    </row>
    <row r="158" spans="1:12" s="1980" customFormat="1">
      <c r="A158" s="252"/>
      <c r="D158" s="1981"/>
      <c r="K158" s="56"/>
      <c r="L158" s="56"/>
    </row>
    <row r="159" spans="1:12" s="1980" customFormat="1">
      <c r="A159" s="252"/>
      <c r="D159" s="1981"/>
      <c r="K159" s="56"/>
      <c r="L159" s="56"/>
    </row>
    <row r="160" spans="1:12" s="1980" customFormat="1">
      <c r="A160" s="252"/>
      <c r="D160" s="1981"/>
      <c r="K160" s="56"/>
      <c r="L160" s="56"/>
    </row>
    <row r="161" spans="1:12" s="1980" customFormat="1">
      <c r="A161" s="252"/>
      <c r="D161" s="1981"/>
      <c r="K161" s="56"/>
      <c r="L161" s="56"/>
    </row>
    <row r="162" spans="1:12" s="1980" customFormat="1">
      <c r="A162" s="252"/>
      <c r="D162" s="1981"/>
      <c r="K162" s="56"/>
      <c r="L162" s="56"/>
    </row>
    <row r="163" spans="1:12" s="1980" customFormat="1">
      <c r="A163" s="252"/>
      <c r="D163" s="1981"/>
      <c r="K163" s="56"/>
      <c r="L163" s="56"/>
    </row>
    <row r="164" spans="1:12" s="1980" customFormat="1">
      <c r="A164" s="252"/>
      <c r="D164" s="1981"/>
      <c r="K164" s="56"/>
      <c r="L164" s="56"/>
    </row>
    <row r="165" spans="1:12" s="1980" customFormat="1">
      <c r="A165" s="252"/>
      <c r="D165" s="1981"/>
      <c r="K165" s="56"/>
      <c r="L165" s="56"/>
    </row>
    <row r="166" spans="1:12" s="1980" customFormat="1">
      <c r="A166" s="252"/>
      <c r="D166" s="1981"/>
      <c r="K166" s="56"/>
      <c r="L166" s="56"/>
    </row>
    <row r="167" spans="1:12" s="1980" customFormat="1">
      <c r="A167" s="252"/>
      <c r="D167" s="1981"/>
      <c r="K167" s="56"/>
      <c r="L167" s="56"/>
    </row>
    <row r="168" spans="1:12" s="1980" customFormat="1">
      <c r="A168" s="252"/>
      <c r="D168" s="1981"/>
      <c r="K168" s="56"/>
      <c r="L168" s="56"/>
    </row>
    <row r="169" spans="1:12" s="1980" customFormat="1">
      <c r="A169" s="252"/>
      <c r="D169" s="1981"/>
      <c r="K169" s="56"/>
      <c r="L169" s="56"/>
    </row>
    <row r="170" spans="1:12" s="1980" customFormat="1">
      <c r="A170" s="252"/>
      <c r="D170" s="1981"/>
      <c r="K170" s="56"/>
      <c r="L170" s="56"/>
    </row>
    <row r="171" spans="1:12" s="1980" customFormat="1">
      <c r="A171" s="252"/>
      <c r="D171" s="1981"/>
      <c r="K171" s="56"/>
      <c r="L171" s="56"/>
    </row>
    <row r="172" spans="1:12" s="1980" customFormat="1">
      <c r="A172" s="252"/>
      <c r="D172" s="1981"/>
      <c r="K172" s="56"/>
      <c r="L172" s="56"/>
    </row>
    <row r="173" spans="1:12" s="1980" customFormat="1">
      <c r="A173" s="252"/>
      <c r="D173" s="1981"/>
      <c r="K173" s="56"/>
      <c r="L173" s="56"/>
    </row>
    <row r="174" spans="1:12" s="1980" customFormat="1">
      <c r="A174" s="252"/>
      <c r="D174" s="1981"/>
      <c r="K174" s="56"/>
      <c r="L174" s="56"/>
    </row>
    <row r="175" spans="1:12" s="1980" customFormat="1">
      <c r="A175" s="252"/>
      <c r="D175" s="1981"/>
      <c r="K175" s="56"/>
      <c r="L175" s="56"/>
    </row>
    <row r="176" spans="1:12" s="1980" customFormat="1">
      <c r="A176" s="252"/>
      <c r="D176" s="1981"/>
      <c r="K176" s="56"/>
      <c r="L176" s="56"/>
    </row>
    <row r="177" spans="1:12" s="1980" customFormat="1">
      <c r="A177" s="252"/>
      <c r="D177" s="1981"/>
      <c r="K177" s="56"/>
      <c r="L177" s="56"/>
    </row>
    <row r="178" spans="1:12" s="1980" customFormat="1">
      <c r="A178" s="252"/>
      <c r="D178" s="1981"/>
      <c r="K178" s="56"/>
      <c r="L178" s="56"/>
    </row>
    <row r="179" spans="1:12" s="1980" customFormat="1">
      <c r="A179" s="252"/>
      <c r="D179" s="1981"/>
      <c r="K179" s="56"/>
      <c r="L179" s="56"/>
    </row>
    <row r="180" spans="1:12" s="1980" customFormat="1">
      <c r="A180" s="252"/>
      <c r="D180" s="1981"/>
      <c r="K180" s="56"/>
      <c r="L180" s="56"/>
    </row>
    <row r="181" spans="1:12" s="1980" customFormat="1">
      <c r="A181" s="252"/>
      <c r="D181" s="1981"/>
      <c r="K181" s="56"/>
      <c r="L181" s="56"/>
    </row>
    <row r="182" spans="1:12" s="1980" customFormat="1">
      <c r="A182" s="252"/>
      <c r="D182" s="1981"/>
      <c r="K182" s="56"/>
      <c r="L182" s="56"/>
    </row>
    <row r="183" spans="1:12" s="1980" customFormat="1">
      <c r="A183" s="252"/>
      <c r="D183" s="1981"/>
      <c r="K183" s="56"/>
      <c r="L183" s="56"/>
    </row>
    <row r="184" spans="1:12" s="1980" customFormat="1">
      <c r="A184" s="252"/>
      <c r="D184" s="1981"/>
      <c r="K184" s="56"/>
      <c r="L184" s="56"/>
    </row>
    <row r="185" spans="1:12" s="1980" customFormat="1">
      <c r="A185" s="252"/>
      <c r="D185" s="1981"/>
      <c r="K185" s="56"/>
      <c r="L185" s="56"/>
    </row>
    <row r="186" spans="1:12" s="1980" customFormat="1">
      <c r="A186" s="252"/>
      <c r="D186" s="1981"/>
      <c r="K186" s="56"/>
      <c r="L186" s="56"/>
    </row>
    <row r="187" spans="1:12" s="1980" customFormat="1">
      <c r="A187" s="252"/>
      <c r="D187" s="1981"/>
      <c r="K187" s="56"/>
      <c r="L187" s="56"/>
    </row>
    <row r="188" spans="1:12" s="1980" customFormat="1">
      <c r="A188" s="252"/>
      <c r="D188" s="1981"/>
      <c r="K188" s="56"/>
      <c r="L188" s="56"/>
    </row>
    <row r="189" spans="1:12" s="1980" customFormat="1">
      <c r="A189" s="252"/>
      <c r="D189" s="1981"/>
      <c r="K189" s="56"/>
      <c r="L189" s="56"/>
    </row>
    <row r="190" spans="1:12" s="1980" customFormat="1">
      <c r="A190" s="252"/>
      <c r="D190" s="1981"/>
      <c r="K190" s="56"/>
      <c r="L190" s="56"/>
    </row>
    <row r="191" spans="1:12" s="1980" customFormat="1">
      <c r="A191" s="252"/>
      <c r="D191" s="1981"/>
      <c r="K191" s="56"/>
      <c r="L191" s="56"/>
    </row>
    <row r="192" spans="1:12" s="1980" customFormat="1">
      <c r="A192" s="252"/>
      <c r="D192" s="1981"/>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4" t="s">
        <v>1662</v>
      </c>
      <c r="B1" s="3295"/>
      <c r="C1" s="3295"/>
      <c r="D1" s="3295"/>
      <c r="E1" s="3295"/>
      <c r="F1" s="3295"/>
      <c r="G1" s="3295"/>
      <c r="H1" s="1984"/>
      <c r="I1" s="1985"/>
      <c r="J1" s="1986"/>
      <c r="K1" s="1984"/>
      <c r="L1" s="1985"/>
      <c r="M1" s="1986"/>
      <c r="N1" s="1984"/>
      <c r="O1" s="1985"/>
      <c r="P1" s="1986"/>
      <c r="Q1" s="1987"/>
      <c r="R1" s="1988"/>
    </row>
    <row r="2" spans="1:18" ht="14.25" thickBot="1">
      <c r="A2" s="1214"/>
      <c r="B2" s="1215"/>
      <c r="C2" s="1216" t="s">
        <v>1663</v>
      </c>
      <c r="D2" s="1217"/>
      <c r="E2" s="1218"/>
      <c r="F2" s="1219"/>
      <c r="G2" s="1216" t="s">
        <v>1664</v>
      </c>
      <c r="H2" s="1990"/>
      <c r="I2" s="1990"/>
      <c r="J2" s="1990"/>
      <c r="K2" s="1990"/>
      <c r="L2" s="1990"/>
      <c r="M2" s="1990"/>
      <c r="N2" s="1990"/>
      <c r="O2" s="1990"/>
      <c r="P2" s="1990"/>
      <c r="Q2" s="1990"/>
      <c r="R2" s="1990"/>
    </row>
    <row r="3" spans="1:18" ht="54">
      <c r="A3" s="1220" t="s">
        <v>1665</v>
      </c>
      <c r="B3" s="1221" t="s">
        <v>1652</v>
      </c>
      <c r="C3" s="3030" t="s">
        <v>2921</v>
      </c>
      <c r="D3" s="1991"/>
      <c r="E3" s="1222" t="s">
        <v>1665</v>
      </c>
      <c r="F3" s="1223" t="s">
        <v>1653</v>
      </c>
      <c r="G3" s="3034" t="s">
        <v>2920</v>
      </c>
      <c r="H3" s="1990"/>
      <c r="I3" s="1990"/>
      <c r="J3" s="1990"/>
      <c r="K3" s="1990"/>
      <c r="L3" s="1990"/>
      <c r="M3" s="1990"/>
      <c r="N3" s="1990"/>
      <c r="O3" s="1990"/>
      <c r="P3" s="1990"/>
      <c r="Q3" s="1990"/>
      <c r="R3" s="1990"/>
    </row>
    <row r="4" spans="1:18" ht="41.25">
      <c r="A4" s="1222"/>
      <c r="B4" s="1224" t="s">
        <v>1666</v>
      </c>
      <c r="C4" s="3031" t="s">
        <v>2922</v>
      </c>
      <c r="D4" s="1991"/>
      <c r="E4" s="1225"/>
      <c r="F4" s="1226" t="s">
        <v>1667</v>
      </c>
      <c r="G4" s="3032" t="s">
        <v>2917</v>
      </c>
      <c r="H4" s="1990"/>
      <c r="I4" s="1990"/>
      <c r="J4" s="1990"/>
      <c r="K4" s="1990"/>
      <c r="L4" s="1990"/>
      <c r="M4" s="1990"/>
      <c r="N4" s="1990"/>
      <c r="O4" s="1990"/>
      <c r="P4" s="1990"/>
      <c r="Q4" s="1990"/>
      <c r="R4" s="1990"/>
    </row>
    <row r="5" spans="1:18" ht="41.25">
      <c r="A5" s="1222"/>
      <c r="B5" s="1224" t="s">
        <v>1668</v>
      </c>
      <c r="C5" s="3031" t="s">
        <v>2923</v>
      </c>
      <c r="D5" s="1991"/>
      <c r="E5" s="1225"/>
      <c r="F5" s="1224" t="s">
        <v>2545</v>
      </c>
      <c r="G5" s="3032" t="s">
        <v>2918</v>
      </c>
      <c r="H5" s="1990"/>
      <c r="I5" s="1990"/>
      <c r="J5" s="1990"/>
      <c r="K5" s="1990"/>
      <c r="L5" s="1990"/>
      <c r="M5" s="1990"/>
      <c r="N5" s="1990"/>
      <c r="O5" s="1990"/>
      <c r="P5" s="1990"/>
      <c r="Q5" s="1990"/>
      <c r="R5" s="1990"/>
    </row>
    <row r="6" spans="1:18" ht="54">
      <c r="A6" s="1222"/>
      <c r="B6" s="1224" t="s">
        <v>1654</v>
      </c>
      <c r="C6" s="3032" t="s">
        <v>2917</v>
      </c>
      <c r="D6" s="1991"/>
      <c r="E6" s="1225"/>
      <c r="F6" s="1224" t="s">
        <v>2546</v>
      </c>
      <c r="G6" s="3032" t="s">
        <v>2915</v>
      </c>
      <c r="H6" s="1990"/>
      <c r="I6" s="1990"/>
      <c r="J6" s="1990"/>
      <c r="K6" s="1990"/>
      <c r="L6" s="1990"/>
      <c r="M6" s="1990"/>
      <c r="N6" s="1990"/>
      <c r="O6" s="1990"/>
      <c r="P6" s="1990"/>
      <c r="Q6" s="1990"/>
      <c r="R6" s="1990"/>
    </row>
    <row r="7" spans="1:18" ht="41.25" thickBot="1">
      <c r="A7" s="1222"/>
      <c r="B7" s="1224" t="s">
        <v>2545</v>
      </c>
      <c r="C7" s="3032" t="s">
        <v>2918</v>
      </c>
      <c r="D7" s="1992"/>
      <c r="E7" s="1227"/>
      <c r="F7" s="1228" t="s">
        <v>1669</v>
      </c>
      <c r="G7" s="3035" t="s">
        <v>2919</v>
      </c>
      <c r="H7" s="1990"/>
      <c r="I7" s="1990"/>
      <c r="J7" s="1990"/>
      <c r="K7" s="1990"/>
      <c r="L7" s="1990"/>
      <c r="M7" s="1990"/>
      <c r="N7" s="1990"/>
      <c r="O7" s="1990"/>
      <c r="P7" s="1990"/>
      <c r="Q7" s="1990"/>
      <c r="R7" s="1990"/>
    </row>
    <row r="8" spans="1:18" ht="27">
      <c r="A8" s="1222"/>
      <c r="B8" s="1224" t="s">
        <v>2546</v>
      </c>
      <c r="C8" s="3032" t="s">
        <v>2915</v>
      </c>
      <c r="D8" s="1992"/>
      <c r="E8" s="1992"/>
      <c r="F8" s="1537"/>
      <c r="G8" s="1537"/>
      <c r="H8" s="1990"/>
      <c r="I8" s="1990"/>
      <c r="J8" s="1990"/>
      <c r="K8" s="1990"/>
      <c r="L8" s="1990"/>
      <c r="M8" s="1990"/>
      <c r="N8" s="1990"/>
      <c r="O8" s="1990"/>
      <c r="P8" s="1990"/>
      <c r="Q8" s="1990"/>
      <c r="R8" s="1990"/>
    </row>
    <row r="9" spans="1:18" ht="40.5">
      <c r="A9" s="1222"/>
      <c r="B9" s="1224" t="s">
        <v>1655</v>
      </c>
      <c r="C9" s="3031" t="s">
        <v>2916</v>
      </c>
      <c r="D9" s="1991"/>
      <c r="E9" s="1992"/>
      <c r="F9" s="1537"/>
      <c r="G9" s="1537"/>
      <c r="H9" s="1990"/>
      <c r="I9" s="1990"/>
      <c r="J9" s="1990"/>
      <c r="K9" s="1990"/>
      <c r="L9" s="1990"/>
      <c r="M9" s="1990"/>
      <c r="N9" s="1990"/>
      <c r="O9" s="1990"/>
      <c r="P9" s="1990"/>
      <c r="Q9" s="1990"/>
      <c r="R9" s="1990"/>
    </row>
    <row r="10" spans="1:18" s="1998" customFormat="1" ht="15" thickBot="1">
      <c r="A10" s="1229"/>
      <c r="B10" s="1230"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7"/>
      <c r="E13" s="2539"/>
      <c r="F13" s="2539"/>
      <c r="G13" s="2539"/>
    </row>
    <row r="14" spans="1:18" ht="14.25" thickBot="1">
      <c r="A14" s="1231"/>
      <c r="B14" s="1232"/>
      <c r="C14" s="1233" t="s">
        <v>1663</v>
      </c>
      <c r="D14" s="1991"/>
      <c r="E14" s="1234"/>
      <c r="F14" s="1234"/>
      <c r="G14" s="1216" t="s">
        <v>1664</v>
      </c>
    </row>
    <row r="15" spans="1:18" ht="54">
      <c r="A15" s="2549" t="s">
        <v>1656</v>
      </c>
      <c r="B15" s="1235" t="s">
        <v>1652</v>
      </c>
      <c r="C15" s="1236" t="str">
        <f>C3</f>
        <v>估价对象周边居住用地比例、居住小区规模和社区发展完善程度，综合评价居住社区成熟度一般</v>
      </c>
      <c r="D15" s="1991"/>
      <c r="E15" s="2546" t="s">
        <v>1657</v>
      </c>
      <c r="F15" s="1235" t="s">
        <v>1672</v>
      </c>
      <c r="G15" s="1237" t="str">
        <f>G3</f>
        <v>估价对象位于XX开发区，园区建设成熟度XX，产业集聚程度XX</v>
      </c>
    </row>
    <row r="16" spans="1:18" ht="40.5">
      <c r="A16" s="2550"/>
      <c r="B16" s="1238" t="s">
        <v>1666</v>
      </c>
      <c r="C16" s="1239" t="str">
        <f>C4</f>
        <v>估价对象位于XX商圈，周边商业氛围成熟，人流量大，商业繁华度好</v>
      </c>
      <c r="D16" s="1991"/>
      <c r="E16" s="2547"/>
      <c r="F16" s="1240" t="s">
        <v>1667</v>
      </c>
      <c r="G16" s="1002" t="str">
        <f>G4</f>
        <v>估价对象周边道路状况、公共交通通达情况、停车便捷程度，综合评价交通便捷度较好</v>
      </c>
    </row>
    <row r="17" spans="1:7" ht="40.5">
      <c r="A17" s="2550"/>
      <c r="B17" s="1238" t="s">
        <v>1668</v>
      </c>
      <c r="C17" s="1239" t="str">
        <f>C5</f>
        <v>估价对象位于XX商圈，周边办公楼项目较多，入驻率高，办公集聚程度较好</v>
      </c>
      <c r="D17" s="1992"/>
      <c r="E17" s="2547"/>
      <c r="F17" s="1240" t="s">
        <v>1673</v>
      </c>
      <c r="G17" s="2747"/>
    </row>
    <row r="18" spans="1:7" ht="54">
      <c r="A18" s="2550"/>
      <c r="B18" s="1240" t="s">
        <v>1654</v>
      </c>
      <c r="C18" s="1002" t="str">
        <f>C6</f>
        <v>估价对象周边道路状况、公共交通通达情况、停车便捷程度，综合评价交通便捷度较好</v>
      </c>
      <c r="D18" s="1992"/>
      <c r="E18" s="2547"/>
      <c r="F18" s="1240" t="s">
        <v>1669</v>
      </c>
      <c r="G18" s="1002" t="str">
        <f>G7</f>
        <v>该园区内是否有污染型企业，绿化情况，卫生条件，整体环境状况判断</v>
      </c>
    </row>
    <row r="19" spans="1:7" ht="27">
      <c r="A19" s="2550"/>
      <c r="B19" s="1240" t="s">
        <v>1658</v>
      </c>
      <c r="C19" s="2747"/>
      <c r="D19" s="1991"/>
      <c r="E19" s="2547"/>
      <c r="F19" s="1224" t="s">
        <v>2545</v>
      </c>
      <c r="G19" s="1002" t="str">
        <f>G5</f>
        <v>估价对象所在区域公共配套设施齐备情况</v>
      </c>
    </row>
    <row r="20" spans="1:7" ht="40.5">
      <c r="A20" s="2550"/>
      <c r="B20" s="1240" t="s">
        <v>1659</v>
      </c>
      <c r="C20" s="1239" t="str">
        <f>C9</f>
        <v>区域自然环境：；人文环境；综合评价环境状况一般</v>
      </c>
      <c r="D20" s="1992"/>
      <c r="E20" s="2547"/>
      <c r="F20" s="1224" t="s">
        <v>2546</v>
      </c>
      <c r="G20" s="1002" t="str">
        <f>G6</f>
        <v>估价对象所在区域基础设施水平</v>
      </c>
    </row>
    <row r="21" spans="1:7" ht="27">
      <c r="A21" s="2550"/>
      <c r="B21" s="1224" t="s">
        <v>2545</v>
      </c>
      <c r="C21" s="1002" t="str">
        <f>C7</f>
        <v>估价对象所在区域公共配套设施齐备情况</v>
      </c>
      <c r="D21" s="1991"/>
      <c r="E21" s="2547"/>
      <c r="F21" s="1240" t="s">
        <v>1660</v>
      </c>
      <c r="G21" s="3036"/>
    </row>
    <row r="22" spans="1:7" ht="27">
      <c r="A22" s="2550"/>
      <c r="B22" s="1224" t="s">
        <v>2546</v>
      </c>
      <c r="C22" s="1002" t="str">
        <f>C8</f>
        <v>估价对象所在区域基础设施水平</v>
      </c>
      <c r="D22" s="1991"/>
      <c r="E22" s="2547"/>
      <c r="F22" s="1240" t="s">
        <v>1670</v>
      </c>
      <c r="G22" s="2747"/>
    </row>
    <row r="23" spans="1:7" ht="15" thickBot="1">
      <c r="A23" s="2550"/>
      <c r="B23" s="1240" t="s">
        <v>1660</v>
      </c>
      <c r="C23" s="3036"/>
      <c r="E23" s="2548"/>
      <c r="F23" s="1241" t="s">
        <v>1674</v>
      </c>
      <c r="G23" s="3037"/>
    </row>
    <row r="24" spans="1:7" ht="14.25" thickBot="1">
      <c r="A24" s="2551"/>
      <c r="B24" s="1241" t="s">
        <v>1661</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2994" t="s">
        <v>2842</v>
      </c>
      <c r="B1" s="2994">
        <f>SUM(B14:B23)</f>
        <v>939662.47000000009</v>
      </c>
      <c r="C1" s="2995"/>
      <c r="D1" s="2995"/>
      <c r="E1" s="2995"/>
      <c r="F1" s="2995"/>
    </row>
    <row r="2" spans="1:9" ht="16.5">
      <c r="A2" s="2994" t="s">
        <v>2843</v>
      </c>
      <c r="B2" s="2994">
        <f>SUM(C14:C23)</f>
        <v>285760.2</v>
      </c>
      <c r="C2" s="2995"/>
      <c r="D2" s="2995"/>
      <c r="E2" s="2995"/>
      <c r="F2" s="2995"/>
    </row>
    <row r="3" spans="1:9" ht="16.5">
      <c r="A3" s="2994" t="s">
        <v>2844</v>
      </c>
      <c r="B3" s="2996">
        <f>项目基本情况!D3</f>
        <v>43630</v>
      </c>
      <c r="C3" s="2995"/>
      <c r="D3" s="2995"/>
      <c r="E3" s="2995"/>
      <c r="F3" s="2995"/>
    </row>
    <row r="4" spans="1:9" ht="33">
      <c r="A4" s="2994" t="s">
        <v>2845</v>
      </c>
      <c r="B4" s="2994" t="s">
        <v>2846</v>
      </c>
      <c r="C4" s="2994" t="s">
        <v>2847</v>
      </c>
      <c r="D4" s="2994" t="s">
        <v>2848</v>
      </c>
      <c r="E4" s="2995"/>
      <c r="F4" s="2995"/>
    </row>
    <row r="5" spans="1:9" ht="16.5">
      <c r="A5" s="2994" t="s">
        <v>2849</v>
      </c>
      <c r="B5" s="2994">
        <f ca="1">SUM(D14:D23)</f>
        <v>349624</v>
      </c>
      <c r="C5" s="2994">
        <f ca="1">ROUND(B5*10000/$B$1,0)</f>
        <v>3721</v>
      </c>
      <c r="D5" s="2994">
        <f ca="1">ROUND(B5*10000/$B$2,0)</f>
        <v>12235</v>
      </c>
      <c r="E5" s="2995"/>
      <c r="F5" s="2995"/>
    </row>
    <row r="6" spans="1:9" ht="16.5">
      <c r="A6" s="2994" t="s">
        <v>2850</v>
      </c>
      <c r="B6" s="2994">
        <f>SUM(G14:G23)</f>
        <v>0</v>
      </c>
      <c r="C6" s="2994">
        <f t="shared" ref="C6:C8" si="0">ROUND(B6*10000/$B$1,0)</f>
        <v>0</v>
      </c>
      <c r="D6" s="2994">
        <f t="shared" ref="D6:D8" si="1">ROUND(B6*10000/$B$2,0)</f>
        <v>0</v>
      </c>
      <c r="E6" s="2995"/>
      <c r="F6" s="2995"/>
    </row>
    <row r="7" spans="1:9" ht="16.5">
      <c r="A7" s="2994" t="s">
        <v>2851</v>
      </c>
      <c r="B7" s="2994">
        <f>SUM(H14:H23)</f>
        <v>0</v>
      </c>
      <c r="C7" s="2994">
        <f t="shared" si="0"/>
        <v>0</v>
      </c>
      <c r="D7" s="2994">
        <f t="shared" si="1"/>
        <v>0</v>
      </c>
      <c r="E7" s="2995"/>
      <c r="F7" s="2995"/>
    </row>
    <row r="8" spans="1:9" ht="16.5">
      <c r="A8" s="2994" t="s">
        <v>2852</v>
      </c>
      <c r="B8" s="2994">
        <f>SUM(I14:I23)</f>
        <v>0</v>
      </c>
      <c r="C8" s="2994">
        <f t="shared" si="0"/>
        <v>0</v>
      </c>
      <c r="D8" s="2994">
        <f t="shared" si="1"/>
        <v>0</v>
      </c>
      <c r="E8" s="2995"/>
      <c r="F8" s="2995"/>
    </row>
    <row r="9" spans="1:9" ht="16.5">
      <c r="A9" s="2994" t="s">
        <v>2853</v>
      </c>
      <c r="B9" s="2997"/>
      <c r="C9" s="2995"/>
      <c r="D9" s="2995"/>
      <c r="E9" s="2995"/>
      <c r="F9" s="2995"/>
    </row>
    <row r="10" spans="1:9" ht="16.5">
      <c r="A10" s="2994" t="s">
        <v>2854</v>
      </c>
      <c r="B10" s="2997"/>
      <c r="C10" s="2995"/>
      <c r="D10" s="2995"/>
      <c r="E10" s="2995"/>
      <c r="F10" s="2995"/>
    </row>
    <row r="11" spans="1:9" ht="16.5">
      <c r="A11" s="2994" t="s">
        <v>2871</v>
      </c>
      <c r="B11" s="2997"/>
      <c r="C11" s="2995"/>
      <c r="D11" s="2995"/>
      <c r="E11" s="2995"/>
      <c r="F11" s="2995"/>
    </row>
    <row r="12" spans="1:9" ht="16.5">
      <c r="A12" s="2995"/>
      <c r="B12" s="2995"/>
      <c r="C12" s="2995"/>
      <c r="D12" s="2995"/>
      <c r="E12" s="2995"/>
      <c r="F12" s="2995"/>
    </row>
    <row r="13" spans="1:9" ht="33">
      <c r="A13" s="3000" t="s">
        <v>2870</v>
      </c>
      <c r="B13" s="2998" t="s">
        <v>2842</v>
      </c>
      <c r="C13" s="2998" t="s">
        <v>2843</v>
      </c>
      <c r="D13" s="2998" t="s">
        <v>2855</v>
      </c>
      <c r="E13" s="2994" t="s">
        <v>2869</v>
      </c>
      <c r="F13" s="2994" t="s">
        <v>2848</v>
      </c>
      <c r="G13" s="2998" t="s">
        <v>2856</v>
      </c>
      <c r="H13" s="2998" t="s">
        <v>2857</v>
      </c>
      <c r="I13" s="2998" t="s">
        <v>2858</v>
      </c>
    </row>
    <row r="14" spans="1:9" ht="16.5">
      <c r="A14" s="3001" t="s">
        <v>2868</v>
      </c>
      <c r="B14" s="2998">
        <f>结果表!L38</f>
        <v>939662.47000000009</v>
      </c>
      <c r="C14" s="2998">
        <f>结果表!K38</f>
        <v>285760.2</v>
      </c>
      <c r="D14" s="2998">
        <f ca="1">结果表!C42</f>
        <v>349624</v>
      </c>
      <c r="E14" s="2998">
        <f ca="1">ROUND(D14*10000/B14,0)</f>
        <v>3721</v>
      </c>
      <c r="F14" s="2998">
        <f ca="1">ROUND(D14*10000/C14,0)</f>
        <v>12235</v>
      </c>
      <c r="G14" s="2998" t="str">
        <f>结果表!C44</f>
        <v>——</v>
      </c>
      <c r="H14" s="2998" t="str">
        <f>结果表!C45</f>
        <v>——</v>
      </c>
      <c r="I14" s="2998" t="str">
        <f>结果表!C46</f>
        <v>——</v>
      </c>
    </row>
    <row r="15" spans="1:9" ht="16.5">
      <c r="A15" s="3001" t="s">
        <v>2859</v>
      </c>
      <c r="B15" s="3002"/>
      <c r="C15" s="3002"/>
      <c r="D15" s="3002"/>
      <c r="E15" s="2998" t="e">
        <f t="shared" ref="E15:E23" si="2">ROUND(D15*10000/B15,0)</f>
        <v>#DIV/0!</v>
      </c>
      <c r="F15" s="2998" t="e">
        <f t="shared" ref="F15:F23" si="3">ROUND(D15*10000/C15,0)</f>
        <v>#DIV/0!</v>
      </c>
      <c r="G15" s="2999"/>
      <c r="H15" s="2999"/>
      <c r="I15" s="3002"/>
    </row>
    <row r="16" spans="1:9" ht="16.5">
      <c r="A16" s="3001" t="s">
        <v>2860</v>
      </c>
      <c r="B16" s="3002"/>
      <c r="C16" s="3002"/>
      <c r="D16" s="3002"/>
      <c r="E16" s="2998" t="e">
        <f t="shared" si="2"/>
        <v>#DIV/0!</v>
      </c>
      <c r="F16" s="2998" t="e">
        <f t="shared" si="3"/>
        <v>#DIV/0!</v>
      </c>
      <c r="G16" s="2999"/>
      <c r="H16" s="2999"/>
      <c r="I16" s="3002"/>
    </row>
    <row r="17" spans="1:9" ht="16.5">
      <c r="A17" s="3001" t="s">
        <v>2861</v>
      </c>
      <c r="B17" s="3002"/>
      <c r="C17" s="3002"/>
      <c r="D17" s="3002"/>
      <c r="E17" s="2998" t="e">
        <f t="shared" si="2"/>
        <v>#DIV/0!</v>
      </c>
      <c r="F17" s="2998" t="e">
        <f t="shared" si="3"/>
        <v>#DIV/0!</v>
      </c>
      <c r="G17" s="2999"/>
      <c r="H17" s="2999"/>
      <c r="I17" s="3002"/>
    </row>
    <row r="18" spans="1:9" ht="16.5">
      <c r="A18" s="3001" t="s">
        <v>2862</v>
      </c>
      <c r="B18" s="3002"/>
      <c r="C18" s="3002"/>
      <c r="D18" s="3002"/>
      <c r="E18" s="2998" t="e">
        <f t="shared" si="2"/>
        <v>#DIV/0!</v>
      </c>
      <c r="F18" s="2998" t="e">
        <f t="shared" si="3"/>
        <v>#DIV/0!</v>
      </c>
      <c r="G18" s="3002"/>
      <c r="H18" s="3002"/>
      <c r="I18" s="3002"/>
    </row>
    <row r="19" spans="1:9" ht="16.5">
      <c r="A19" s="3001" t="s">
        <v>2863</v>
      </c>
      <c r="B19" s="3002"/>
      <c r="C19" s="3002"/>
      <c r="D19" s="3002"/>
      <c r="E19" s="2998" t="e">
        <f t="shared" si="2"/>
        <v>#DIV/0!</v>
      </c>
      <c r="F19" s="2998" t="e">
        <f t="shared" si="3"/>
        <v>#DIV/0!</v>
      </c>
      <c r="G19" s="3002"/>
      <c r="H19" s="3002"/>
      <c r="I19" s="3002"/>
    </row>
    <row r="20" spans="1:9" ht="16.5">
      <c r="A20" s="3001" t="s">
        <v>2864</v>
      </c>
      <c r="B20" s="3002"/>
      <c r="C20" s="3002"/>
      <c r="D20" s="3002"/>
      <c r="E20" s="2998" t="e">
        <f t="shared" si="2"/>
        <v>#DIV/0!</v>
      </c>
      <c r="F20" s="2998" t="e">
        <f t="shared" si="3"/>
        <v>#DIV/0!</v>
      </c>
      <c r="G20" s="3002"/>
      <c r="H20" s="3002"/>
      <c r="I20" s="3002"/>
    </row>
    <row r="21" spans="1:9" ht="16.5">
      <c r="A21" s="3001" t="s">
        <v>2865</v>
      </c>
      <c r="B21" s="3002"/>
      <c r="C21" s="3002"/>
      <c r="D21" s="3002"/>
      <c r="E21" s="2998" t="e">
        <f t="shared" si="2"/>
        <v>#DIV/0!</v>
      </c>
      <c r="F21" s="2998" t="e">
        <f t="shared" si="3"/>
        <v>#DIV/0!</v>
      </c>
      <c r="G21" s="3002"/>
      <c r="H21" s="3002"/>
      <c r="I21" s="3002"/>
    </row>
    <row r="22" spans="1:9" ht="16.5">
      <c r="A22" s="3001" t="s">
        <v>2866</v>
      </c>
      <c r="B22" s="3002"/>
      <c r="C22" s="3002"/>
      <c r="D22" s="3002"/>
      <c r="E22" s="2998" t="e">
        <f t="shared" si="2"/>
        <v>#DIV/0!</v>
      </c>
      <c r="F22" s="2998" t="e">
        <f t="shared" si="3"/>
        <v>#DIV/0!</v>
      </c>
      <c r="G22" s="3002"/>
      <c r="H22" s="3002"/>
      <c r="I22" s="3002"/>
    </row>
    <row r="23" spans="1:9"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9" sqref="D1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2054</v>
      </c>
      <c r="B1" s="1759"/>
      <c r="C1" s="1787" t="s">
        <v>2055</v>
      </c>
      <c r="D1" s="1788" t="s">
        <v>3054</v>
      </c>
      <c r="E1" s="1787" t="s">
        <v>2056</v>
      </c>
      <c r="F1" s="1789" t="s">
        <v>3055</v>
      </c>
      <c r="G1" s="310"/>
      <c r="H1" s="310"/>
      <c r="I1" s="310"/>
      <c r="J1" s="2011"/>
      <c r="K1" s="2011"/>
      <c r="L1" s="2011"/>
      <c r="M1" s="2011"/>
      <c r="N1" s="2011"/>
      <c r="O1" s="2011"/>
      <c r="P1" s="2011"/>
      <c r="Q1" s="2011"/>
      <c r="R1" s="2011"/>
      <c r="S1" s="2011"/>
      <c r="T1" s="2011"/>
      <c r="U1" s="2011"/>
      <c r="V1" s="2011"/>
    </row>
    <row r="2" spans="1:22" ht="21.75" customHeight="1" thickBot="1">
      <c r="A2" s="3341" t="str">
        <f>项目基本情况!K2</f>
        <v>四川省成都市天府新区华阳街道广福社区“恒大天府半岛”居住项目七期出让国有建设用地使用权</v>
      </c>
      <c r="B2" s="3342"/>
      <c r="C2" s="3343"/>
      <c r="D2" s="3343"/>
      <c r="E2" s="3343"/>
      <c r="F2" s="3343"/>
      <c r="G2" s="3342"/>
      <c r="H2" s="3342"/>
      <c r="I2" s="3344"/>
      <c r="J2" s="2012"/>
      <c r="K2" s="2011"/>
      <c r="L2" s="2011"/>
      <c r="M2" s="2011"/>
      <c r="N2" s="2011"/>
      <c r="O2" s="2011"/>
      <c r="P2" s="2011"/>
      <c r="Q2" s="2011"/>
      <c r="R2" s="2011"/>
      <c r="S2" s="2011"/>
      <c r="T2" s="2011"/>
      <c r="U2" s="2011"/>
      <c r="V2" s="2011"/>
    </row>
    <row r="3" spans="1:22" ht="14.25">
      <c r="A3" s="3352" t="s">
        <v>298</v>
      </c>
      <c r="B3" s="3353"/>
      <c r="C3" s="3353"/>
      <c r="D3" s="3353"/>
      <c r="E3" s="3353"/>
      <c r="F3" s="3353"/>
      <c r="G3" s="3353"/>
      <c r="H3" s="3353"/>
      <c r="I3" s="3353"/>
      <c r="J3" s="2012"/>
      <c r="K3" s="2011"/>
      <c r="L3" s="2011"/>
      <c r="M3" s="2011"/>
      <c r="N3" s="2011"/>
      <c r="O3" s="2011"/>
      <c r="P3" s="2011"/>
      <c r="Q3" s="2011"/>
      <c r="R3" s="2011"/>
      <c r="S3" s="2011"/>
      <c r="T3" s="2011"/>
      <c r="U3" s="2011"/>
      <c r="V3" s="2011"/>
    </row>
    <row r="4" spans="1:22" ht="14.25">
      <c r="A4" s="257" t="s">
        <v>299</v>
      </c>
      <c r="B4" s="258" t="s">
        <v>300</v>
      </c>
      <c r="C4" s="259" t="s">
        <v>3048</v>
      </c>
      <c r="D4" s="259" t="s">
        <v>3049</v>
      </c>
      <c r="E4" s="3316" t="s">
        <v>301</v>
      </c>
      <c r="F4" s="3358"/>
      <c r="G4" s="3358"/>
      <c r="H4" s="3358"/>
      <c r="I4" s="3317"/>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45" t="s">
        <v>302</v>
      </c>
      <c r="B5" s="3346">
        <v>25</v>
      </c>
      <c r="C5" s="3354"/>
      <c r="D5" s="3357"/>
      <c r="E5" s="260" t="s">
        <v>303</v>
      </c>
      <c r="F5" s="261"/>
      <c r="G5" s="261"/>
      <c r="H5" s="261"/>
      <c r="I5" s="262"/>
      <c r="J5" s="2012"/>
      <c r="K5" s="2011"/>
      <c r="L5" s="2011"/>
      <c r="M5" s="2011"/>
      <c r="N5" s="2011"/>
      <c r="O5" s="2011"/>
      <c r="P5" s="2011"/>
      <c r="Q5" s="2011"/>
      <c r="R5" s="2011"/>
      <c r="S5" s="2011"/>
      <c r="T5" s="2011"/>
      <c r="U5" s="2011"/>
      <c r="V5" s="2011"/>
    </row>
    <row r="6" spans="1:22" ht="14.25">
      <c r="A6" s="3345"/>
      <c r="B6" s="3346"/>
      <c r="C6" s="3355"/>
      <c r="D6" s="3357"/>
      <c r="E6" s="260" t="s">
        <v>304</v>
      </c>
      <c r="F6" s="261"/>
      <c r="G6" s="261"/>
      <c r="H6" s="261"/>
      <c r="I6" s="262"/>
      <c r="J6" s="2012"/>
      <c r="K6" s="2011"/>
      <c r="L6" s="2011"/>
      <c r="M6" s="2011"/>
      <c r="N6" s="2011"/>
      <c r="O6" s="2011"/>
      <c r="P6" s="2011"/>
      <c r="Q6" s="2011"/>
      <c r="R6" s="2011"/>
      <c r="S6" s="2011"/>
      <c r="T6" s="2011"/>
      <c r="U6" s="2011"/>
      <c r="V6" s="2011"/>
    </row>
    <row r="7" spans="1:22" ht="14.25">
      <c r="A7" s="3345"/>
      <c r="B7" s="3346"/>
      <c r="C7" s="3356"/>
      <c r="D7" s="3357"/>
      <c r="E7" s="260" t="s">
        <v>305</v>
      </c>
      <c r="F7" s="261"/>
      <c r="G7" s="261"/>
      <c r="H7" s="261"/>
      <c r="I7" s="262"/>
      <c r="J7" s="2012"/>
      <c r="K7" s="2011"/>
      <c r="L7" s="2011"/>
      <c r="M7" s="2011"/>
      <c r="N7" s="2011"/>
      <c r="O7" s="2011"/>
      <c r="P7" s="2011"/>
      <c r="Q7" s="2011"/>
      <c r="R7" s="2011"/>
      <c r="S7" s="2011"/>
      <c r="T7" s="2011"/>
      <c r="U7" s="2011"/>
      <c r="V7" s="2011"/>
    </row>
    <row r="8" spans="1:22" ht="14.25">
      <c r="A8" s="3345" t="s">
        <v>306</v>
      </c>
      <c r="B8" s="3346">
        <v>15</v>
      </c>
      <c r="C8" s="3354"/>
      <c r="D8" s="3357"/>
      <c r="E8" s="260" t="s">
        <v>307</v>
      </c>
      <c r="F8" s="261"/>
      <c r="G8" s="261"/>
      <c r="H8" s="261"/>
      <c r="I8" s="262"/>
      <c r="J8" s="2012"/>
      <c r="K8" s="2011"/>
      <c r="L8" s="2011"/>
      <c r="M8" s="2011"/>
      <c r="N8" s="2011"/>
      <c r="O8" s="2011"/>
      <c r="P8" s="2011"/>
      <c r="Q8" s="2011"/>
      <c r="R8" s="2011"/>
      <c r="S8" s="2011"/>
      <c r="T8" s="2011"/>
      <c r="U8" s="2011"/>
      <c r="V8" s="2011"/>
    </row>
    <row r="9" spans="1:22" ht="14.25">
      <c r="A9" s="3345"/>
      <c r="B9" s="3346"/>
      <c r="C9" s="3356"/>
      <c r="D9" s="3357"/>
      <c r="E9" s="260" t="s">
        <v>308</v>
      </c>
      <c r="F9" s="261"/>
      <c r="G9" s="261"/>
      <c r="H9" s="261"/>
      <c r="I9" s="262"/>
      <c r="J9" s="2012"/>
      <c r="K9" s="2011"/>
      <c r="L9" s="2011"/>
      <c r="M9" s="2011"/>
      <c r="N9" s="2011"/>
      <c r="O9" s="2011"/>
      <c r="P9" s="2011"/>
      <c r="Q9" s="2011"/>
      <c r="R9" s="2011"/>
      <c r="S9" s="2011"/>
      <c r="T9" s="2011"/>
      <c r="U9" s="2011"/>
      <c r="V9" s="2011"/>
    </row>
    <row r="10" spans="1:22" ht="14.25">
      <c r="A10" s="3345" t="s">
        <v>309</v>
      </c>
      <c r="B10" s="3346">
        <v>15</v>
      </c>
      <c r="C10" s="3354"/>
      <c r="D10" s="3357"/>
      <c r="E10" s="260" t="s">
        <v>310</v>
      </c>
      <c r="F10" s="261"/>
      <c r="G10" s="261"/>
      <c r="H10" s="261"/>
      <c r="I10" s="262"/>
      <c r="J10" s="2012"/>
      <c r="K10" s="2011"/>
      <c r="L10" s="2011"/>
      <c r="M10" s="2011"/>
      <c r="N10" s="2011"/>
      <c r="O10" s="2011"/>
      <c r="P10" s="2011"/>
      <c r="Q10" s="2011"/>
      <c r="R10" s="2011"/>
      <c r="S10" s="2011"/>
      <c r="T10" s="2011"/>
      <c r="U10" s="2011"/>
      <c r="V10" s="2011"/>
    </row>
    <row r="11" spans="1:22" ht="14.25">
      <c r="A11" s="3345"/>
      <c r="B11" s="3346"/>
      <c r="C11" s="3356"/>
      <c r="D11" s="3357"/>
      <c r="E11" s="260" t="s">
        <v>311</v>
      </c>
      <c r="F11" s="261"/>
      <c r="G11" s="261"/>
      <c r="H11" s="261"/>
      <c r="I11" s="262"/>
      <c r="J11" s="2012"/>
      <c r="K11" s="2011"/>
      <c r="L11" s="2011"/>
      <c r="M11" s="2011"/>
      <c r="N11" s="2011"/>
      <c r="O11" s="2011"/>
      <c r="P11" s="2011"/>
      <c r="Q11" s="2011"/>
      <c r="R11" s="2011"/>
      <c r="S11" s="2011"/>
      <c r="T11" s="2011"/>
      <c r="U11" s="2011"/>
      <c r="V11" s="2011"/>
    </row>
    <row r="12" spans="1:22" ht="14.25">
      <c r="A12" s="3345" t="s">
        <v>312</v>
      </c>
      <c r="B12" s="3346">
        <v>15</v>
      </c>
      <c r="C12" s="3354"/>
      <c r="D12" s="3357"/>
      <c r="E12" s="260" t="s">
        <v>313</v>
      </c>
      <c r="F12" s="261"/>
      <c r="G12" s="261"/>
      <c r="H12" s="261"/>
      <c r="I12" s="262"/>
      <c r="J12" s="2012"/>
      <c r="K12" s="2011"/>
      <c r="L12" s="2011"/>
      <c r="M12" s="2011"/>
      <c r="N12" s="2011"/>
      <c r="O12" s="2011"/>
      <c r="P12" s="2011"/>
      <c r="Q12" s="2011"/>
      <c r="R12" s="2011"/>
      <c r="S12" s="2011"/>
      <c r="T12" s="2011"/>
      <c r="U12" s="2011"/>
      <c r="V12" s="2011"/>
    </row>
    <row r="13" spans="1:22" ht="14.25">
      <c r="A13" s="3345"/>
      <c r="B13" s="3346"/>
      <c r="C13" s="3356"/>
      <c r="D13" s="3357"/>
      <c r="E13" s="260" t="s">
        <v>314</v>
      </c>
      <c r="F13" s="261"/>
      <c r="G13" s="261"/>
      <c r="H13" s="261"/>
      <c r="I13" s="262"/>
      <c r="J13" s="2012"/>
      <c r="K13" s="2011"/>
      <c r="L13" s="2011"/>
      <c r="M13" s="2011"/>
      <c r="N13" s="2011"/>
      <c r="O13" s="2011"/>
      <c r="P13" s="2011"/>
      <c r="Q13" s="2011"/>
      <c r="R13" s="2011"/>
      <c r="S13" s="2011"/>
      <c r="T13" s="2011"/>
      <c r="U13" s="2011"/>
      <c r="V13" s="2011"/>
    </row>
    <row r="14" spans="1:22" ht="14.25">
      <c r="A14" s="3345" t="s">
        <v>315</v>
      </c>
      <c r="B14" s="3346">
        <v>30</v>
      </c>
      <c r="C14" s="3354">
        <v>6</v>
      </c>
      <c r="D14" s="3357">
        <v>4</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45"/>
      <c r="B15" s="3346"/>
      <c r="C15" s="3355"/>
      <c r="D15" s="3357"/>
      <c r="E15" s="260" t="s">
        <v>317</v>
      </c>
      <c r="F15" s="261"/>
      <c r="G15" s="261"/>
      <c r="H15" s="261"/>
      <c r="I15" s="262"/>
      <c r="J15" s="2012"/>
      <c r="K15" s="2011"/>
      <c r="L15" s="2011"/>
      <c r="M15" s="2011"/>
      <c r="N15" s="2011"/>
      <c r="O15" s="2011"/>
      <c r="P15" s="2011"/>
      <c r="Q15" s="2011"/>
      <c r="R15" s="2011"/>
      <c r="S15" s="2011"/>
      <c r="T15" s="2011"/>
      <c r="U15" s="2011"/>
      <c r="V15" s="2011"/>
    </row>
    <row r="16" spans="1:22" ht="14.25">
      <c r="A16" s="3345"/>
      <c r="B16" s="3346"/>
      <c r="C16" s="3356"/>
      <c r="D16" s="3357"/>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3"/>
      <c r="C17" s="264">
        <f>SUM(C5:C16)</f>
        <v>6</v>
      </c>
      <c r="D17" s="264">
        <f>SUM(D5:D16)</f>
        <v>4</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4"/>
      <c r="C18" s="266">
        <f>ROUND(C17/SUM(C17:D17),2)</f>
        <v>0.6</v>
      </c>
      <c r="D18" s="266">
        <f>1-C18</f>
        <v>0.4</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398413</v>
      </c>
      <c r="D19" s="270">
        <f ca="1">SUMIF(INDIRECT("'"&amp;D4&amp;"'"&amp;"!A:A"),结果表!B19,INDIRECT("'"&amp;D4&amp;"'"&amp;"!B:B"))</f>
        <v>276441</v>
      </c>
      <c r="E19" s="267" t="s">
        <v>323</v>
      </c>
      <c r="F19" s="268" t="s">
        <v>322</v>
      </c>
      <c r="G19" s="271">
        <f ca="1">ROUND(C19*$C$18+D19*$D$18,0)</f>
        <v>349624</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4240</v>
      </c>
      <c r="D20" s="276">
        <f ca="1">SUMIF(INDIRECT("'"&amp;D4&amp;"'"&amp;"!A:A"),结果表!B20,INDIRECT("'"&amp;D4&amp;"'"&amp;"!B:B"))</f>
        <v>2942</v>
      </c>
      <c r="E20" s="273"/>
      <c r="F20" s="274" t="s">
        <v>325</v>
      </c>
      <c r="G20" s="277">
        <f ca="1">ROUND(C20*$C$18+D20*$D$18,0)</f>
        <v>3721</v>
      </c>
      <c r="H20" s="278" t="s">
        <v>326</v>
      </c>
      <c r="I20" s="310"/>
      <c r="J20" s="2011"/>
      <c r="K20" s="2011">
        <f ca="1">G19*10000/'数据-汇总表'!F31</f>
        <v>5612.4079638711592</v>
      </c>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13942</v>
      </c>
      <c r="D21" s="150">
        <f ca="1">SUMIF(INDIRECT("'"&amp;D4&amp;"'"&amp;"!A:A"),结果表!B21,INDIRECT("'"&amp;D4&amp;"'"&amp;"!B:B"))</f>
        <v>9674</v>
      </c>
      <c r="E21" s="273"/>
      <c r="F21" s="279" t="s">
        <v>327</v>
      </c>
      <c r="G21" s="281">
        <f ca="1">ROUND(C21*$C$18+D21*$D$18,0)</f>
        <v>12235</v>
      </c>
      <c r="H21" s="1244" t="s">
        <v>326</v>
      </c>
      <c r="I21" s="310"/>
      <c r="J21" s="2011"/>
      <c r="K21" s="2011"/>
      <c r="L21" s="2011"/>
      <c r="M21" s="2011"/>
      <c r="N21" s="2011"/>
      <c r="O21" s="2011"/>
      <c r="P21" s="2011"/>
      <c r="Q21" s="2011"/>
      <c r="R21" s="2011"/>
      <c r="S21" s="2011"/>
      <c r="T21" s="2011"/>
      <c r="U21" s="2011"/>
      <c r="V21" s="2011"/>
    </row>
    <row r="22" spans="1:26" ht="15.75" thickBot="1">
      <c r="A22" s="125" t="s">
        <v>328</v>
      </c>
      <c r="B22" s="1245"/>
      <c r="C22" s="1246"/>
      <c r="D22" s="282">
        <f ca="1">IF(C19&lt;D19,D19/C19-1,C19/D19-1)</f>
        <v>0.44122253934835998</v>
      </c>
      <c r="E22" s="283"/>
      <c r="F22" s="284"/>
      <c r="G22" s="285">
        <f ca="1">ROUND(G19/('数据-汇总表'!D3/666.67),0)</f>
        <v>816</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18"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60"/>
      <c r="B25" s="1314" t="s">
        <v>331</v>
      </c>
      <c r="C25" s="289">
        <f>IF(B30=0,0,C30)</f>
        <v>0</v>
      </c>
      <c r="D25" s="290"/>
      <c r="E25" s="310"/>
      <c r="F25" s="310"/>
      <c r="G25" s="310"/>
      <c r="H25" s="310"/>
      <c r="I25" s="310"/>
      <c r="J25" s="2011"/>
      <c r="K25" s="1248" t="str">
        <f ca="1">项目基本情况!B16&amp;"国有建设用地使用权价格："&amp;O38&amp;"万元"</f>
        <v>出让国有建设用地使用权价格：349624万元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大写金额：人民币叁拾肆亿玖仟陆佰贰拾肆万元整</v>
      </c>
      <c r="L26" s="1245"/>
      <c r="M26" s="1245"/>
      <c r="N26" s="1245"/>
      <c r="O26" s="1244"/>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1" t="str">
        <f ca="1">"单位面积地价："&amp;M38&amp;"元/平方米"</f>
        <v>单位面积地价：12235元/平方米</v>
      </c>
      <c r="L27" s="1245"/>
      <c r="M27" s="1245"/>
      <c r="N27" s="1245"/>
      <c r="O27" s="1244"/>
      <c r="P27" s="2011"/>
      <c r="Q27" s="2011"/>
      <c r="R27" s="2011"/>
      <c r="S27" s="2011"/>
      <c r="T27" s="2011"/>
      <c r="U27" s="2011"/>
      <c r="V27" s="2011"/>
    </row>
    <row r="28" spans="1:26" ht="18.75" customHeight="1">
      <c r="A28" s="292"/>
      <c r="B28" s="293"/>
      <c r="C28" s="293"/>
      <c r="D28" s="294"/>
      <c r="E28" s="310"/>
      <c r="F28" s="310"/>
      <c r="G28" s="310"/>
      <c r="H28" s="310"/>
      <c r="I28" s="310"/>
      <c r="J28" s="2011"/>
      <c r="K28" s="1251" t="str">
        <f ca="1">"楼面地价："&amp;N38&amp;"元/平方米"</f>
        <v>楼面地价：3721元/平方米</v>
      </c>
      <c r="L28" s="1245"/>
      <c r="M28" s="1245"/>
      <c r="N28" s="1245"/>
      <c r="O28" s="1244"/>
      <c r="P28" s="2011"/>
      <c r="V28" s="2011"/>
    </row>
    <row r="29" spans="1:26" ht="18">
      <c r="A29" s="292"/>
      <c r="B29" s="293"/>
      <c r="C29" s="293"/>
      <c r="D29" s="294"/>
      <c r="E29" s="310"/>
      <c r="F29" s="310"/>
      <c r="G29" s="310"/>
      <c r="H29" s="310"/>
      <c r="I29" s="310"/>
      <c r="J29" s="2011"/>
      <c r="K29" s="1251" t="str">
        <f>IF(OR(项目基本情况!E8="抵押价格",项目基本情况!E8="已注销及未注销"),"抵押价格："&amp;O39&amp;"万元","——")</f>
        <v>——</v>
      </c>
      <c r="L29" s="1245"/>
      <c r="M29" s="1245"/>
      <c r="N29" s="1245"/>
      <c r="O29" s="1244"/>
      <c r="P29" s="2011"/>
      <c r="V29" s="2011"/>
    </row>
    <row r="30" spans="1:26" ht="18.75" thickBot="1">
      <c r="A30" s="3079" t="s">
        <v>336</v>
      </c>
      <c r="B30" s="308"/>
      <c r="C30" s="308"/>
      <c r="D30" s="309"/>
      <c r="E30" s="3080" t="s">
        <v>2968</v>
      </c>
      <c r="F30" s="310"/>
      <c r="G30" s="310"/>
      <c r="H30" s="310"/>
      <c r="I30" s="310"/>
      <c r="J30" s="2011"/>
      <c r="K30" s="1251" t="str">
        <f>IF(K29="——","——","大写金额：人民币"&amp;NUMBERSTRING(INT(O39*10000),2)&amp;"元整")</f>
        <v>——</v>
      </c>
      <c r="L30" s="1245"/>
      <c r="M30" s="1245"/>
      <c r="N30" s="1245"/>
      <c r="O30" s="1244"/>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7" t="s">
        <v>337</v>
      </c>
      <c r="B32" s="1375" t="s">
        <v>1687</v>
      </c>
      <c r="C32" s="1376">
        <f ca="1">G19-C24</f>
        <v>349624</v>
      </c>
      <c r="D32" s="1377" t="s">
        <v>1688</v>
      </c>
      <c r="E32" s="310"/>
      <c r="F32" s="310"/>
      <c r="G32" s="310"/>
      <c r="H32" s="310"/>
      <c r="I32" s="310"/>
      <c r="J32" s="2011"/>
      <c r="K32" s="2425" t="e">
        <f>IF(K31="——","——","大写金额：人民币"&amp;NUMBERSTRING(INT(O40*10000),2)&amp;"元整")</f>
        <v>#VALUE!</v>
      </c>
      <c r="L32" s="2428"/>
      <c r="M32" s="2428"/>
      <c r="N32" s="2428"/>
      <c r="O32" s="2429"/>
      <c r="P32" s="2011"/>
      <c r="V32" s="2011"/>
    </row>
    <row r="33" spans="1:26" ht="18.75" thickBot="1">
      <c r="A33" s="297" t="s">
        <v>340</v>
      </c>
      <c r="B33" s="1378" t="s">
        <v>1689</v>
      </c>
      <c r="C33" s="263">
        <f ca="1">ROUND(C32*10000/'数据-汇总表'!E3,0)</f>
        <v>3721</v>
      </c>
      <c r="D33" s="1379" t="s">
        <v>1690</v>
      </c>
      <c r="E33" s="3318" t="s">
        <v>338</v>
      </c>
      <c r="F33" s="295" t="s">
        <v>339</v>
      </c>
      <c r="G33" s="296"/>
      <c r="H33" s="977"/>
      <c r="I33" s="1252"/>
      <c r="J33" s="2011"/>
      <c r="K33" s="1251" t="str">
        <f>IF(项目基本情况!E9="——","——","抵押净值："&amp;C46&amp;"万元")</f>
        <v>抵押净值：——万元</v>
      </c>
      <c r="L33" s="1245"/>
      <c r="M33" s="1245"/>
      <c r="N33" s="1245"/>
      <c r="O33" s="1244"/>
      <c r="P33" s="2011"/>
      <c r="V33" s="2011"/>
    </row>
    <row r="34" spans="1:26" s="1247" customFormat="1" ht="18.75" thickBot="1">
      <c r="A34" s="299"/>
      <c r="B34" s="1380" t="s">
        <v>1691</v>
      </c>
      <c r="C34" s="263">
        <f ca="1">ROUND(C32*10000/'数据-汇总表'!D3,0)</f>
        <v>12235</v>
      </c>
      <c r="D34" s="1381" t="s">
        <v>1690</v>
      </c>
      <c r="E34" s="3319"/>
      <c r="F34" s="126" t="s">
        <v>341</v>
      </c>
      <c r="G34" s="298"/>
      <c r="H34" s="104"/>
      <c r="I34" s="310"/>
      <c r="J34" s="2011"/>
      <c r="K34" s="1254" t="e">
        <f>IF(K33="——","——","大写金额：人民币"&amp;NUMBERSTRING(INT(O41*10000),2)&amp;"元整")</f>
        <v>#VALUE!</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816</v>
      </c>
      <c r="D35" s="1384" t="s">
        <v>1692</v>
      </c>
      <c r="E35" s="3320"/>
      <c r="F35" s="300" t="s">
        <v>342</v>
      </c>
      <c r="G35" s="979"/>
      <c r="H35" s="978" t="s">
        <v>343</v>
      </c>
      <c r="I35" s="310"/>
      <c r="J35" s="2011"/>
      <c r="K35" s="3324" t="s">
        <v>350</v>
      </c>
      <c r="L35" s="3324" t="s">
        <v>351</v>
      </c>
      <c r="M35" s="1257" t="s">
        <v>352</v>
      </c>
      <c r="N35" s="3324" t="s">
        <v>353</v>
      </c>
      <c r="O35" s="3324" t="s">
        <v>354</v>
      </c>
      <c r="P35" s="2011"/>
      <c r="V35" s="2011"/>
    </row>
    <row r="36" spans="1:26" ht="16.5" customHeight="1">
      <c r="A36" s="302" t="s">
        <v>344</v>
      </c>
      <c r="B36" s="303" t="s">
        <v>333</v>
      </c>
      <c r="C36" s="304" t="s">
        <v>345</v>
      </c>
      <c r="D36" s="304" t="s">
        <v>346</v>
      </c>
      <c r="E36" s="305" t="s">
        <v>347</v>
      </c>
      <c r="F36" s="310"/>
      <c r="G36" s="310"/>
      <c r="H36" s="310"/>
      <c r="I36" s="310"/>
      <c r="J36" s="2013"/>
      <c r="K36" s="3325"/>
      <c r="L36" s="3325"/>
      <c r="M36" s="1259" t="s">
        <v>355</v>
      </c>
      <c r="N36" s="3325"/>
      <c r="O36" s="3325"/>
      <c r="P36" s="2011"/>
      <c r="V36" s="2011"/>
    </row>
    <row r="37" spans="1:26" ht="16.5" customHeight="1" thickBot="1">
      <c r="A37" s="1253" t="s">
        <v>348</v>
      </c>
      <c r="B37" s="306"/>
      <c r="C37" s="293"/>
      <c r="D37" s="293"/>
      <c r="E37" s="294"/>
      <c r="F37" s="310"/>
      <c r="G37" s="310"/>
      <c r="H37" s="310"/>
      <c r="I37" s="310"/>
      <c r="J37" s="2013"/>
      <c r="K37" s="3326"/>
      <c r="L37" s="3326"/>
      <c r="M37" s="1260"/>
      <c r="N37" s="3326"/>
      <c r="O37" s="3326"/>
      <c r="P37" s="2011"/>
      <c r="V37" s="2011"/>
    </row>
    <row r="38" spans="1:26" ht="16.5" customHeight="1" thickBot="1">
      <c r="A38" s="1253" t="s">
        <v>349</v>
      </c>
      <c r="B38" s="306"/>
      <c r="C38" s="293"/>
      <c r="D38" s="293"/>
      <c r="E38" s="294"/>
      <c r="F38" s="310"/>
      <c r="G38" s="310"/>
      <c r="H38" s="310"/>
      <c r="I38" s="310"/>
      <c r="J38" s="2013"/>
      <c r="K38" s="1261">
        <f>'数据-汇总表'!D3</f>
        <v>285760.2</v>
      </c>
      <c r="L38" s="1262">
        <f>'数据-汇总表'!E3</f>
        <v>939662.47000000009</v>
      </c>
      <c r="M38" s="1262">
        <f ca="1">C34</f>
        <v>12235</v>
      </c>
      <c r="N38" s="1262">
        <f ca="1">C33</f>
        <v>3721</v>
      </c>
      <c r="O38" s="1263">
        <f ca="1">C32</f>
        <v>349624</v>
      </c>
      <c r="P38" s="2011"/>
      <c r="V38" s="2011"/>
    </row>
    <row r="39" spans="1:26" ht="16.5" customHeight="1" thickBot="1">
      <c r="A39" s="1258"/>
      <c r="B39" s="307"/>
      <c r="C39" s="308"/>
      <c r="D39" s="308"/>
      <c r="E39" s="309"/>
      <c r="F39" s="310"/>
      <c r="G39" s="310"/>
      <c r="H39" s="310"/>
      <c r="I39" s="310"/>
      <c r="J39" s="2013"/>
      <c r="K39" s="3301" t="str">
        <f>MID(A44,3,LEN(A44)-2)</f>
        <v/>
      </c>
      <c r="L39" s="3302"/>
      <c r="M39" s="3302"/>
      <c r="N39" s="3303"/>
      <c r="O39" s="1386" t="str">
        <f>C44</f>
        <v>——</v>
      </c>
      <c r="P39" s="2011"/>
      <c r="V39" s="2011"/>
    </row>
    <row r="40" spans="1:26" ht="19.5" thickBot="1">
      <c r="A40" s="103" t="s">
        <v>872</v>
      </c>
      <c r="B40" s="310"/>
      <c r="C40" s="310"/>
      <c r="D40" s="310"/>
      <c r="E40" s="310"/>
      <c r="F40" s="310"/>
      <c r="G40" s="310"/>
      <c r="H40" s="310"/>
      <c r="I40" s="310"/>
      <c r="J40" s="2013"/>
      <c r="K40" s="3301" t="str">
        <f t="shared" ref="K40:K41" si="0">MID(A45,3,LEN(A45)-2)</f>
        <v/>
      </c>
      <c r="L40" s="3302"/>
      <c r="M40" s="3302"/>
      <c r="N40" s="3303"/>
      <c r="O40" s="1386" t="str">
        <f>C45</f>
        <v>——</v>
      </c>
      <c r="P40" s="2011"/>
      <c r="V40" s="2011"/>
    </row>
    <row r="41" spans="1:26" ht="16.5" thickBot="1">
      <c r="A41" s="311" t="s">
        <v>356</v>
      </c>
      <c r="B41" s="312"/>
      <c r="C41" s="313" t="s">
        <v>357</v>
      </c>
      <c r="D41" s="314" t="s">
        <v>358</v>
      </c>
      <c r="E41" s="314" t="s">
        <v>359</v>
      </c>
      <c r="F41" s="315" t="s">
        <v>360</v>
      </c>
      <c r="G41" s="310"/>
      <c r="H41" s="310"/>
      <c r="I41" s="310"/>
      <c r="J41" s="2013"/>
      <c r="K41" s="3301" t="str">
        <f t="shared" si="0"/>
        <v/>
      </c>
      <c r="L41" s="3302"/>
      <c r="M41" s="3302"/>
      <c r="N41" s="3303"/>
      <c r="O41" s="1386" t="str">
        <f>C46</f>
        <v>——</v>
      </c>
      <c r="P41" s="2011"/>
      <c r="V41" s="2011"/>
    </row>
    <row r="42" spans="1:26" ht="29.25">
      <c r="A42" s="3361" t="s">
        <v>2066</v>
      </c>
      <c r="B42" s="3362"/>
      <c r="C42" s="263">
        <f ca="1">C32</f>
        <v>349624</v>
      </c>
      <c r="D42" s="316">
        <f ca="1">C33</f>
        <v>3721</v>
      </c>
      <c r="E42" s="316">
        <f ca="1">C34</f>
        <v>12235</v>
      </c>
      <c r="F42" s="317">
        <f ca="1">C35</f>
        <v>816</v>
      </c>
      <c r="G42" s="310"/>
      <c r="H42" s="310"/>
      <c r="I42" s="318"/>
      <c r="J42" s="2013"/>
      <c r="K42" s="1264" t="s">
        <v>361</v>
      </c>
      <c r="L42" s="2030" t="s">
        <v>362</v>
      </c>
      <c r="M42" s="1265" t="s">
        <v>363</v>
      </c>
      <c r="N42" s="2031" t="s">
        <v>364</v>
      </c>
      <c r="O42" s="2032" t="s">
        <v>365</v>
      </c>
      <c r="P42" s="2011"/>
      <c r="V42" s="2011"/>
    </row>
    <row r="43" spans="1:26" ht="30">
      <c r="A43" s="3371" t="s">
        <v>2728</v>
      </c>
      <c r="B43" s="3372"/>
      <c r="C43" s="263">
        <f>IF(H33="正常操作",G33+G34+G35,G34+G35)</f>
        <v>0</v>
      </c>
      <c r="D43" s="316" t="s">
        <v>43</v>
      </c>
      <c r="E43" s="316" t="s">
        <v>44</v>
      </c>
      <c r="F43" s="317" t="s">
        <v>44</v>
      </c>
      <c r="G43" s="2819" t="s">
        <v>951</v>
      </c>
      <c r="H43" s="310"/>
      <c r="I43" s="318"/>
      <c r="J43" s="2013"/>
      <c r="K43" s="1266" t="str">
        <f>C4</f>
        <v>比较法-住宅、综合</v>
      </c>
      <c r="L43" s="1267">
        <f ca="1">IF(L42="估价结果/万元",C19,C20)</f>
        <v>398413</v>
      </c>
      <c r="M43" s="1268">
        <f>C18</f>
        <v>0.6</v>
      </c>
      <c r="N43" s="1269">
        <f ca="1">IF(N42="测算结果/万元",G19,G20)</f>
        <v>349624</v>
      </c>
      <c r="O43" s="1270">
        <f ca="1">IF(O42="最终结果/万元",C32,C33)</f>
        <v>349624</v>
      </c>
      <c r="P43" s="2011"/>
      <c r="V43" s="2011"/>
    </row>
    <row r="44" spans="1:26" ht="30.75" thickBot="1">
      <c r="A44" s="3361" t="str">
        <f>IF(OR(项目基本情况!E8="抵押价格",项目基本情况!E8="已注销及未注销"),"3.抵押价格","——")</f>
        <v>——</v>
      </c>
      <c r="B44" s="3362"/>
      <c r="C44" s="263" t="str">
        <f>IF(A44="——","——",C42-C43)</f>
        <v>——</v>
      </c>
      <c r="D44" s="316" t="e">
        <f>ROUND(C44*10000/'数据-汇总表'!E3,0)</f>
        <v>#VALUE!</v>
      </c>
      <c r="E44" s="316" t="e">
        <f>ROUND(C44*10000/'数据-汇总表'!D3,0)</f>
        <v>#VALUE!</v>
      </c>
      <c r="F44" s="317" t="e">
        <f>ROUND(C44/('数据-汇总表'!D3/666.67),0)</f>
        <v>#VALUE!</v>
      </c>
      <c r="G44" s="310"/>
      <c r="H44" s="310"/>
      <c r="I44" s="318"/>
      <c r="J44" s="2013"/>
      <c r="K44" s="1271" t="str">
        <f>D4</f>
        <v>剩余法-待开发</v>
      </c>
      <c r="L44" s="1272">
        <f ca="1">IF(L42="估价结果/万元",D19,D20)</f>
        <v>276441</v>
      </c>
      <c r="M44" s="1273">
        <f>D18</f>
        <v>0.4</v>
      </c>
      <c r="N44" s="1274"/>
      <c r="O44" s="1275"/>
      <c r="P44" s="2011"/>
      <c r="V44" s="2011"/>
    </row>
    <row r="45" spans="1:26" ht="15">
      <c r="A45" s="3366" t="str">
        <f>IF(项目基本情况!E8="已注销及未注销","4.抵押担保权已注销时的抵押价格",IF(项目基本情况!E8="已注销","3.抵押担保权已注销时的抵押价格","——"))</f>
        <v>——</v>
      </c>
      <c r="B45" s="3367"/>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63" t="str">
        <f>IF(项目基本情况!E9="抵押净值",IF(A45="——","4.抵押净值","5.抵押净值"),"——")</f>
        <v>——</v>
      </c>
      <c r="B46" s="3364"/>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29" t="s">
        <v>374</v>
      </c>
      <c r="B63" s="3330"/>
      <c r="C63" s="3331"/>
      <c r="D63" s="340">
        <f ca="1">ROUND(C42*F63,0)</f>
        <v>209774</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68" t="s">
        <v>378</v>
      </c>
      <c r="B64" s="3369"/>
      <c r="C64" s="3369"/>
      <c r="D64" s="3369"/>
      <c r="E64" s="3369"/>
      <c r="F64" s="3369"/>
      <c r="G64" s="3370"/>
      <c r="H64" s="1281"/>
      <c r="I64" s="945"/>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2" t="s">
        <v>382</v>
      </c>
      <c r="F65" s="347" t="s">
        <v>383</v>
      </c>
      <c r="G65" s="348" t="s">
        <v>384</v>
      </c>
      <c r="H65" s="1281"/>
      <c r="I65" s="945"/>
      <c r="J65" s="1973"/>
      <c r="K65" s="1282"/>
      <c r="L65" s="1283"/>
      <c r="M65" s="1283"/>
      <c r="N65" s="1315" t="s">
        <v>379</v>
      </c>
      <c r="O65" s="1316"/>
      <c r="P65" s="1317"/>
      <c r="Q65" s="2011"/>
      <c r="R65" s="2011"/>
      <c r="S65" s="2011"/>
      <c r="T65" s="2011"/>
      <c r="U65" s="2011"/>
      <c r="V65" s="2011"/>
    </row>
    <row r="66" spans="1:22" ht="25.5">
      <c r="A66" s="3365" t="s">
        <v>386</v>
      </c>
      <c r="B66" s="3336"/>
      <c r="C66" s="3336"/>
      <c r="D66" s="260">
        <f ca="1">IF(H66="情况1",0,IF(H66="情况2",D70,IF(H66="情况3",D71,IF(H66="情况4",D72))))</f>
        <v>11188</v>
      </c>
      <c r="E66" s="990" t="str">
        <f>IF(H66="情况4","(销售额-原购置价)×税（费）率","销售额×税（费）率")</f>
        <v>销售额×税（费）率</v>
      </c>
      <c r="F66" s="349">
        <f>IF(H66="情况1","免征",'数据-取费表'!B41)</f>
        <v>5.6000000000000001E-2</v>
      </c>
      <c r="G66" s="350" t="s">
        <v>387</v>
      </c>
      <c r="H66" s="190" t="s">
        <v>388</v>
      </c>
      <c r="I66" s="1281"/>
      <c r="J66" s="2017"/>
      <c r="K66" s="1284">
        <v>1</v>
      </c>
      <c r="L66" s="3305" t="s">
        <v>385</v>
      </c>
      <c r="M66" s="3306"/>
      <c r="N66" s="2420"/>
      <c r="O66" s="2421"/>
      <c r="P66" s="2422"/>
      <c r="Q66" s="2011"/>
      <c r="R66" s="2011"/>
      <c r="S66" s="2011"/>
      <c r="T66" s="2011"/>
      <c r="U66" s="2011"/>
      <c r="V66" s="2011"/>
    </row>
    <row r="67" spans="1:22" ht="25.5" customHeight="1">
      <c r="A67" s="351" t="s">
        <v>390</v>
      </c>
      <c r="B67" s="3348" t="s">
        <v>391</v>
      </c>
      <c r="C67" s="3348"/>
      <c r="D67" s="352">
        <v>0</v>
      </c>
      <c r="E67" s="40" t="s">
        <v>392</v>
      </c>
      <c r="F67" s="61" t="s">
        <v>21</v>
      </c>
      <c r="G67" s="3332"/>
      <c r="H67" s="310"/>
      <c r="I67" s="1285"/>
      <c r="J67" s="2018"/>
      <c r="K67" s="1959">
        <v>2</v>
      </c>
      <c r="L67" s="3304" t="s">
        <v>389</v>
      </c>
      <c r="M67" s="3304"/>
      <c r="N67" s="1318">
        <f>'数据-取费表'!B2</f>
        <v>43630</v>
      </c>
      <c r="O67" s="1318"/>
      <c r="P67" s="1318"/>
      <c r="Q67" s="2011"/>
      <c r="R67" s="2011"/>
      <c r="S67" s="2011"/>
      <c r="T67" s="2011"/>
      <c r="U67" s="2011"/>
      <c r="V67" s="2011"/>
    </row>
    <row r="68" spans="1:22" ht="25.5" customHeight="1">
      <c r="A68" s="353"/>
      <c r="B68" s="3348" t="s">
        <v>394</v>
      </c>
      <c r="C68" s="3348"/>
      <c r="D68" s="354"/>
      <c r="E68" s="76"/>
      <c r="F68" s="355"/>
      <c r="G68" s="3333"/>
      <c r="H68" s="310"/>
      <c r="I68" s="1285"/>
      <c r="J68" s="2018"/>
      <c r="K68" s="1959">
        <v>3</v>
      </c>
      <c r="L68" s="3304" t="s">
        <v>393</v>
      </c>
      <c r="M68" s="3304"/>
      <c r="N68" s="1286">
        <f ca="1">C42</f>
        <v>349624</v>
      </c>
      <c r="O68" s="1286"/>
      <c r="P68" s="1286"/>
      <c r="Q68" s="2011"/>
      <c r="R68" s="2011"/>
      <c r="S68" s="2011"/>
      <c r="T68" s="2011"/>
      <c r="U68" s="2011"/>
      <c r="V68" s="2011"/>
    </row>
    <row r="69" spans="1:22" ht="12" customHeight="1">
      <c r="A69" s="356"/>
      <c r="B69" s="3348" t="s">
        <v>395</v>
      </c>
      <c r="C69" s="3348"/>
      <c r="D69" s="357"/>
      <c r="E69" s="72"/>
      <c r="F69" s="355"/>
      <c r="G69" s="3334"/>
      <c r="H69" s="310"/>
      <c r="I69" s="1285"/>
      <c r="J69" s="2018"/>
      <c r="K69" s="1287">
        <v>4</v>
      </c>
      <c r="L69" s="3310" t="s">
        <v>2881</v>
      </c>
      <c r="M69" s="3311"/>
      <c r="N69" s="1288" t="str">
        <f>C44</f>
        <v>——</v>
      </c>
      <c r="O69" s="1288"/>
      <c r="P69" s="1288"/>
      <c r="Q69" s="2011"/>
      <c r="R69" s="2011"/>
      <c r="S69" s="2011"/>
      <c r="T69" s="2011"/>
      <c r="U69" s="2011"/>
      <c r="V69" s="2011"/>
    </row>
    <row r="70" spans="1:22" ht="24" customHeight="1">
      <c r="A70" s="358" t="s">
        <v>396</v>
      </c>
      <c r="B70" s="3348" t="s">
        <v>397</v>
      </c>
      <c r="C70" s="3348"/>
      <c r="D70" s="357">
        <f ca="1">ROUND(D63*'数据-取费表'!B41/(1+'数据-取费表'!C42),0)</f>
        <v>11188</v>
      </c>
      <c r="E70" s="17" t="s">
        <v>398</v>
      </c>
      <c r="F70" s="359">
        <f>'数据-取费表'!B41</f>
        <v>5.6000000000000001E-2</v>
      </c>
      <c r="G70" s="360"/>
      <c r="H70" s="310"/>
      <c r="I70" s="1285"/>
      <c r="J70" s="2018"/>
      <c r="K70" s="3011"/>
      <c r="L70" s="3012"/>
      <c r="M70" s="3012"/>
      <c r="N70" s="3013" t="s">
        <v>2886</v>
      </c>
      <c r="O70" s="3012"/>
      <c r="P70" s="3014"/>
      <c r="Q70" s="2011"/>
      <c r="R70" s="2011"/>
      <c r="S70" s="2011"/>
      <c r="T70" s="2011"/>
      <c r="U70" s="2011"/>
      <c r="V70" s="2011"/>
    </row>
    <row r="71" spans="1:22" ht="12" customHeight="1">
      <c r="A71" s="358" t="s">
        <v>404</v>
      </c>
      <c r="B71" s="3347" t="s">
        <v>405</v>
      </c>
      <c r="C71" s="3359"/>
      <c r="D71" s="357">
        <f ca="1">ROUND(D63*'数据-取费表'!B41/(1+'数据-取费表'!C42),0)</f>
        <v>11188</v>
      </c>
      <c r="E71" s="17" t="s">
        <v>398</v>
      </c>
      <c r="F71" s="359">
        <f>'数据-取费表'!B41</f>
        <v>5.6000000000000001E-2</v>
      </c>
      <c r="G71" s="360"/>
      <c r="H71" s="310"/>
      <c r="I71" s="1285"/>
      <c r="J71" s="2018"/>
      <c r="K71" s="3010" t="s">
        <v>399</v>
      </c>
      <c r="L71" s="3312" t="s">
        <v>400</v>
      </c>
      <c r="M71" s="3312"/>
      <c r="N71" s="3010" t="s">
        <v>401</v>
      </c>
      <c r="O71" s="3010" t="s">
        <v>402</v>
      </c>
      <c r="P71" s="3010" t="s">
        <v>403</v>
      </c>
      <c r="Q71" s="2011"/>
      <c r="R71" s="2011"/>
      <c r="S71" s="2011"/>
      <c r="T71" s="2011"/>
      <c r="U71" s="2011"/>
      <c r="V71" s="2011"/>
    </row>
    <row r="72" spans="1:22" ht="12" customHeight="1">
      <c r="A72" s="358" t="s">
        <v>407</v>
      </c>
      <c r="B72" s="3347" t="s">
        <v>408</v>
      </c>
      <c r="C72" s="3359"/>
      <c r="D72" s="357">
        <f ca="1">C86</f>
        <v>11076</v>
      </c>
      <c r="E72" s="72" t="s">
        <v>409</v>
      </c>
      <c r="F72" s="359">
        <f>'数据-取费表'!B41</f>
        <v>5.6000000000000001E-2</v>
      </c>
      <c r="G72" s="360"/>
      <c r="H72" s="1291"/>
      <c r="I72" s="1285"/>
      <c r="J72" s="2018"/>
      <c r="K72" s="1959">
        <v>1</v>
      </c>
      <c r="L72" s="3309" t="s">
        <v>406</v>
      </c>
      <c r="M72" s="3309"/>
      <c r="N72" s="1289">
        <f ca="1">D66</f>
        <v>11188</v>
      </c>
      <c r="O72" s="1842" t="str">
        <f>E66</f>
        <v>销售额×税（费）率</v>
      </c>
      <c r="P72" s="1290">
        <f>F66</f>
        <v>5.6000000000000001E-2</v>
      </c>
      <c r="Q72" s="2011"/>
      <c r="R72" s="2011"/>
      <c r="S72" s="2011"/>
      <c r="T72" s="2011"/>
      <c r="U72" s="2011"/>
      <c r="V72" s="2011"/>
    </row>
    <row r="73" spans="1:22" ht="24" customHeight="1">
      <c r="A73" s="3335" t="s">
        <v>411</v>
      </c>
      <c r="B73" s="3336"/>
      <c r="C73" s="3336"/>
      <c r="D73" s="361">
        <f>IF(H73="个人住宅",0,ROUND(D63*I73,0))</f>
        <v>0</v>
      </c>
      <c r="E73" s="17" t="s">
        <v>412</v>
      </c>
      <c r="F73" s="359" t="str">
        <f>IF(H73="正常",I73,"免征")</f>
        <v>免征</v>
      </c>
      <c r="G73" s="360"/>
      <c r="H73" s="190" t="s">
        <v>2454</v>
      </c>
      <c r="I73" s="359">
        <f>'数据-取费表'!B49</f>
        <v>5.0000000000000001E-4</v>
      </c>
      <c r="J73" s="2018"/>
      <c r="K73" s="1959">
        <v>2</v>
      </c>
      <c r="L73" s="3309" t="s">
        <v>410</v>
      </c>
      <c r="M73" s="3309"/>
      <c r="N73" s="1289">
        <f t="shared" ref="N73:P74" si="1">D73</f>
        <v>0</v>
      </c>
      <c r="O73" s="1842" t="str">
        <f t="shared" si="1"/>
        <v>销售额×税（费）率</v>
      </c>
      <c r="P73" s="1290" t="str">
        <f t="shared" si="1"/>
        <v>免征</v>
      </c>
      <c r="Q73" s="2011"/>
      <c r="R73" s="2011"/>
      <c r="S73" s="2011"/>
      <c r="T73" s="2011"/>
      <c r="U73" s="2011"/>
      <c r="V73" s="2011"/>
    </row>
    <row r="74" spans="1:22" ht="24.75">
      <c r="A74" s="3335" t="s">
        <v>415</v>
      </c>
      <c r="B74" s="3336"/>
      <c r="C74" s="3336"/>
      <c r="D74" s="361">
        <f ca="1">IF(H74="个人住宅",D75,D76)</f>
        <v>118076</v>
      </c>
      <c r="E74" s="17" t="s">
        <v>416</v>
      </c>
      <c r="F74" s="359" t="str">
        <f>IF(H74="正常",F76,"免征")</f>
        <v>——</v>
      </c>
      <c r="G74" s="980" t="s">
        <v>417</v>
      </c>
      <c r="H74" s="362" t="s">
        <v>413</v>
      </c>
      <c r="I74" s="41"/>
      <c r="J74" s="2018"/>
      <c r="K74" s="1959">
        <v>3</v>
      </c>
      <c r="L74" s="3309" t="s">
        <v>414</v>
      </c>
      <c r="M74" s="3309"/>
      <c r="N74" s="1289">
        <f t="shared" ca="1" si="1"/>
        <v>118076</v>
      </c>
      <c r="O74" s="1842" t="str">
        <f t="shared" si="1"/>
        <v>增值额×税（费）率</v>
      </c>
      <c r="P74" s="1292" t="str">
        <f t="shared" si="1"/>
        <v>——</v>
      </c>
      <c r="Q74" s="2011"/>
      <c r="R74" s="2011"/>
      <c r="S74" s="2011"/>
      <c r="T74" s="2011"/>
      <c r="U74" s="2011"/>
      <c r="V74" s="2011"/>
    </row>
    <row r="75" spans="1:22" ht="24">
      <c r="A75" s="358" t="s">
        <v>418</v>
      </c>
      <c r="B75" s="3316" t="s">
        <v>419</v>
      </c>
      <c r="C75" s="3317"/>
      <c r="D75" s="363">
        <v>0</v>
      </c>
      <c r="E75" s="40" t="s">
        <v>420</v>
      </c>
      <c r="F75" s="364"/>
      <c r="G75" s="360"/>
      <c r="H75" s="41"/>
      <c r="I75" s="41"/>
      <c r="J75" s="2018"/>
      <c r="K75" s="3003">
        <f>IF(H77="非个人房产","",4)</f>
        <v>4</v>
      </c>
      <c r="L75" s="3309" t="str">
        <f>IF(H77="非个人房产","——","个人所得税")</f>
        <v>个人所得税</v>
      </c>
      <c r="M75" s="3309"/>
      <c r="N75" s="1293">
        <f ca="1">D77</f>
        <v>2098</v>
      </c>
      <c r="O75" s="1855" t="str">
        <f>E77</f>
        <v>销售额×税（费）率</v>
      </c>
      <c r="P75" s="1294">
        <f>F77</f>
        <v>0.01</v>
      </c>
      <c r="Q75" s="2011"/>
      <c r="R75" s="2011"/>
      <c r="S75" s="2011"/>
      <c r="T75" s="2011"/>
      <c r="U75" s="2011"/>
      <c r="V75" s="2011"/>
    </row>
    <row r="76" spans="1:22" ht="24.75">
      <c r="A76" s="358" t="s">
        <v>396</v>
      </c>
      <c r="B76" s="3316" t="s">
        <v>422</v>
      </c>
      <c r="C76" s="3358"/>
      <c r="D76" s="361">
        <f ca="1">IF(H76="转让取得",C99,C115)</f>
        <v>118076</v>
      </c>
      <c r="E76" s="17" t="s">
        <v>423</v>
      </c>
      <c r="F76" s="52" t="s">
        <v>21</v>
      </c>
      <c r="G76" s="360"/>
      <c r="H76" s="362" t="s">
        <v>424</v>
      </c>
      <c r="I76" s="41"/>
      <c r="J76" s="2018"/>
      <c r="K76" s="3003" t="str">
        <f>IF(项目基本情况!K6="上海银行",IF(K75="",4,K75+1),"")</f>
        <v/>
      </c>
      <c r="L76" s="3297" t="str">
        <f>IF(项目基本情况!K6="上海银行","其他处置费用","")</f>
        <v/>
      </c>
      <c r="M76" s="3298"/>
      <c r="N76" s="1289" t="str">
        <f>IF(项目基本情况!K6="上海银行",N89,"")</f>
        <v/>
      </c>
      <c r="O76" s="3299" t="str">
        <f>IF(项目基本情况!K6="上海银行","包含处置中涉及的律师、诉讼、拍卖、评估等费用","")</f>
        <v/>
      </c>
      <c r="P76" s="3300"/>
      <c r="Q76" s="2011"/>
      <c r="R76" s="2011"/>
      <c r="S76" s="2011"/>
      <c r="T76" s="2011"/>
      <c r="U76" s="2011"/>
      <c r="V76" s="2011"/>
    </row>
    <row r="77" spans="1:22" ht="26.25" thickBot="1">
      <c r="A77" s="3327" t="s">
        <v>426</v>
      </c>
      <c r="B77" s="3328"/>
      <c r="C77" s="3328"/>
      <c r="D77" s="365">
        <f ca="1">IF(H77="非个人房产","——",IF(H77="个人住宅",0,ROUND(D63*I77,0)))</f>
        <v>2098</v>
      </c>
      <c r="E77" s="366" t="str">
        <f>IF(H77="非个人房产","——","销售额×税（费）率")</f>
        <v>销售额×税（费）率</v>
      </c>
      <c r="F77" s="367">
        <f>IF(H77="非个人房产","——",IF(H77="个人住宅","免征",I77))</f>
        <v>0.01</v>
      </c>
      <c r="G77" s="981" t="s">
        <v>417</v>
      </c>
      <c r="H77" s="362" t="s">
        <v>2882</v>
      </c>
      <c r="I77" s="368">
        <v>0.01</v>
      </c>
      <c r="J77" s="2018"/>
      <c r="K77" s="3323">
        <f>IF(AND(K75="",K76=""),4,IF(项目基本情况!K6="上海银行",K76+1,K75+1))</f>
        <v>5</v>
      </c>
      <c r="L77" s="3309" t="s">
        <v>2883</v>
      </c>
      <c r="M77" s="3009" t="s">
        <v>421</v>
      </c>
      <c r="N77" s="1295"/>
      <c r="O77" s="1296">
        <f ca="1">SUMIF(N72:N76,"&lt;9e307")</f>
        <v>131362</v>
      </c>
      <c r="P77" s="1297"/>
      <c r="Q77" s="3007" t="e">
        <f ca="1">O77/N69</f>
        <v>#VALUE!</v>
      </c>
      <c r="R77" s="2011"/>
      <c r="S77" s="2011"/>
      <c r="T77" s="2011"/>
      <c r="U77" s="2011"/>
      <c r="V77" s="2011"/>
    </row>
    <row r="78" spans="1:22" ht="12" customHeight="1">
      <c r="A78" s="1298"/>
      <c r="B78" s="310"/>
      <c r="C78" s="310"/>
      <c r="D78" s="310"/>
      <c r="E78" s="41"/>
      <c r="F78" s="41"/>
      <c r="G78" s="41"/>
      <c r="H78" s="1000"/>
      <c r="I78" s="310"/>
      <c r="J78" s="2018"/>
      <c r="K78" s="3323"/>
      <c r="L78" s="3309"/>
      <c r="M78" s="3009" t="s">
        <v>425</v>
      </c>
      <c r="N78" s="1295"/>
      <c r="O78" s="1296" t="str">
        <f ca="1">NUMBERSTRING(INT(O77*10000),2)&amp;"元整"</f>
        <v>壹拾叁亿壹仟叁佰陆拾贰万元整</v>
      </c>
      <c r="P78" s="1297"/>
      <c r="Q78" s="2011"/>
      <c r="R78" s="2011"/>
      <c r="S78" s="2011"/>
      <c r="T78" s="2011"/>
      <c r="U78" s="2011"/>
      <c r="V78" s="2011"/>
    </row>
    <row r="79" spans="1:22" ht="13.5" thickBot="1">
      <c r="A79" s="3313" t="s">
        <v>427</v>
      </c>
      <c r="B79" s="3313"/>
      <c r="C79" s="3313"/>
      <c r="D79" s="3313"/>
      <c r="E79" s="3313"/>
      <c r="F79" s="41"/>
      <c r="G79" s="41"/>
      <c r="H79" s="1000"/>
      <c r="I79" s="310"/>
      <c r="J79" s="2018"/>
      <c r="K79" s="3307">
        <f>K77+1</f>
        <v>6</v>
      </c>
      <c r="L79" s="3309" t="s">
        <v>2884</v>
      </c>
      <c r="M79" s="3009" t="s">
        <v>421</v>
      </c>
      <c r="N79" s="1295"/>
      <c r="O79" s="1296" t="e">
        <f ca="1">N69-O77</f>
        <v>#VALUE!</v>
      </c>
      <c r="P79" s="1297"/>
      <c r="Q79" s="2011"/>
      <c r="R79" s="2011"/>
      <c r="S79" s="2011"/>
      <c r="T79" s="2011"/>
      <c r="U79" s="2011"/>
      <c r="V79" s="2011"/>
    </row>
    <row r="80" spans="1:22" ht="12.75">
      <c r="A80" s="3314" t="s">
        <v>428</v>
      </c>
      <c r="B80" s="3315"/>
      <c r="C80" s="991"/>
      <c r="D80" s="991" t="s">
        <v>429</v>
      </c>
      <c r="E80" s="369" t="s">
        <v>430</v>
      </c>
      <c r="F80" s="41"/>
      <c r="G80" s="41"/>
      <c r="H80" s="1000"/>
      <c r="I80" s="310"/>
      <c r="J80" s="2011"/>
      <c r="K80" s="3308"/>
      <c r="L80" s="3309"/>
      <c r="M80" s="3009" t="s">
        <v>425</v>
      </c>
      <c r="N80" s="1295"/>
      <c r="O80" s="1296" t="e">
        <f ca="1">NUMBERSTRING(INT(O79*10000),2)&amp;"元整"</f>
        <v>#VALUE!</v>
      </c>
      <c r="P80" s="1297"/>
      <c r="Q80" s="2011"/>
      <c r="R80" s="2011"/>
      <c r="S80" s="2011"/>
      <c r="T80" s="2011"/>
      <c r="U80" s="2011"/>
      <c r="V80" s="2011"/>
    </row>
    <row r="81" spans="1:26" ht="13.5" thickBot="1">
      <c r="A81" s="380" t="s">
        <v>1822</v>
      </c>
      <c r="B81" s="370" t="s">
        <v>431</v>
      </c>
      <c r="C81" s="371">
        <f ca="1">ROUND((C82+C83)/(1+'数据-取费表'!C42),0)</f>
        <v>199785</v>
      </c>
      <c r="D81" s="372"/>
      <c r="E81" s="373"/>
      <c r="F81" s="41"/>
      <c r="G81" s="41"/>
      <c r="H81" s="1000"/>
      <c r="I81" s="310"/>
      <c r="J81" s="2011"/>
      <c r="K81" s="3003">
        <f>K79+1</f>
        <v>7</v>
      </c>
      <c r="L81" s="3321" t="s">
        <v>2885</v>
      </c>
      <c r="M81" s="3322"/>
      <c r="N81" s="1299"/>
      <c r="O81" s="1300" t="e">
        <f ca="1">ROUND(O79*10000/'数据-汇总表'!E3,0)</f>
        <v>#VALUE!</v>
      </c>
      <c r="P81" s="1301"/>
      <c r="Q81" s="2011"/>
      <c r="R81" s="2011"/>
      <c r="S81" s="2011"/>
      <c r="T81" s="2011"/>
      <c r="U81" s="2011"/>
      <c r="V81" s="2011"/>
    </row>
    <row r="82" spans="1:26" ht="13.5" thickTop="1">
      <c r="A82" s="374" t="s">
        <v>1823</v>
      </c>
      <c r="B82" s="375" t="s">
        <v>432</v>
      </c>
      <c r="C82" s="376">
        <f ca="1">D63</f>
        <v>209774</v>
      </c>
      <c r="D82" s="377" t="s">
        <v>19</v>
      </c>
      <c r="E82" s="378"/>
      <c r="F82" s="41"/>
      <c r="G82" s="41"/>
      <c r="H82" s="1000"/>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1"/>
      <c r="G83" s="41"/>
      <c r="H83" s="1000"/>
      <c r="I83" s="310"/>
      <c r="J83" s="2011"/>
      <c r="K83" s="3296" t="s">
        <v>2872</v>
      </c>
      <c r="L83" s="3015" t="s">
        <v>2873</v>
      </c>
      <c r="M83" s="3005" t="e">
        <f>IF(N69&gt;10000,N69*0.5%,IF(AND(N69&gt;1000,N69&lt;=10000),N69*1%,IF(AND(N69&gt;100,N69&lt;=1000),N69*3%,IF(AND(N69&gt;10,N69&lt;=100),N69*5%,N69*8%))))</f>
        <v>#VALUE!</v>
      </c>
      <c r="N83" s="52" t="e">
        <f>ROUND(M83,1)</f>
        <v>#VALUE!</v>
      </c>
      <c r="O83" s="3008"/>
      <c r="P83" s="2011"/>
      <c r="Q83" s="2011"/>
      <c r="R83" s="2011"/>
      <c r="S83" s="2011"/>
      <c r="T83" s="2011"/>
      <c r="U83" s="2011"/>
      <c r="V83" s="2011"/>
    </row>
    <row r="84" spans="1:26" ht="12.75">
      <c r="A84" s="380" t="s">
        <v>1825</v>
      </c>
      <c r="B84" s="381" t="s">
        <v>434</v>
      </c>
      <c r="C84" s="382">
        <v>2000</v>
      </c>
      <c r="D84" s="383" t="s">
        <v>19</v>
      </c>
      <c r="E84" s="3050" t="s">
        <v>2940</v>
      </c>
      <c r="F84" s="41"/>
      <c r="G84" s="41"/>
      <c r="H84" s="1000"/>
      <c r="I84" s="310"/>
      <c r="J84" s="2011"/>
      <c r="K84" s="3296"/>
      <c r="L84" s="3015" t="s">
        <v>2874</v>
      </c>
      <c r="M84" s="30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1" t="s">
        <v>2875</v>
      </c>
      <c r="P84" s="2011"/>
      <c r="Q84" s="2011"/>
      <c r="R84" s="2011"/>
      <c r="S84" s="2011"/>
      <c r="T84" s="2011"/>
      <c r="U84" s="2011"/>
      <c r="V84" s="2011"/>
    </row>
    <row r="85" spans="1:26" ht="12.75">
      <c r="A85" s="380" t="s">
        <v>1826</v>
      </c>
      <c r="B85" s="381" t="s">
        <v>435</v>
      </c>
      <c r="C85" s="384">
        <f ca="1">C81-C84</f>
        <v>197785</v>
      </c>
      <c r="D85" s="377" t="s">
        <v>19</v>
      </c>
      <c r="E85" s="378"/>
      <c r="F85" s="41"/>
      <c r="G85" s="41"/>
      <c r="H85" s="1000"/>
      <c r="I85" s="310"/>
      <c r="J85" s="2011"/>
      <c r="K85" s="3296"/>
      <c r="L85" s="3015" t="s">
        <v>2876</v>
      </c>
      <c r="M85" s="3005" t="e">
        <f>IF(N69&gt;1000,N69*0.1%,IF(AND(N69&gt;500,N69&lt;=1000),N69*0.5%,IF(AND(N69&gt;50,N69&lt;=500),N69*1%,IF(AND(N69&gt;1,N69&lt;=50),N69*1.5%))))</f>
        <v>#VALUE!</v>
      </c>
      <c r="N85" s="52" t="e">
        <f t="shared" si="2"/>
        <v>#VALUE!</v>
      </c>
      <c r="O85" s="2011" t="s">
        <v>2875</v>
      </c>
      <c r="P85" s="2011"/>
      <c r="Q85" s="2011"/>
      <c r="R85" s="2011"/>
      <c r="S85" s="2011"/>
      <c r="T85" s="2011"/>
      <c r="U85" s="2011"/>
      <c r="V85" s="2011"/>
    </row>
    <row r="86" spans="1:26" ht="13.5" thickBot="1">
      <c r="A86" s="385" t="s">
        <v>1827</v>
      </c>
      <c r="B86" s="386" t="s">
        <v>436</v>
      </c>
      <c r="C86" s="387">
        <f ca="1">IF(C85&lt;=0,0,ROUND(C85*D86,0))</f>
        <v>11076</v>
      </c>
      <c r="D86" s="388">
        <f>'数据-取费表'!B41</f>
        <v>5.6000000000000001E-2</v>
      </c>
      <c r="E86" s="389"/>
      <c r="F86" s="41"/>
      <c r="G86" s="41"/>
      <c r="H86" s="1000"/>
      <c r="I86" s="310"/>
      <c r="J86" s="2011"/>
      <c r="K86" s="3296"/>
      <c r="L86" s="3015" t="s">
        <v>2877</v>
      </c>
      <c r="M86" s="3005" t="e">
        <f>N69*0.5%</f>
        <v>#VALUE!</v>
      </c>
      <c r="N86" s="52" t="e">
        <f>IF(M86&gt;0.5,0.5,ROUND(M86,0))</f>
        <v>#VALUE!</v>
      </c>
      <c r="O86" s="2011" t="s">
        <v>2878</v>
      </c>
      <c r="P86" s="2011"/>
      <c r="Q86" s="2011"/>
      <c r="R86" s="2011"/>
      <c r="S86" s="2011"/>
      <c r="T86" s="2011"/>
      <c r="U86" s="2011"/>
      <c r="V86" s="2011"/>
    </row>
    <row r="87" spans="1:26" s="1247" customFormat="1" ht="14.25" customHeight="1">
      <c r="A87" s="1302"/>
      <c r="B87" s="1303"/>
      <c r="C87" s="1304"/>
      <c r="D87" s="1305"/>
      <c r="E87" s="1306"/>
      <c r="F87" s="41"/>
      <c r="G87" s="41"/>
      <c r="H87" s="1000"/>
      <c r="I87" s="310"/>
      <c r="J87" s="2011"/>
      <c r="K87" s="3296"/>
      <c r="L87" s="3015" t="s">
        <v>2879</v>
      </c>
      <c r="M87" s="30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8"/>
      <c r="P87" s="310"/>
      <c r="Q87" s="2011"/>
      <c r="R87" s="2011"/>
      <c r="S87" s="2011"/>
      <c r="T87" s="2011"/>
      <c r="U87" s="2011"/>
      <c r="V87" s="2011"/>
      <c r="W87" s="291"/>
      <c r="X87" s="291"/>
      <c r="Y87" s="291"/>
      <c r="Z87" s="291"/>
    </row>
    <row r="88" spans="1:26" s="1307" customFormat="1" ht="15" thickBot="1">
      <c r="A88" s="3350" t="s">
        <v>437</v>
      </c>
      <c r="B88" s="3351"/>
      <c r="C88" s="3351"/>
      <c r="D88" s="3351"/>
      <c r="E88" s="3351"/>
      <c r="F88" s="3351"/>
      <c r="G88" s="3351"/>
      <c r="H88" s="3351"/>
      <c r="I88" s="1308"/>
      <c r="J88" s="2019"/>
      <c r="K88" s="3296"/>
      <c r="L88" s="3015" t="s">
        <v>2880</v>
      </c>
      <c r="M88" s="3005" t="e">
        <f>IF(N69&gt;10000,N69*0.5%,IF(AND(N69&gt;5000,N69&lt;=10000),N69*1%,IF(AND(N69&gt;1000,N69&lt;=5000),N69*2%,IF(AND(N69&gt;200,N69&lt;=1000),N69*3%,N69*5%))))</f>
        <v>#VALUE!</v>
      </c>
      <c r="N88" s="52" t="e">
        <f>ROUND(M88,1)</f>
        <v>#VALUE!</v>
      </c>
      <c r="O88" s="3008"/>
      <c r="P88" s="11"/>
      <c r="Q88" s="2016"/>
      <c r="R88" s="2016"/>
      <c r="S88" s="2016"/>
      <c r="T88" s="2016"/>
      <c r="U88" s="2016"/>
      <c r="V88" s="2016"/>
      <c r="W88" s="2020"/>
      <c r="X88" s="2020"/>
      <c r="Y88" s="2020"/>
      <c r="Z88" s="2020"/>
    </row>
    <row r="89" spans="1:26" s="1307" customFormat="1" ht="14.25">
      <c r="A89" s="3314" t="s">
        <v>428</v>
      </c>
      <c r="B89" s="3315"/>
      <c r="C89" s="991"/>
      <c r="D89" s="991" t="s">
        <v>429</v>
      </c>
      <c r="E89" s="390" t="s">
        <v>438</v>
      </c>
      <c r="F89" s="391"/>
      <c r="G89" s="391"/>
      <c r="H89" s="392"/>
      <c r="I89" s="1309"/>
      <c r="J89" s="2021"/>
      <c r="K89" s="3296"/>
      <c r="L89" s="3015" t="s">
        <v>27</v>
      </c>
      <c r="M89" s="3006"/>
      <c r="N89" s="52" t="e">
        <f>ROUND(SUM(N83:N88),0)</f>
        <v>#VALUE!</v>
      </c>
      <c r="O89" s="3016" t="e">
        <f>N89/N69</f>
        <v>#VALUE!</v>
      </c>
      <c r="P89" s="2016"/>
      <c r="Q89" s="2016"/>
      <c r="R89" s="2016"/>
      <c r="S89" s="2016"/>
      <c r="T89" s="2016"/>
      <c r="U89" s="2016"/>
      <c r="V89" s="2016"/>
      <c r="W89" s="2020"/>
      <c r="X89" s="2020"/>
      <c r="Y89" s="2020"/>
      <c r="Z89" s="2020"/>
    </row>
    <row r="90" spans="1:26" s="1307" customFormat="1" ht="14.25">
      <c r="A90" s="380" t="s">
        <v>1822</v>
      </c>
      <c r="B90" s="381" t="s">
        <v>439</v>
      </c>
      <c r="C90" s="384">
        <f ca="1">ROUND(D63/(1+'数据-取费表'!C42),0)</f>
        <v>199785</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1828</v>
      </c>
      <c r="B91" s="347" t="s">
        <v>440</v>
      </c>
      <c r="C91" s="384">
        <f ca="1">C92+C96</f>
        <v>3760</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1829</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1831</v>
      </c>
      <c r="B94" s="399" t="s">
        <v>446</v>
      </c>
      <c r="C94" s="377">
        <f>IF(F93="购房发票",ROUND(C93*H93*5%,0),0)</f>
        <v>500</v>
      </c>
      <c r="D94" s="400">
        <v>0.05</v>
      </c>
      <c r="E94" s="3347" t="s">
        <v>447</v>
      </c>
      <c r="F94" s="3348"/>
      <c r="G94" s="3348"/>
      <c r="H94" s="3349"/>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1832</v>
      </c>
      <c r="B95" s="375" t="s">
        <v>448</v>
      </c>
      <c r="C95" s="377">
        <f>ROUND(IF(G95="个人买卖住房",0,IF(G95="2016年5月1日前购买",C93*D95,C93*D95/(1+'数据-取费表'!C42))),0)</f>
        <v>61</v>
      </c>
      <c r="D95" s="401">
        <f>'数据-取费表'!B48+'数据-取费表'!B49</f>
        <v>3.0499999999999999E-2</v>
      </c>
      <c r="E95" s="25" t="s">
        <v>449</v>
      </c>
      <c r="F95" s="402"/>
      <c r="G95" s="403" t="s">
        <v>2428</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1833</v>
      </c>
      <c r="B96" s="375" t="s">
        <v>450</v>
      </c>
      <c r="C96" s="404">
        <f ca="1">ROUND(D63*D96/(1+'数据-取费表'!C42),0)</f>
        <v>1199</v>
      </c>
      <c r="D96" s="405">
        <f>'数据-取费表'!B43</f>
        <v>6.000000000000001E-3</v>
      </c>
      <c r="E96" s="3337" t="s">
        <v>2427</v>
      </c>
      <c r="F96" s="3338"/>
      <c r="G96" s="3338"/>
      <c r="H96" s="3339"/>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1834</v>
      </c>
      <c r="B97" s="381" t="s">
        <v>451</v>
      </c>
      <c r="C97" s="384">
        <f ca="1">C90-C91</f>
        <v>196025</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1835</v>
      </c>
      <c r="B98" s="381" t="s">
        <v>452</v>
      </c>
      <c r="C98" s="406">
        <f ca="1">IF(C97&lt;=0,0,C97/C91)</f>
        <v>52.134308510638299</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1836</v>
      </c>
      <c r="B99" s="386" t="s">
        <v>453</v>
      </c>
      <c r="C99" s="407">
        <f ca="1">ROUND(IF(C97&lt;=0,0,IF(C98&gt;=200%,C97*60%-C91*35%,IF(C98&gt;=100%,C97*50%-C91*15%,IF(C98&gt;=50%,C97*40%-C91*5%,IF(C98&lt;50%,C97*30%,0))))),0)</f>
        <v>116299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50" t="s">
        <v>454</v>
      </c>
      <c r="B101" s="3351"/>
      <c r="C101" s="3351"/>
      <c r="D101" s="3351"/>
      <c r="E101" s="3351"/>
      <c r="F101" s="3351"/>
      <c r="G101" s="3351"/>
      <c r="H101" s="3351"/>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14" t="s">
        <v>428</v>
      </c>
      <c r="B102" s="3315"/>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1822</v>
      </c>
      <c r="B103" s="381" t="s">
        <v>439</v>
      </c>
      <c r="C103" s="384">
        <f ca="1">ROUND(D63/(1+'数据-取费表'!C42),0)</f>
        <v>199785</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1828</v>
      </c>
      <c r="B104" s="347" t="s">
        <v>440</v>
      </c>
      <c r="C104" s="384">
        <f ca="1">IF(H106="仅含出让金",C105+C108+C109+C110+C111+C112,C105+C109+C110+C111+C112)</f>
        <v>1889</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1829</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1830</v>
      </c>
      <c r="B106" s="375" t="s">
        <v>456</v>
      </c>
      <c r="C106" s="415">
        <v>555</v>
      </c>
      <c r="D106" s="405"/>
      <c r="E106" s="416" t="s">
        <v>457</v>
      </c>
      <c r="F106" s="983"/>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1831</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1833</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1837</v>
      </c>
      <c r="B109" s="375" t="s">
        <v>461</v>
      </c>
      <c r="C109" s="404">
        <f>IF(H109="——",IF(F1="现房",'剩余法-现房'!C18,'剩余法-待开发'!C18),I109)</f>
        <v>55</v>
      </c>
      <c r="D109" s="405"/>
      <c r="E109" s="3340" t="s">
        <v>462</v>
      </c>
      <c r="F109" s="3338"/>
      <c r="G109" s="3338"/>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1838</v>
      </c>
      <c r="B110" s="375" t="s">
        <v>463</v>
      </c>
      <c r="C110" s="404">
        <f>ROUND((C105+C108+C109)*D110,0)</f>
        <v>63</v>
      </c>
      <c r="D110" s="405">
        <v>0.1</v>
      </c>
      <c r="E110" s="3340" t="s">
        <v>464</v>
      </c>
      <c r="F110" s="3338"/>
      <c r="G110" s="3338"/>
      <c r="H110" s="3339"/>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1839</v>
      </c>
      <c r="B111" s="375" t="s">
        <v>450</v>
      </c>
      <c r="C111" s="404">
        <f ca="1">ROUND(D63*D111/(1+'数据-取费表'!C42),0)</f>
        <v>1199</v>
      </c>
      <c r="D111" s="405">
        <f>'数据-取费表'!B43</f>
        <v>6.000000000000001E-3</v>
      </c>
      <c r="E111" s="3337" t="s">
        <v>2427</v>
      </c>
      <c r="F111" s="3338"/>
      <c r="G111" s="3338"/>
      <c r="H111" s="3339"/>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1840</v>
      </c>
      <c r="B112" s="375" t="s">
        <v>465</v>
      </c>
      <c r="C112" s="404">
        <f>ROUND(C108*D112,0)</f>
        <v>0</v>
      </c>
      <c r="D112" s="405">
        <v>0.2</v>
      </c>
      <c r="E112" s="3340" t="s">
        <v>2452</v>
      </c>
      <c r="F112" s="3338"/>
      <c r="G112" s="3338"/>
      <c r="H112" s="3339"/>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1834</v>
      </c>
      <c r="B113" s="381" t="s">
        <v>451</v>
      </c>
      <c r="C113" s="384">
        <f ca="1">ROUND(C103-C104,0)</f>
        <v>197896</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1835</v>
      </c>
      <c r="B114" s="381" t="s">
        <v>452</v>
      </c>
      <c r="C114" s="406">
        <f ca="1">IF(C113&lt;=0,0,C113/C104)</f>
        <v>104.76230809952355</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1836</v>
      </c>
      <c r="B115" s="386" t="s">
        <v>453</v>
      </c>
      <c r="C115" s="407">
        <f ca="1">ROUND(IF(C113&lt;=0,0,IF(C114&gt;=200%,C113*60%-C104*35%,IF(C114&gt;=100%,C113*50%-C104*15%,IF(C114&gt;=50%,C113*40%-C104*5%,IF(C114&lt;50%,C113*30%,0))))),0)</f>
        <v>118076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6" sqref="M16"/>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398413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1683</v>
      </c>
      <c r="B3" s="509">
        <f>ROUND(B2*10000/'数据-汇总表'!E3,0)</f>
        <v>4240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13942</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929</v>
      </c>
      <c r="C5" s="430" t="s">
        <v>469</v>
      </c>
      <c r="D5" s="2044"/>
      <c r="E5" s="2044" t="str">
        <f>'[1]土地比较法-住宅、综合'!$E$3</f>
        <v>首钢·蓉璟台</v>
      </c>
      <c r="F5" s="2044"/>
      <c r="G5" s="2111" t="str">
        <f>'[1]土地比较法-住宅、综合'!$G$3</f>
        <v>万科·公园传奇</v>
      </c>
      <c r="H5" s="2111"/>
      <c r="I5" s="2111" t="str">
        <f>'[1]土地比较法-住宅、综合'!$I$3</f>
        <v>保利·万科保利翡翠和悦</v>
      </c>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395" t="s">
        <v>522</v>
      </c>
      <c r="D6" s="3396"/>
      <c r="E6" s="3395" t="s">
        <v>523</v>
      </c>
      <c r="F6" s="3397"/>
      <c r="G6" s="3395" t="s">
        <v>524</v>
      </c>
      <c r="H6" s="3397"/>
      <c r="I6" s="3395" t="s">
        <v>525</v>
      </c>
      <c r="J6" s="3397"/>
      <c r="K6" s="513" t="s">
        <v>526</v>
      </c>
      <c r="L6" s="2116"/>
      <c r="M6" s="2115"/>
      <c r="N6" s="2115"/>
      <c r="O6" s="2117"/>
      <c r="P6" s="3398" t="s">
        <v>527</v>
      </c>
      <c r="Q6" s="3399"/>
      <c r="R6" s="3383" t="s">
        <v>523</v>
      </c>
      <c r="S6" s="3384"/>
      <c r="T6" s="3383" t="s">
        <v>524</v>
      </c>
      <c r="U6" s="3384"/>
      <c r="V6" s="3404" t="s">
        <v>525</v>
      </c>
      <c r="W6" s="3404"/>
      <c r="X6" s="1551"/>
      <c r="Y6" s="3383" t="s">
        <v>527</v>
      </c>
      <c r="Z6" s="3384"/>
      <c r="AA6" s="3378" t="s">
        <v>523</v>
      </c>
      <c r="AB6" s="3379" t="s">
        <v>524</v>
      </c>
      <c r="AC6" s="3378" t="s">
        <v>525</v>
      </c>
    </row>
    <row r="7" spans="1:30" ht="45" customHeight="1">
      <c r="A7" s="514"/>
      <c r="B7" s="515"/>
      <c r="C7" s="3407" t="s">
        <v>2929</v>
      </c>
      <c r="D7" s="3409"/>
      <c r="E7" s="3407" t="str">
        <f>'[1]土地比较法-住宅、综合'!$E$5:$F$5</f>
        <v>天府新区华阳街道鹤林村五组(剑南大道东侧、沈阳路南侧)</v>
      </c>
      <c r="F7" s="3408"/>
      <c r="G7" s="3407" t="str">
        <f>'[1]土地比较法-住宅、综合'!$G$5:$H$5</f>
        <v>天府新区华阳街道香山村六组、八组、九组(天府大道西侧、梓州大道南侧)</v>
      </c>
      <c r="H7" s="3408"/>
      <c r="I7" s="3407" t="str">
        <f>'[1]土地比较法-住宅、综合'!$I$5:$J$5</f>
        <v>天府新区华阳街道一心村九组、鹤林村五组(剑南大道东侧、沈阳路南侧)</v>
      </c>
      <c r="J7" s="3408"/>
      <c r="K7" s="513"/>
      <c r="L7" s="2116"/>
      <c r="M7" s="2115"/>
      <c r="N7" s="2115"/>
      <c r="O7" s="2117"/>
      <c r="P7" s="3400"/>
      <c r="Q7" s="3401"/>
      <c r="R7" s="3385"/>
      <c r="S7" s="3386"/>
      <c r="T7" s="3385"/>
      <c r="U7" s="3386"/>
      <c r="V7" s="3404"/>
      <c r="W7" s="3404"/>
      <c r="X7" s="1551"/>
      <c r="Y7" s="3385"/>
      <c r="Z7" s="3386"/>
      <c r="AA7" s="3379"/>
      <c r="AB7" s="3379"/>
      <c r="AC7" s="3379"/>
    </row>
    <row r="8" spans="1:30" ht="21" thickBot="1">
      <c r="A8" s="514"/>
      <c r="B8" s="515"/>
      <c r="C8" s="3410" t="s">
        <v>2933</v>
      </c>
      <c r="D8" s="3411"/>
      <c r="E8" s="3410" t="str">
        <f>'[1]土地比较法-住宅、综合'!$E$6:$F$6</f>
        <v>TF(07):2017-36</v>
      </c>
      <c r="F8" s="3412"/>
      <c r="G8" s="3405" t="str">
        <f>'[1]土地比较法-住宅、综合'!$G$6:$H$6</f>
        <v>TF(07):2017-38</v>
      </c>
      <c r="H8" s="3406"/>
      <c r="I8" s="3405" t="str">
        <f>'[1]土地比较法-住宅、综合'!$I$6:$J$6</f>
        <v>TF(07):2017-37</v>
      </c>
      <c r="J8" s="3406"/>
      <c r="K8" s="513" t="s">
        <v>528</v>
      </c>
      <c r="L8" s="2116"/>
      <c r="M8" s="2115"/>
      <c r="N8" s="2115"/>
      <c r="O8" s="2117"/>
      <c r="P8" s="3402"/>
      <c r="Q8" s="3403"/>
      <c r="R8" s="3385"/>
      <c r="S8" s="3386"/>
      <c r="T8" s="3387"/>
      <c r="U8" s="3388"/>
      <c r="V8" s="3404"/>
      <c r="W8" s="3404"/>
      <c r="X8" s="1551"/>
      <c r="Y8" s="3387"/>
      <c r="Z8" s="3388"/>
      <c r="AA8" s="3380"/>
      <c r="AB8" s="3380"/>
      <c r="AC8" s="3380"/>
    </row>
    <row r="9" spans="1:30" s="1213" customFormat="1" ht="21" thickBot="1">
      <c r="A9" s="2865"/>
      <c r="B9" s="2872" t="s">
        <v>529</v>
      </c>
      <c r="C9" s="2864">
        <f>'数据-取费表'!B2</f>
        <v>43630</v>
      </c>
      <c r="D9" s="521">
        <v>100</v>
      </c>
      <c r="E9" s="522" t="str">
        <f>'[1]土地比较法-住宅、综合'!$E$7</f>
        <v>2017-12-28</v>
      </c>
      <c r="F9" s="519">
        <f>SUMIF(72:72,YEAR(E9)&amp;"-"&amp;INT((MONTH(E9)+2)/3),73:73)</f>
        <v>97</v>
      </c>
      <c r="G9" s="522" t="str">
        <f>'[1]土地比较法-住宅、综合'!$G$7</f>
        <v>2017-12-28</v>
      </c>
      <c r="H9" s="519">
        <f>SUMIF(72:72,YEAR(G9)&amp;"-"&amp;INT((MONTH(G9)+2)/3),73:73)</f>
        <v>97</v>
      </c>
      <c r="I9" s="522" t="str">
        <f>'[1]土地比较法-住宅、综合'!$I$7</f>
        <v>2017-12-28</v>
      </c>
      <c r="J9" s="519">
        <f>SUMIF(72:72,YEAR(I9)&amp;"-"&amp;INT((MONTH(I9)+2)/3),73:73)</f>
        <v>97</v>
      </c>
      <c r="K9" s="523"/>
      <c r="L9" s="2118"/>
      <c r="M9" s="2115"/>
      <c r="N9" s="2115"/>
      <c r="O9" s="2119"/>
      <c r="P9" s="3381" t="s">
        <v>530</v>
      </c>
      <c r="Q9" s="3390"/>
      <c r="R9" s="1552" t="s">
        <v>8</v>
      </c>
      <c r="S9" s="1553">
        <f t="shared" ref="S9:S17" si="0">F9</f>
        <v>97</v>
      </c>
      <c r="T9" s="1552" t="s">
        <v>8</v>
      </c>
      <c r="U9" s="1553">
        <f t="shared" ref="U9:U17" si="1">H9</f>
        <v>97</v>
      </c>
      <c r="V9" s="1552" t="s">
        <v>8</v>
      </c>
      <c r="W9" s="1553">
        <f t="shared" ref="W9:W17" si="2">J9</f>
        <v>97</v>
      </c>
      <c r="X9" s="1554"/>
      <c r="Y9" s="3381" t="s">
        <v>530</v>
      </c>
      <c r="Z9" s="3382"/>
      <c r="AA9" s="1555">
        <f>D9/F9</f>
        <v>1.0309278350515463</v>
      </c>
      <c r="AB9" s="1555">
        <f>D9/H9</f>
        <v>1.0309278350515463</v>
      </c>
      <c r="AC9" s="1555">
        <f>D9/J9</f>
        <v>1.0309278350515463</v>
      </c>
    </row>
    <row r="10" spans="1:30" s="1213" customFormat="1" ht="21" thickBot="1">
      <c r="A10" s="2866"/>
      <c r="B10" s="2873" t="s">
        <v>531</v>
      </c>
      <c r="C10" s="854" t="s">
        <v>532</v>
      </c>
      <c r="D10" s="521">
        <v>100</v>
      </c>
      <c r="E10" s="524" t="s">
        <v>3010</v>
      </c>
      <c r="F10" s="519">
        <f>SUMIF(75:75,E10,76:76)-SUMIF(75:75,C10,76:76)+100</f>
        <v>100</v>
      </c>
      <c r="G10" s="524" t="s">
        <v>3010</v>
      </c>
      <c r="H10" s="519">
        <f>SUMIF(75:75,G10,76:76)-SUMIF(75:75,C10,76:76)+100</f>
        <v>100</v>
      </c>
      <c r="I10" s="524" t="s">
        <v>3010</v>
      </c>
      <c r="J10" s="519">
        <f>SUMIF(75:75,I10,76:76)-SUMIF(75:75,C10,76:76)+100</f>
        <v>100</v>
      </c>
      <c r="K10" s="523"/>
      <c r="L10" s="2118"/>
      <c r="M10" s="2115"/>
      <c r="N10" s="2115"/>
      <c r="O10" s="2119"/>
      <c r="P10" s="3381" t="s">
        <v>533</v>
      </c>
      <c r="Q10" s="3382"/>
      <c r="R10" s="1552" t="s">
        <v>8</v>
      </c>
      <c r="S10" s="1553">
        <f t="shared" si="0"/>
        <v>100</v>
      </c>
      <c r="T10" s="1552" t="s">
        <v>8</v>
      </c>
      <c r="U10" s="1553">
        <f t="shared" si="1"/>
        <v>100</v>
      </c>
      <c r="V10" s="1552" t="s">
        <v>8</v>
      </c>
      <c r="W10" s="1553">
        <f t="shared" si="2"/>
        <v>100</v>
      </c>
      <c r="X10" s="1554"/>
      <c r="Y10" s="3381" t="s">
        <v>533</v>
      </c>
      <c r="Z10" s="3382"/>
      <c r="AA10" s="1555">
        <f t="shared" ref="AA10:AA47" si="3">D10/F10</f>
        <v>1</v>
      </c>
      <c r="AB10" s="1555">
        <f t="shared" ref="AB10:AB47" si="4">D10/H10</f>
        <v>1</v>
      </c>
      <c r="AC10" s="1555">
        <f t="shared" ref="AC10:AC47" si="5">D10/J10</f>
        <v>1</v>
      </c>
    </row>
    <row r="11" spans="1:30" s="1213" customFormat="1" ht="57">
      <c r="A11" s="2867"/>
      <c r="B11" s="2874" t="s">
        <v>2754</v>
      </c>
      <c r="C11" s="2861"/>
      <c r="D11" s="857">
        <v>100</v>
      </c>
      <c r="E11" s="525" t="s">
        <v>922</v>
      </c>
      <c r="F11" s="253">
        <f>SUMIF(77:77,E11,78:78)-SUMIF(77:77,C11,78:78)+100</f>
        <v>100</v>
      </c>
      <c r="G11" s="525" t="s">
        <v>3040</v>
      </c>
      <c r="H11" s="253">
        <f>SUMIF(77:77,G11,78:78)-SUMIF(77:77,C11,78:78)+100</f>
        <v>100</v>
      </c>
      <c r="I11" s="525" t="s">
        <v>3041</v>
      </c>
      <c r="J11" s="253">
        <f>SUMIF(77:77,I11,78:78)-SUMIF(77:77,C11,78:78)+100</f>
        <v>100</v>
      </c>
      <c r="K11" s="523"/>
      <c r="L11" s="2118"/>
      <c r="M11" s="2115"/>
      <c r="N11" s="2115"/>
      <c r="O11" s="2120"/>
      <c r="P11" s="3389" t="s">
        <v>535</v>
      </c>
      <c r="Q11" s="1144" t="str">
        <f t="shared" ref="Q11:Q17" si="6">B11</f>
        <v>用途</v>
      </c>
      <c r="R11" s="1552" t="s">
        <v>8</v>
      </c>
      <c r="S11" s="1553">
        <f t="shared" si="0"/>
        <v>100</v>
      </c>
      <c r="T11" s="1552" t="s">
        <v>8</v>
      </c>
      <c r="U11" s="1553">
        <f t="shared" si="1"/>
        <v>100</v>
      </c>
      <c r="V11" s="1552" t="s">
        <v>8</v>
      </c>
      <c r="W11" s="1553">
        <f t="shared" si="2"/>
        <v>100</v>
      </c>
      <c r="X11" s="1554"/>
      <c r="Y11" s="3346" t="s">
        <v>536</v>
      </c>
      <c r="Z11" s="1143" t="str">
        <f t="shared" ref="Z11:Z17" si="7">Q11</f>
        <v>用途</v>
      </c>
      <c r="AA11" s="1555">
        <f t="shared" si="3"/>
        <v>1</v>
      </c>
      <c r="AB11" s="1555">
        <f t="shared" si="4"/>
        <v>1</v>
      </c>
      <c r="AC11" s="1555">
        <f t="shared" si="5"/>
        <v>1</v>
      </c>
    </row>
    <row r="12" spans="1:30" s="1331" customFormat="1" ht="27">
      <c r="A12" s="2868"/>
      <c r="B12" s="2873" t="s">
        <v>2755</v>
      </c>
      <c r="C12" s="907"/>
      <c r="D12" s="861">
        <v>100</v>
      </c>
      <c r="E12" s="528"/>
      <c r="F12" s="254">
        <f>ROUND(100/'数据-取费表'!G16,0)</f>
        <v>111</v>
      </c>
      <c r="G12" s="529"/>
      <c r="H12" s="254">
        <f>ROUND(100/'数据-取费表'!G16,0)</f>
        <v>111</v>
      </c>
      <c r="I12" s="529"/>
      <c r="J12" s="254">
        <f>ROUND(100/'数据-取费表'!G16,0)</f>
        <v>111</v>
      </c>
      <c r="K12" s="530"/>
      <c r="L12" s="2121"/>
      <c r="M12" s="2115"/>
      <c r="N12" s="2115"/>
      <c r="O12" s="2122"/>
      <c r="P12" s="3389"/>
      <c r="Q12" s="1144" t="str">
        <f t="shared" si="6"/>
        <v>土地使用年限（年）</v>
      </c>
      <c r="R12" s="1552" t="s">
        <v>8</v>
      </c>
      <c r="S12" s="1553">
        <f t="shared" si="0"/>
        <v>111</v>
      </c>
      <c r="T12" s="1552" t="s">
        <v>8</v>
      </c>
      <c r="U12" s="1553">
        <f t="shared" si="1"/>
        <v>111</v>
      </c>
      <c r="V12" s="1552" t="s">
        <v>8</v>
      </c>
      <c r="W12" s="1553">
        <f t="shared" si="2"/>
        <v>111</v>
      </c>
      <c r="X12" s="1554"/>
      <c r="Y12" s="3346"/>
      <c r="Z12" s="1143" t="str">
        <f t="shared" si="7"/>
        <v>土地使用年限（年）</v>
      </c>
      <c r="AA12" s="1555">
        <f t="shared" si="3"/>
        <v>0.90090090090090091</v>
      </c>
      <c r="AB12" s="1555">
        <f t="shared" si="4"/>
        <v>0.90090090090090091</v>
      </c>
      <c r="AC12" s="1555">
        <f t="shared" si="5"/>
        <v>0.90090090090090091</v>
      </c>
    </row>
    <row r="13" spans="1:30" ht="20.25">
      <c r="A13" s="2869"/>
      <c r="B13" s="2873" t="s">
        <v>2756</v>
      </c>
      <c r="C13" s="533">
        <f>'数据-汇总表'!I6</f>
        <v>2.1800000000000002</v>
      </c>
      <c r="D13" s="861">
        <v>100</v>
      </c>
      <c r="E13" s="532">
        <f>'[1]土地比较法-住宅、综合'!$E$11</f>
        <v>2.5</v>
      </c>
      <c r="F13" s="254">
        <f>LOOKUP(E13,82:82,83:83)-LOOKUP(C13,82:82,83:83)+100</f>
        <v>100</v>
      </c>
      <c r="G13" s="533">
        <f>'[1]土地比较法-住宅、综合'!$G$11</f>
        <v>2.69</v>
      </c>
      <c r="H13" s="254">
        <f>LOOKUP(G13,82:82,83:83)-LOOKUP(C13,82:82,83:83)+100</f>
        <v>100</v>
      </c>
      <c r="I13" s="532">
        <f>'[1]土地比较法-住宅、综合'!$I$11</f>
        <v>2.11</v>
      </c>
      <c r="J13" s="254">
        <f>LOOKUP(I13,82:82,83:83)-LOOKUP(C13,82:82,83:83)+100</f>
        <v>100</v>
      </c>
      <c r="K13" s="534">
        <f>'[1]土地比较法-住宅、综合'!$K$11</f>
        <v>6</v>
      </c>
      <c r="L13" s="2123"/>
      <c r="M13" s="2115"/>
      <c r="N13" s="2115"/>
      <c r="O13" s="2124"/>
      <c r="P13" s="3389"/>
      <c r="Q13" s="1144" t="str">
        <f t="shared" si="6"/>
        <v>容积率</v>
      </c>
      <c r="R13" s="1552" t="s">
        <v>8</v>
      </c>
      <c r="S13" s="1553">
        <f t="shared" si="0"/>
        <v>100</v>
      </c>
      <c r="T13" s="1552" t="s">
        <v>8</v>
      </c>
      <c r="U13" s="1553">
        <f t="shared" si="1"/>
        <v>100</v>
      </c>
      <c r="V13" s="1552" t="s">
        <v>8</v>
      </c>
      <c r="W13" s="1553">
        <f t="shared" si="2"/>
        <v>100</v>
      </c>
      <c r="X13" s="1554"/>
      <c r="Y13" s="3346"/>
      <c r="Z13" s="1143" t="str">
        <f t="shared" si="7"/>
        <v>容积率</v>
      </c>
      <c r="AA13" s="1555">
        <f t="shared" si="3"/>
        <v>1</v>
      </c>
      <c r="AB13" s="1555">
        <f t="shared" si="4"/>
        <v>1</v>
      </c>
      <c r="AC13" s="1555">
        <f t="shared" si="5"/>
        <v>1</v>
      </c>
    </row>
    <row r="14" spans="1:30" s="1213" customFormat="1" ht="20.25">
      <c r="A14" s="2866"/>
      <c r="B14" s="2875" t="s">
        <v>2757</v>
      </c>
      <c r="C14" s="2862">
        <f>'[1]土地比较法-住宅、综合'!$C$12</f>
        <v>0</v>
      </c>
      <c r="D14" s="3196">
        <v>100</v>
      </c>
      <c r="E14" s="1368" t="str">
        <f>'[1]土地比较法-住宅、综合'!$E$12</f>
        <v>0-10%</v>
      </c>
      <c r="F14" s="254">
        <f>SUMIF(84:84,E14,85:85)-SUMIF(84:84,C14,85:85)+100</f>
        <v>95</v>
      </c>
      <c r="G14" s="529" t="str">
        <f>'[1]土地比较法-住宅、综合'!$G$12</f>
        <v>0-10%</v>
      </c>
      <c r="H14" s="254">
        <f>SUMIF(84:84,G14,85:85)-SUMIF(84:84,C14,85:85)+100</f>
        <v>95</v>
      </c>
      <c r="I14" s="528" t="str">
        <f>'[1]土地比较法-住宅、综合'!$I$12</f>
        <v>0-10%</v>
      </c>
      <c r="J14" s="254">
        <f>SUMIF(84:84,I14,85:85)-SUMIF(84:84,C14,85:85)+100</f>
        <v>95</v>
      </c>
      <c r="K14" s="530"/>
      <c r="L14" s="2118"/>
      <c r="M14" s="2115"/>
      <c r="N14" s="2115"/>
      <c r="O14" s="2120"/>
      <c r="P14" s="3389"/>
      <c r="Q14" s="1144" t="str">
        <f t="shared" si="6"/>
        <v>配建</v>
      </c>
      <c r="R14" s="1552" t="s">
        <v>8</v>
      </c>
      <c r="S14" s="1553">
        <f t="shared" si="0"/>
        <v>95</v>
      </c>
      <c r="T14" s="1552" t="s">
        <v>8</v>
      </c>
      <c r="U14" s="1553">
        <f t="shared" si="1"/>
        <v>95</v>
      </c>
      <c r="V14" s="1552" t="s">
        <v>8</v>
      </c>
      <c r="W14" s="1553">
        <f t="shared" si="2"/>
        <v>95</v>
      </c>
      <c r="X14" s="1554"/>
      <c r="Y14" s="3346"/>
      <c r="Z14" s="1143" t="str">
        <f t="shared" si="7"/>
        <v>配建</v>
      </c>
      <c r="AA14" s="1555">
        <f>D14/F14</f>
        <v>1.0526315789473684</v>
      </c>
      <c r="AB14" s="1555">
        <f>D14/H14</f>
        <v>1.0526315789473684</v>
      </c>
      <c r="AC14" s="1555">
        <f>D14/J14</f>
        <v>1.0526315789473684</v>
      </c>
    </row>
    <row r="15" spans="1:30" ht="20.25">
      <c r="A15" s="2870"/>
      <c r="B15" s="3201" t="s">
        <v>3053</v>
      </c>
      <c r="C15" s="3204" t="str">
        <f>D86</f>
        <v>10-30%（含）</v>
      </c>
      <c r="D15" s="574">
        <v>100</v>
      </c>
      <c r="E15" s="3205" t="str">
        <f>C86</f>
        <v>0-10%（含）</v>
      </c>
      <c r="F15" s="254">
        <f>SUMIF(86:86,E15,87:87)-SUMIF(86:86,C15,87:87)+100</f>
        <v>110</v>
      </c>
      <c r="G15" s="3205" t="str">
        <f>C86</f>
        <v>0-10%（含）</v>
      </c>
      <c r="H15" s="539">
        <f>SUMIF(86:86,G15,87:87)-SUMIF(86:86,C15,87:87)+100</f>
        <v>110</v>
      </c>
      <c r="I15" s="3205" t="str">
        <f>C86</f>
        <v>0-10%（含）</v>
      </c>
      <c r="J15" s="539">
        <f>SUMIF(86:86,I15,87:87)-SUMIF(86:86,C15,87:87)+100</f>
        <v>110</v>
      </c>
      <c r="K15" s="530"/>
      <c r="L15" s="2125"/>
      <c r="M15" s="2115"/>
      <c r="N15" s="2115"/>
      <c r="O15" s="2124"/>
      <c r="P15" s="3389"/>
      <c r="Q15" s="1144" t="str">
        <f t="shared" si="6"/>
        <v>商业占比</v>
      </c>
      <c r="R15" s="1552" t="s">
        <v>8</v>
      </c>
      <c r="S15" s="1553">
        <f t="shared" si="0"/>
        <v>110</v>
      </c>
      <c r="T15" s="1552" t="s">
        <v>8</v>
      </c>
      <c r="U15" s="1553">
        <f t="shared" si="1"/>
        <v>110</v>
      </c>
      <c r="V15" s="1552" t="s">
        <v>8</v>
      </c>
      <c r="W15" s="1553">
        <f t="shared" si="2"/>
        <v>110</v>
      </c>
      <c r="X15" s="1554"/>
      <c r="Y15" s="3346"/>
      <c r="Z15" s="1143" t="str">
        <f t="shared" si="7"/>
        <v>商业占比</v>
      </c>
      <c r="AA15" s="1555">
        <f>D15/F15</f>
        <v>0.90909090909090906</v>
      </c>
      <c r="AB15" s="1555">
        <f>D15/H15</f>
        <v>0.90909090909090906</v>
      </c>
      <c r="AC15" s="1555">
        <f>D15/J15</f>
        <v>0.90909090909090906</v>
      </c>
    </row>
    <row r="16" spans="1:30" ht="21" thickBot="1">
      <c r="A16" s="2871"/>
      <c r="B16" s="2877"/>
      <c r="C16" s="912"/>
      <c r="D16" s="864">
        <v>100</v>
      </c>
      <c r="E16" s="541"/>
      <c r="F16" s="545">
        <f>SUMIF(88:88,E16,89:89)-SUMIF(88:88,C16,89:89)+100</f>
        <v>100</v>
      </c>
      <c r="G16" s="541"/>
      <c r="H16" s="545">
        <f>SUMIF(88:88,G16,89:89)-SUMIF(88:88,C16,89:89)+100</f>
        <v>100</v>
      </c>
      <c r="I16" s="541"/>
      <c r="J16" s="545">
        <f>SUMIF(88:88,I16,89:89)-SUMIF(88:88,C16,89:89)+100</f>
        <v>100</v>
      </c>
      <c r="K16" s="530"/>
      <c r="L16" s="2125"/>
      <c r="M16" s="2115"/>
      <c r="N16" s="2115"/>
      <c r="O16" s="2124"/>
      <c r="P16" s="3389"/>
      <c r="Q16" s="1144">
        <f t="shared" si="6"/>
        <v>0</v>
      </c>
      <c r="R16" s="1552" t="s">
        <v>8</v>
      </c>
      <c r="S16" s="1553">
        <f t="shared" si="0"/>
        <v>100</v>
      </c>
      <c r="T16" s="1552" t="s">
        <v>8</v>
      </c>
      <c r="U16" s="1553">
        <f t="shared" si="1"/>
        <v>100</v>
      </c>
      <c r="V16" s="1552" t="s">
        <v>8</v>
      </c>
      <c r="W16" s="1553">
        <f t="shared" si="2"/>
        <v>100</v>
      </c>
      <c r="X16" s="1554"/>
      <c r="Y16" s="3346"/>
      <c r="Z16" s="1143">
        <f t="shared" si="7"/>
        <v>0</v>
      </c>
      <c r="AA16" s="1555">
        <f>D16/F16</f>
        <v>1</v>
      </c>
      <c r="AB16" s="1555">
        <f>D16/H16</f>
        <v>1</v>
      </c>
      <c r="AC16" s="1555">
        <f>D16/J16</f>
        <v>1</v>
      </c>
    </row>
    <row r="17" spans="1:29" ht="99.75">
      <c r="A17" s="286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97</v>
      </c>
      <c r="I17" s="551"/>
      <c r="J17" s="548">
        <f>SUMIF(90:90,I18,91:91)-SUMIF(90:90,C18,91:91)+100</f>
        <v>100</v>
      </c>
      <c r="K17" s="534">
        <f>'[1]土地比较法-住宅、综合'!$K$15</f>
        <v>3</v>
      </c>
      <c r="L17" s="2125"/>
      <c r="M17" s="2115"/>
      <c r="N17" s="2115"/>
      <c r="O17" s="2124"/>
      <c r="P17" s="3391" t="s">
        <v>540</v>
      </c>
      <c r="Q17" s="1556" t="str">
        <f t="shared" si="6"/>
        <v>居住社区成熟度</v>
      </c>
      <c r="R17" s="1557" t="s">
        <v>8</v>
      </c>
      <c r="S17" s="1558">
        <f t="shared" si="0"/>
        <v>100</v>
      </c>
      <c r="T17" s="1557" t="s">
        <v>8</v>
      </c>
      <c r="U17" s="1558">
        <f t="shared" si="1"/>
        <v>97</v>
      </c>
      <c r="V17" s="1557" t="s">
        <v>8</v>
      </c>
      <c r="W17" s="1558">
        <f t="shared" si="2"/>
        <v>100</v>
      </c>
      <c r="X17" s="1551"/>
      <c r="Y17" s="3391" t="s">
        <v>540</v>
      </c>
      <c r="Z17" s="1559" t="str">
        <f t="shared" si="7"/>
        <v>居住社区成熟度</v>
      </c>
      <c r="AA17" s="1560">
        <f t="shared" si="3"/>
        <v>1</v>
      </c>
      <c r="AB17" s="1560">
        <f t="shared" si="4"/>
        <v>1.0309278350515463</v>
      </c>
      <c r="AC17" s="1560">
        <f t="shared" si="5"/>
        <v>1</v>
      </c>
    </row>
    <row r="18" spans="1:29" ht="20.25">
      <c r="A18" s="531"/>
      <c r="B18" s="552"/>
      <c r="C18" s="553" t="s">
        <v>3019</v>
      </c>
      <c r="D18" s="556"/>
      <c r="E18" s="575" t="s">
        <v>3019</v>
      </c>
      <c r="F18" s="554"/>
      <c r="G18" s="575" t="s">
        <v>3021</v>
      </c>
      <c r="H18" s="558"/>
      <c r="I18" s="575" t="s">
        <v>3019</v>
      </c>
      <c r="J18" s="554"/>
      <c r="K18" s="530"/>
      <c r="L18" s="2125"/>
      <c r="M18" s="2115"/>
      <c r="N18" s="2115"/>
      <c r="O18" s="2124"/>
      <c r="P18" s="3392"/>
      <c r="Q18" s="1556"/>
      <c r="R18" s="1557"/>
      <c r="S18" s="1558"/>
      <c r="T18" s="1557"/>
      <c r="U18" s="1558"/>
      <c r="V18" s="1557"/>
      <c r="W18" s="1558"/>
      <c r="X18" s="1551"/>
      <c r="Y18" s="3392"/>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f>'[1]土地比较法-住宅、综合'!$K$17</f>
        <v>2</v>
      </c>
      <c r="L19" s="2125"/>
      <c r="M19" s="2115"/>
      <c r="N19" s="2115"/>
      <c r="O19" s="2124"/>
      <c r="P19" s="3392"/>
      <c r="Q19" s="1556" t="str">
        <f>B19</f>
        <v>商业繁华度</v>
      </c>
      <c r="R19" s="1557" t="s">
        <v>8</v>
      </c>
      <c r="S19" s="1558">
        <f>F19</f>
        <v>100</v>
      </c>
      <c r="T19" s="1557" t="s">
        <v>8</v>
      </c>
      <c r="U19" s="1558">
        <f>H19</f>
        <v>100</v>
      </c>
      <c r="V19" s="1557" t="s">
        <v>8</v>
      </c>
      <c r="W19" s="1558">
        <f>J19</f>
        <v>100</v>
      </c>
      <c r="X19" s="1551"/>
      <c r="Y19" s="3392"/>
      <c r="Z19" s="1559" t="str">
        <f>Q19</f>
        <v>商业繁华度</v>
      </c>
      <c r="AA19" s="1560">
        <f t="shared" si="3"/>
        <v>1</v>
      </c>
      <c r="AB19" s="1560">
        <f t="shared" si="4"/>
        <v>1</v>
      </c>
      <c r="AC19" s="1560">
        <f t="shared" si="5"/>
        <v>1</v>
      </c>
    </row>
    <row r="20" spans="1:29" ht="20.25">
      <c r="A20" s="531"/>
      <c r="B20" s="565"/>
      <c r="C20" s="566" t="s">
        <v>3021</v>
      </c>
      <c r="D20" s="562"/>
      <c r="E20" s="871" t="s">
        <v>3021</v>
      </c>
      <c r="F20" s="558"/>
      <c r="G20" s="871" t="s">
        <v>3021</v>
      </c>
      <c r="H20" s="554"/>
      <c r="I20" s="871" t="s">
        <v>3021</v>
      </c>
      <c r="J20" s="554"/>
      <c r="K20" s="530"/>
      <c r="L20" s="2125"/>
      <c r="M20" s="2115"/>
      <c r="N20" s="2115"/>
      <c r="O20" s="2124"/>
      <c r="P20" s="3392"/>
      <c r="Q20" s="1556"/>
      <c r="R20" s="1557"/>
      <c r="S20" s="1558"/>
      <c r="T20" s="1557"/>
      <c r="U20" s="1558"/>
      <c r="V20" s="1557"/>
      <c r="W20" s="1558"/>
      <c r="X20" s="1551"/>
      <c r="Y20" s="3392"/>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392"/>
      <c r="Q21" s="1556" t="str">
        <f>B21</f>
        <v>办公集聚程度</v>
      </c>
      <c r="R21" s="1557" t="s">
        <v>8</v>
      </c>
      <c r="S21" s="1558">
        <f>F21</f>
        <v>100</v>
      </c>
      <c r="T21" s="1557" t="s">
        <v>8</v>
      </c>
      <c r="U21" s="1558">
        <f>H21</f>
        <v>100</v>
      </c>
      <c r="V21" s="1557" t="s">
        <v>8</v>
      </c>
      <c r="W21" s="1558">
        <f>J21</f>
        <v>100</v>
      </c>
      <c r="X21" s="1551"/>
      <c r="Y21" s="3392"/>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392"/>
      <c r="Q22" s="1556"/>
      <c r="R22" s="1557"/>
      <c r="S22" s="1558"/>
      <c r="T22" s="1557"/>
      <c r="U22" s="1558"/>
      <c r="V22" s="1557"/>
      <c r="W22" s="1558"/>
      <c r="X22" s="1551"/>
      <c r="Y22" s="3392"/>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f>'[1]土地比较法-住宅、综合'!$K$21</f>
        <v>3</v>
      </c>
      <c r="L23" s="2125"/>
      <c r="M23" s="2115"/>
      <c r="N23" s="2115"/>
      <c r="O23" s="2124"/>
      <c r="P23" s="3392"/>
      <c r="Q23" s="1556" t="str">
        <f>B23</f>
        <v>交通便捷度</v>
      </c>
      <c r="R23" s="1557" t="s">
        <v>8</v>
      </c>
      <c r="S23" s="1558">
        <f>F23</f>
        <v>100</v>
      </c>
      <c r="T23" s="1557" t="s">
        <v>8</v>
      </c>
      <c r="U23" s="1558">
        <f>H23</f>
        <v>100</v>
      </c>
      <c r="V23" s="1557" t="s">
        <v>8</v>
      </c>
      <c r="W23" s="1558">
        <f>J23</f>
        <v>100</v>
      </c>
      <c r="X23" s="1551"/>
      <c r="Y23" s="3392"/>
      <c r="Z23" s="1559" t="str">
        <f>Q23</f>
        <v>交通便捷度</v>
      </c>
      <c r="AA23" s="1560">
        <f t="shared" si="3"/>
        <v>1</v>
      </c>
      <c r="AB23" s="1560">
        <f t="shared" si="4"/>
        <v>1</v>
      </c>
      <c r="AC23" s="1560">
        <f t="shared" si="5"/>
        <v>1</v>
      </c>
    </row>
    <row r="24" spans="1:29" ht="20.25">
      <c r="A24" s="531"/>
      <c r="B24" s="577"/>
      <c r="C24" s="553" t="s">
        <v>3019</v>
      </c>
      <c r="D24" s="556"/>
      <c r="E24" s="575" t="s">
        <v>3019</v>
      </c>
      <c r="F24" s="554"/>
      <c r="G24" s="575" t="s">
        <v>3019</v>
      </c>
      <c r="H24" s="554"/>
      <c r="I24" s="575" t="s">
        <v>3019</v>
      </c>
      <c r="J24" s="554"/>
      <c r="K24" s="530"/>
      <c r="L24" s="2125"/>
      <c r="M24" s="2115"/>
      <c r="N24" s="2115"/>
      <c r="O24" s="2124"/>
      <c r="P24" s="3392"/>
      <c r="Q24" s="1556"/>
      <c r="R24" s="1557"/>
      <c r="S24" s="1558"/>
      <c r="T24" s="1557"/>
      <c r="U24" s="1558"/>
      <c r="V24" s="1557"/>
      <c r="W24" s="1558"/>
      <c r="X24" s="1551"/>
      <c r="Y24" s="3392"/>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f>'[1]土地比较法-住宅、综合'!$K$23</f>
        <v>5</v>
      </c>
      <c r="L25" s="2125"/>
      <c r="M25" s="2115"/>
      <c r="N25" s="2115"/>
      <c r="O25" s="2124"/>
      <c r="P25" s="3392"/>
      <c r="Q25" s="1556" t="str">
        <f t="shared" ref="Q25:Q39" si="8">B25</f>
        <v>区域土地利用方向</v>
      </c>
      <c r="R25" s="1557" t="s">
        <v>8</v>
      </c>
      <c r="S25" s="1558">
        <f>F25</f>
        <v>100</v>
      </c>
      <c r="T25" s="1557" t="s">
        <v>8</v>
      </c>
      <c r="U25" s="1558">
        <f>H25</f>
        <v>100</v>
      </c>
      <c r="V25" s="1557" t="s">
        <v>8</v>
      </c>
      <c r="W25" s="1558">
        <f>J25</f>
        <v>100</v>
      </c>
      <c r="X25" s="1551"/>
      <c r="Y25" s="3392"/>
      <c r="Z25" s="1559" t="str">
        <f>Q25</f>
        <v>区域土地利用方向</v>
      </c>
      <c r="AA25" s="1560">
        <f t="shared" si="3"/>
        <v>1</v>
      </c>
      <c r="AB25" s="1560">
        <f t="shared" si="4"/>
        <v>1</v>
      </c>
      <c r="AC25" s="1560">
        <f t="shared" si="5"/>
        <v>1</v>
      </c>
    </row>
    <row r="26" spans="1:29" ht="20.25">
      <c r="A26" s="514"/>
      <c r="B26" s="1004"/>
      <c r="C26" s="553" t="s">
        <v>3019</v>
      </c>
      <c r="D26" s="556"/>
      <c r="E26" s="582" t="s">
        <v>3019</v>
      </c>
      <c r="F26" s="554"/>
      <c r="G26" s="582" t="s">
        <v>3019</v>
      </c>
      <c r="H26" s="554"/>
      <c r="I26" s="582" t="s">
        <v>3019</v>
      </c>
      <c r="J26" s="554"/>
      <c r="K26" s="530"/>
      <c r="L26" s="2125"/>
      <c r="M26" s="2115"/>
      <c r="N26" s="2115"/>
      <c r="O26" s="2124"/>
      <c r="P26" s="3392"/>
      <c r="Q26" s="1556"/>
      <c r="R26" s="1557"/>
      <c r="S26" s="1558"/>
      <c r="T26" s="1557"/>
      <c r="U26" s="1558"/>
      <c r="V26" s="1557"/>
      <c r="W26" s="1558"/>
      <c r="X26" s="1551"/>
      <c r="Y26" s="3392"/>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f>'[1]土地比较法-住宅、综合'!$K$25</f>
        <v>3</v>
      </c>
      <c r="L27" s="2125"/>
      <c r="M27" s="2115"/>
      <c r="N27" s="2115"/>
      <c r="O27" s="2124"/>
      <c r="P27" s="3392"/>
      <c r="Q27" s="1556" t="str">
        <f t="shared" si="8"/>
        <v>自然及人文环境状况</v>
      </c>
      <c r="R27" s="1557" t="s">
        <v>8</v>
      </c>
      <c r="S27" s="1558">
        <f>F27</f>
        <v>100</v>
      </c>
      <c r="T27" s="1557" t="s">
        <v>8</v>
      </c>
      <c r="U27" s="1558">
        <f>H27</f>
        <v>100</v>
      </c>
      <c r="V27" s="1557" t="s">
        <v>8</v>
      </c>
      <c r="W27" s="1558">
        <f>J27</f>
        <v>100</v>
      </c>
      <c r="X27" s="1551"/>
      <c r="Y27" s="3392"/>
      <c r="Z27" s="1559" t="str">
        <f>Q27</f>
        <v>自然及人文环境状况</v>
      </c>
      <c r="AA27" s="1560">
        <f t="shared" si="3"/>
        <v>1</v>
      </c>
      <c r="AB27" s="1560">
        <f t="shared" si="4"/>
        <v>1</v>
      </c>
      <c r="AC27" s="1560">
        <f t="shared" si="5"/>
        <v>1</v>
      </c>
    </row>
    <row r="28" spans="1:29" ht="20.25">
      <c r="A28" s="514"/>
      <c r="B28" s="565"/>
      <c r="C28" s="553" t="s">
        <v>3019</v>
      </c>
      <c r="D28" s="556"/>
      <c r="E28" s="575" t="s">
        <v>3019</v>
      </c>
      <c r="F28" s="554"/>
      <c r="G28" s="575" t="s">
        <v>3019</v>
      </c>
      <c r="H28" s="554"/>
      <c r="I28" s="575" t="s">
        <v>3019</v>
      </c>
      <c r="J28" s="554"/>
      <c r="K28" s="530"/>
      <c r="L28" s="2125"/>
      <c r="M28" s="2115"/>
      <c r="N28" s="2115"/>
      <c r="O28" s="2124"/>
      <c r="P28" s="3392"/>
      <c r="Q28" s="1556"/>
      <c r="R28" s="1557"/>
      <c r="S28" s="1558"/>
      <c r="T28" s="1557"/>
      <c r="U28" s="1558"/>
      <c r="V28" s="1557"/>
      <c r="W28" s="1558"/>
      <c r="X28" s="1551"/>
      <c r="Y28" s="3392"/>
      <c r="Z28" s="1559"/>
      <c r="AA28" s="1560">
        <v>1</v>
      </c>
      <c r="AB28" s="1560">
        <v>1</v>
      </c>
      <c r="AC28" s="1560">
        <v>1</v>
      </c>
    </row>
    <row r="29" spans="1:29" s="1213" customFormat="1" ht="42.75">
      <c r="A29" s="576"/>
      <c r="B29" s="2553"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97</v>
      </c>
      <c r="I29" s="563"/>
      <c r="J29" s="558">
        <f>SUMIF(102:102,I30,103:103)-SUMIF(102:102,C30,103:103)+100</f>
        <v>100</v>
      </c>
      <c r="K29" s="534">
        <f>'[1]土地比较法-住宅、综合'!$K$27</f>
        <v>3</v>
      </c>
      <c r="L29" s="2118"/>
      <c r="M29" s="2115"/>
      <c r="N29" s="2115"/>
      <c r="O29" s="2120"/>
      <c r="P29" s="3392"/>
      <c r="Q29" s="1144" t="str">
        <f t="shared" si="8"/>
        <v>公共配套设施</v>
      </c>
      <c r="R29" s="1552" t="s">
        <v>8</v>
      </c>
      <c r="S29" s="1553">
        <f>F29</f>
        <v>100</v>
      </c>
      <c r="T29" s="1552" t="s">
        <v>8</v>
      </c>
      <c r="U29" s="1553">
        <f>H29</f>
        <v>97</v>
      </c>
      <c r="V29" s="1552" t="s">
        <v>8</v>
      </c>
      <c r="W29" s="1553">
        <f>J29</f>
        <v>100</v>
      </c>
      <c r="X29" s="1554"/>
      <c r="Y29" s="3392"/>
      <c r="Z29" s="1143" t="str">
        <f>Q29</f>
        <v>公共配套设施</v>
      </c>
      <c r="AA29" s="1560">
        <f>D29/F29</f>
        <v>1</v>
      </c>
      <c r="AB29" s="1560">
        <f>D29/H29</f>
        <v>1.0309278350515463</v>
      </c>
      <c r="AC29" s="1560">
        <f>D29/J29</f>
        <v>1</v>
      </c>
    </row>
    <row r="30" spans="1:29" s="1213" customFormat="1" ht="20.25">
      <c r="A30" s="576"/>
      <c r="B30" s="565"/>
      <c r="C30" s="578" t="s">
        <v>3019</v>
      </c>
      <c r="D30" s="556"/>
      <c r="E30" s="2554" t="s">
        <v>3019</v>
      </c>
      <c r="F30" s="554"/>
      <c r="G30" s="2554" t="s">
        <v>3021</v>
      </c>
      <c r="H30" s="554"/>
      <c r="I30" s="2554" t="s">
        <v>3019</v>
      </c>
      <c r="J30" s="554"/>
      <c r="K30" s="530"/>
      <c r="L30" s="2118"/>
      <c r="M30" s="2115"/>
      <c r="N30" s="2115"/>
      <c r="O30" s="2120"/>
      <c r="P30" s="3392"/>
      <c r="Q30" s="1144"/>
      <c r="R30" s="1552"/>
      <c r="S30" s="1553"/>
      <c r="T30" s="1552"/>
      <c r="U30" s="1553"/>
      <c r="V30" s="1552"/>
      <c r="W30" s="1553"/>
      <c r="X30" s="1554"/>
      <c r="Y30" s="3392"/>
      <c r="Z30" s="1143"/>
      <c r="AA30" s="1560">
        <v>1</v>
      </c>
      <c r="AB30" s="1560">
        <v>1</v>
      </c>
      <c r="AC30" s="1560">
        <v>1</v>
      </c>
    </row>
    <row r="31" spans="1:29" s="1213" customFormat="1" ht="28.5">
      <c r="A31" s="576"/>
      <c r="B31" s="2553"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f>'[1]土地比较法-住宅、综合'!$K$29</f>
        <v>2</v>
      </c>
      <c r="L31" s="2118"/>
      <c r="M31" s="2115"/>
      <c r="N31" s="2115"/>
      <c r="O31" s="2120"/>
      <c r="P31" s="3392"/>
      <c r="Q31" s="2540" t="str">
        <f t="shared" ref="Q31" si="9">B31</f>
        <v>基础设施水平</v>
      </c>
      <c r="R31" s="1552" t="s">
        <v>8</v>
      </c>
      <c r="S31" s="1553">
        <f>F31</f>
        <v>100</v>
      </c>
      <c r="T31" s="1552" t="s">
        <v>8</v>
      </c>
      <c r="U31" s="1553">
        <f>H31</f>
        <v>100</v>
      </c>
      <c r="V31" s="1552" t="s">
        <v>8</v>
      </c>
      <c r="W31" s="1553">
        <f>J31</f>
        <v>100</v>
      </c>
      <c r="X31" s="1554"/>
      <c r="Y31" s="3392"/>
      <c r="Z31" s="2537" t="str">
        <f>Q31</f>
        <v>基础设施水平</v>
      </c>
      <c r="AA31" s="1560">
        <f>D31/F31</f>
        <v>1</v>
      </c>
      <c r="AB31" s="1560">
        <f>D31/H31</f>
        <v>1</v>
      </c>
      <c r="AC31" s="1560">
        <f>D31/J31</f>
        <v>1</v>
      </c>
    </row>
    <row r="32" spans="1:29" s="1213" customFormat="1" ht="20.25">
      <c r="A32" s="576"/>
      <c r="B32" s="565"/>
      <c r="C32" s="578" t="s">
        <v>3017</v>
      </c>
      <c r="D32" s="556"/>
      <c r="E32" s="2554" t="s">
        <v>3017</v>
      </c>
      <c r="F32" s="554"/>
      <c r="G32" s="2554" t="s">
        <v>3017</v>
      </c>
      <c r="H32" s="554"/>
      <c r="I32" s="2554" t="s">
        <v>3017</v>
      </c>
      <c r="J32" s="554"/>
      <c r="K32" s="530"/>
      <c r="L32" s="2118"/>
      <c r="M32" s="2115"/>
      <c r="N32" s="2115"/>
      <c r="O32" s="2120"/>
      <c r="P32" s="3392"/>
      <c r="Q32" s="2540"/>
      <c r="R32" s="1552"/>
      <c r="S32" s="1553"/>
      <c r="T32" s="1552"/>
      <c r="U32" s="1553"/>
      <c r="V32" s="1552"/>
      <c r="W32" s="1553"/>
      <c r="X32" s="1554"/>
      <c r="Y32" s="3392"/>
      <c r="Z32" s="2537"/>
      <c r="AA32" s="1560">
        <v>1</v>
      </c>
      <c r="AB32" s="1560">
        <v>1</v>
      </c>
      <c r="AC32" s="1560">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392"/>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392"/>
      <c r="Z33" s="1559" t="str">
        <f t="shared" ref="Z33:Z47" si="13">Q33</f>
        <v>临街状况</v>
      </c>
      <c r="AA33" s="1560">
        <f t="shared" si="3"/>
        <v>1</v>
      </c>
      <c r="AB33" s="1560">
        <f t="shared" si="4"/>
        <v>1</v>
      </c>
      <c r="AC33" s="1560">
        <f t="shared" si="5"/>
        <v>1</v>
      </c>
    </row>
    <row r="34" spans="1:29" ht="27">
      <c r="A34" s="531"/>
      <c r="B34" s="577" t="s">
        <v>548</v>
      </c>
      <c r="C34" s="561"/>
      <c r="D34" s="562">
        <v>100</v>
      </c>
      <c r="E34" s="3199" t="s">
        <v>3044</v>
      </c>
      <c r="F34" s="558">
        <f>SUMIF(108:108,E35,109:109)-SUMIF(108:108,C35,109:109)+100</f>
        <v>100</v>
      </c>
      <c r="G34" s="3194" t="s">
        <v>3045</v>
      </c>
      <c r="H34" s="558">
        <f>SUMIF(108:108,G35,109:109)-SUMIF(108:108,C35,109:109)+100</f>
        <v>100</v>
      </c>
      <c r="I34" s="3194" t="s">
        <v>3044</v>
      </c>
      <c r="J34" s="558">
        <f>SUMIF(108:108,I35,109:109)-SUMIF(108:108,C35,109:109)+100</f>
        <v>100</v>
      </c>
      <c r="K34" s="534">
        <f>'[1]土地比较法-住宅、综合'!$K$32</f>
        <v>2</v>
      </c>
      <c r="L34" s="2125"/>
      <c r="M34" s="2115"/>
      <c r="N34" s="2115"/>
      <c r="O34" s="2124"/>
      <c r="P34" s="3392"/>
      <c r="Q34" s="1556" t="str">
        <f t="shared" si="8"/>
        <v>毗邻道路的类型与等级</v>
      </c>
      <c r="R34" s="1557" t="s">
        <v>8</v>
      </c>
      <c r="S34" s="1558">
        <f t="shared" si="10"/>
        <v>100</v>
      </c>
      <c r="T34" s="1557" t="s">
        <v>8</v>
      </c>
      <c r="U34" s="1558">
        <f t="shared" si="11"/>
        <v>100</v>
      </c>
      <c r="V34" s="1557" t="s">
        <v>8</v>
      </c>
      <c r="W34" s="1558">
        <f t="shared" si="12"/>
        <v>100</v>
      </c>
      <c r="X34" s="1551"/>
      <c r="Y34" s="3392"/>
      <c r="Z34" s="1559" t="str">
        <f t="shared" si="13"/>
        <v>毗邻道路的类型与等级</v>
      </c>
      <c r="AA34" s="1560">
        <f t="shared" si="3"/>
        <v>1</v>
      </c>
      <c r="AB34" s="1560">
        <f t="shared" si="4"/>
        <v>1</v>
      </c>
      <c r="AC34" s="1560">
        <f t="shared" si="5"/>
        <v>1</v>
      </c>
    </row>
    <row r="35" spans="1:29" ht="20.25">
      <c r="A35" s="531"/>
      <c r="B35" s="565"/>
      <c r="C35" s="553" t="s">
        <v>3042</v>
      </c>
      <c r="D35" s="556"/>
      <c r="E35" s="575" t="s">
        <v>3042</v>
      </c>
      <c r="F35" s="554"/>
      <c r="G35" s="3195" t="s">
        <v>3042</v>
      </c>
      <c r="H35" s="554"/>
      <c r="I35" s="575" t="s">
        <v>3042</v>
      </c>
      <c r="J35" s="554"/>
      <c r="K35" s="580"/>
      <c r="L35" s="2125"/>
      <c r="M35" s="2115"/>
      <c r="N35" s="2115"/>
      <c r="O35" s="2124"/>
      <c r="P35" s="3392"/>
      <c r="Q35" s="1556"/>
      <c r="R35" s="1557"/>
      <c r="S35" s="1558"/>
      <c r="T35" s="1557"/>
      <c r="U35" s="1558"/>
      <c r="V35" s="1557"/>
      <c r="W35" s="1558"/>
      <c r="X35" s="1551"/>
      <c r="Y35" s="3392"/>
      <c r="Z35" s="1559"/>
      <c r="AA35" s="1560">
        <v>1</v>
      </c>
      <c r="AB35" s="1560">
        <v>1</v>
      </c>
      <c r="AC35" s="1560">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392"/>
      <c r="Q36" s="1556" t="str">
        <f t="shared" si="8"/>
        <v>土地级别</v>
      </c>
      <c r="R36" s="1557" t="s">
        <v>8</v>
      </c>
      <c r="S36" s="1558">
        <f t="shared" si="10"/>
        <v>100</v>
      </c>
      <c r="T36" s="1557" t="s">
        <v>8</v>
      </c>
      <c r="U36" s="1558">
        <f t="shared" si="11"/>
        <v>100</v>
      </c>
      <c r="V36" s="1557" t="s">
        <v>8</v>
      </c>
      <c r="W36" s="1558">
        <f t="shared" si="12"/>
        <v>100</v>
      </c>
      <c r="X36" s="1551"/>
      <c r="Y36" s="3392"/>
      <c r="Z36" s="1559" t="str">
        <f t="shared" si="13"/>
        <v>土地级别</v>
      </c>
      <c r="AA36" s="1560">
        <f t="shared" si="3"/>
        <v>1</v>
      </c>
      <c r="AB36" s="1560">
        <f t="shared" si="4"/>
        <v>1</v>
      </c>
      <c r="AC36" s="1560">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392"/>
      <c r="Q37" s="1556">
        <f t="shared" si="8"/>
        <v>0</v>
      </c>
      <c r="R37" s="1557" t="s">
        <v>8</v>
      </c>
      <c r="S37" s="1558">
        <f t="shared" si="10"/>
        <v>100</v>
      </c>
      <c r="T37" s="1557" t="s">
        <v>8</v>
      </c>
      <c r="U37" s="1558">
        <f t="shared" si="11"/>
        <v>100</v>
      </c>
      <c r="V37" s="1557" t="s">
        <v>8</v>
      </c>
      <c r="W37" s="1558">
        <f t="shared" si="12"/>
        <v>100</v>
      </c>
      <c r="X37" s="1551"/>
      <c r="Y37" s="3392"/>
      <c r="Z37" s="1559">
        <f t="shared" si="13"/>
        <v>0</v>
      </c>
      <c r="AA37" s="1560">
        <f t="shared" si="3"/>
        <v>1</v>
      </c>
      <c r="AB37" s="1560">
        <f t="shared" si="4"/>
        <v>1</v>
      </c>
      <c r="AC37" s="1560">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393" t="s">
        <v>550</v>
      </c>
      <c r="Q38" s="1556">
        <f t="shared" si="8"/>
        <v>0</v>
      </c>
      <c r="R38" s="1557" t="s">
        <v>8</v>
      </c>
      <c r="S38" s="1558">
        <f t="shared" si="10"/>
        <v>100</v>
      </c>
      <c r="T38" s="1557" t="s">
        <v>8</v>
      </c>
      <c r="U38" s="1558">
        <f t="shared" si="11"/>
        <v>100</v>
      </c>
      <c r="V38" s="1557" t="s">
        <v>8</v>
      </c>
      <c r="W38" s="1558">
        <f t="shared" si="12"/>
        <v>100</v>
      </c>
      <c r="X38" s="1551"/>
      <c r="Y38" s="3394" t="s">
        <v>550</v>
      </c>
      <c r="Z38" s="1559">
        <f t="shared" si="13"/>
        <v>0</v>
      </c>
      <c r="AA38" s="1560">
        <f t="shared" si="3"/>
        <v>1</v>
      </c>
      <c r="AB38" s="1560">
        <f t="shared" si="4"/>
        <v>1</v>
      </c>
      <c r="AC38" s="1560">
        <f t="shared" si="5"/>
        <v>1</v>
      </c>
    </row>
    <row r="39" spans="1:29" s="1332" customFormat="1" ht="21" thickBot="1">
      <c r="A39" s="588"/>
      <c r="B39" s="589"/>
      <c r="C39" s="590"/>
      <c r="D39" s="738">
        <v>100</v>
      </c>
      <c r="E39" s="592"/>
      <c r="F39" s="545">
        <f>SUMIF(116:116,E39,117:117)-SUMIF(116:116,C39,117:117)+100</f>
        <v>100</v>
      </c>
      <c r="G39" s="739"/>
      <c r="H39" s="545">
        <f>SUMIF(116:116,G39,117:117)-SUMIF(116:116,C39,117:117)+100</f>
        <v>100</v>
      </c>
      <c r="I39" s="592"/>
      <c r="J39" s="545">
        <f>SUMIF(116:116,I39,117:117)-SUMIF(116:116,C39,117:117)+100</f>
        <v>100</v>
      </c>
      <c r="K39" s="580"/>
      <c r="L39" s="2123"/>
      <c r="M39" s="2115"/>
      <c r="N39" s="2115"/>
      <c r="O39" s="2126"/>
      <c r="P39" s="3394"/>
      <c r="Q39" s="1556">
        <f t="shared" si="8"/>
        <v>0</v>
      </c>
      <c r="R39" s="1561" t="s">
        <v>8</v>
      </c>
      <c r="S39" s="1562">
        <f t="shared" si="10"/>
        <v>100</v>
      </c>
      <c r="T39" s="1561" t="s">
        <v>8</v>
      </c>
      <c r="U39" s="1562">
        <f t="shared" si="11"/>
        <v>100</v>
      </c>
      <c r="V39" s="1561" t="s">
        <v>8</v>
      </c>
      <c r="W39" s="1562">
        <f t="shared" si="12"/>
        <v>100</v>
      </c>
      <c r="X39" s="1563"/>
      <c r="Y39" s="3394"/>
      <c r="Z39" s="1564">
        <f t="shared" si="13"/>
        <v>0</v>
      </c>
      <c r="AA39" s="1560">
        <f t="shared" si="3"/>
        <v>1</v>
      </c>
      <c r="AB39" s="1560">
        <f t="shared" si="4"/>
        <v>1</v>
      </c>
      <c r="AC39" s="1560">
        <f t="shared" si="5"/>
        <v>1</v>
      </c>
    </row>
    <row r="40" spans="1:29" ht="20.25">
      <c r="A40" s="2860" t="s">
        <v>2753</v>
      </c>
      <c r="B40" s="594" t="s">
        <v>552</v>
      </c>
      <c r="C40" s="595">
        <f>'数据-汇总表'!D3</f>
        <v>285760.2</v>
      </c>
      <c r="D40" s="940">
        <v>100</v>
      </c>
      <c r="E40" s="595">
        <f>'[1]土地比较法-住宅、综合'!$E$38</f>
        <v>29719.56</v>
      </c>
      <c r="F40" s="596">
        <f>LOOKUP(E40,119:119,120:120)-LOOKUP(C40,119:119,120:120)+100</f>
        <v>100</v>
      </c>
      <c r="G40" s="595">
        <f>'[1]土地比较法-住宅、综合'!$G$38</f>
        <v>106456.1</v>
      </c>
      <c r="H40" s="596">
        <f>LOOKUP(G40,119:119,120:120)-LOOKUP(C40,119:119,120:120)+100</f>
        <v>100</v>
      </c>
      <c r="I40" s="597">
        <f>'[1]土地比较法-住宅、综合'!$I$38</f>
        <v>33063.120000000003</v>
      </c>
      <c r="J40" s="596">
        <f>LOOKUP(I40,119:119,120:120)-LOOKUP(C40,119:119,120:120)+100</f>
        <v>100</v>
      </c>
      <c r="K40" s="580"/>
      <c r="L40" s="2125"/>
      <c r="M40" s="2115"/>
      <c r="N40" s="2115"/>
      <c r="O40" s="2124"/>
      <c r="P40" s="3394"/>
      <c r="Q40" s="1556" t="str">
        <f>B40</f>
        <v>宗地面积</v>
      </c>
      <c r="R40" s="1557" t="s">
        <v>8</v>
      </c>
      <c r="S40" s="1558">
        <f t="shared" si="10"/>
        <v>100</v>
      </c>
      <c r="T40" s="1557" t="s">
        <v>8</v>
      </c>
      <c r="U40" s="1558">
        <f t="shared" si="11"/>
        <v>100</v>
      </c>
      <c r="V40" s="1557" t="s">
        <v>8</v>
      </c>
      <c r="W40" s="1558">
        <f t="shared" si="12"/>
        <v>100</v>
      </c>
      <c r="X40" s="1551"/>
      <c r="Y40" s="3394"/>
      <c r="Z40" s="1559" t="str">
        <f t="shared" si="13"/>
        <v>宗地面积</v>
      </c>
      <c r="AA40" s="1560">
        <f t="shared" si="3"/>
        <v>1</v>
      </c>
      <c r="AB40" s="1560">
        <f t="shared" si="4"/>
        <v>1</v>
      </c>
      <c r="AC40" s="1560">
        <f t="shared" si="5"/>
        <v>1</v>
      </c>
    </row>
    <row r="41" spans="1:29" ht="20.25">
      <c r="A41" s="593"/>
      <c r="B41" s="526" t="s">
        <v>553</v>
      </c>
      <c r="C41" s="598" t="s">
        <v>3046</v>
      </c>
      <c r="D41" s="574">
        <v>100</v>
      </c>
      <c r="E41" s="598" t="s">
        <v>3046</v>
      </c>
      <c r="F41" s="539">
        <f>SUMIF(121:121,E41,122:122)-SUMIF(121:121,C41,122:122)+100</f>
        <v>100</v>
      </c>
      <c r="G41" s="598" t="s">
        <v>3046</v>
      </c>
      <c r="H41" s="539">
        <f>SUMIF(121:121,G41,122:122)-SUMIF(121:121,C41,122:122)+100</f>
        <v>100</v>
      </c>
      <c r="I41" s="598" t="s">
        <v>3046</v>
      </c>
      <c r="J41" s="539">
        <f>SUMIF(121:121,I41,122:122)-SUMIF(121:121,C41,122:122)+100</f>
        <v>100</v>
      </c>
      <c r="K41" s="583">
        <v>2</v>
      </c>
      <c r="L41" s="2125"/>
      <c r="M41" s="2115"/>
      <c r="N41" s="2115"/>
      <c r="O41" s="2124"/>
      <c r="P41" s="3394"/>
      <c r="Q41" s="1556" t="str">
        <f t="shared" ref="Q41:Q47" si="14">B41</f>
        <v>宗地形状</v>
      </c>
      <c r="R41" s="1557" t="s">
        <v>8</v>
      </c>
      <c r="S41" s="1558">
        <f t="shared" si="10"/>
        <v>100</v>
      </c>
      <c r="T41" s="1557" t="s">
        <v>8</v>
      </c>
      <c r="U41" s="1558">
        <f t="shared" si="11"/>
        <v>100</v>
      </c>
      <c r="V41" s="1557" t="s">
        <v>8</v>
      </c>
      <c r="W41" s="1558">
        <f t="shared" si="12"/>
        <v>100</v>
      </c>
      <c r="X41" s="1551"/>
      <c r="Y41" s="3394"/>
      <c r="Z41" s="1559" t="str">
        <f t="shared" si="13"/>
        <v>宗地形状</v>
      </c>
      <c r="AA41" s="1560">
        <f t="shared" si="3"/>
        <v>1</v>
      </c>
      <c r="AB41" s="1560">
        <f t="shared" si="4"/>
        <v>1</v>
      </c>
      <c r="AC41" s="1560">
        <f t="shared" si="5"/>
        <v>1</v>
      </c>
    </row>
    <row r="42" spans="1:29" ht="20.25">
      <c r="A42" s="593"/>
      <c r="B42" s="526" t="s">
        <v>554</v>
      </c>
      <c r="C42" s="598" t="s">
        <v>3047</v>
      </c>
      <c r="D42" s="574">
        <v>100</v>
      </c>
      <c r="E42" s="598" t="s">
        <v>3047</v>
      </c>
      <c r="F42" s="539">
        <f>SUMIF(123:123,E42,124:124)-SUMIF(123:123,C42,124:124)+100</f>
        <v>100</v>
      </c>
      <c r="G42" s="598" t="s">
        <v>3047</v>
      </c>
      <c r="H42" s="539">
        <f>SUMIF(123:123,G42,124:124)-SUMIF(123:123,C42,124:124)+100</f>
        <v>100</v>
      </c>
      <c r="I42" s="598" t="s">
        <v>3047</v>
      </c>
      <c r="J42" s="539">
        <f>SUMIF(123:123,I42,124:124)-SUMIF(123:123,C42,124:124)+100</f>
        <v>100</v>
      </c>
      <c r="K42" s="583">
        <v>2</v>
      </c>
      <c r="L42" s="2125"/>
      <c r="M42" s="2115"/>
      <c r="N42" s="2115"/>
      <c r="O42" s="2124"/>
      <c r="P42" s="3394"/>
      <c r="Q42" s="1556" t="str">
        <f t="shared" si="14"/>
        <v>临街宽度及深度</v>
      </c>
      <c r="R42" s="1557" t="s">
        <v>8</v>
      </c>
      <c r="S42" s="1558">
        <f t="shared" si="10"/>
        <v>100</v>
      </c>
      <c r="T42" s="1557" t="s">
        <v>8</v>
      </c>
      <c r="U42" s="1558">
        <f t="shared" si="11"/>
        <v>100</v>
      </c>
      <c r="V42" s="1557" t="s">
        <v>8</v>
      </c>
      <c r="W42" s="1558">
        <f t="shared" si="12"/>
        <v>100</v>
      </c>
      <c r="X42" s="1551"/>
      <c r="Y42" s="3394"/>
      <c r="Z42" s="1559" t="str">
        <f t="shared" si="13"/>
        <v>临街宽度及深度</v>
      </c>
      <c r="AA42" s="1560">
        <f t="shared" si="3"/>
        <v>1</v>
      </c>
      <c r="AB42" s="1560">
        <f t="shared" si="4"/>
        <v>1</v>
      </c>
      <c r="AC42" s="1560">
        <f t="shared" si="5"/>
        <v>1</v>
      </c>
    </row>
    <row r="43" spans="1:29" s="1213" customFormat="1" ht="20.25">
      <c r="A43" s="599"/>
      <c r="B43" s="1878" t="s">
        <v>2423</v>
      </c>
      <c r="C43" s="600"/>
      <c r="D43" s="861">
        <v>100</v>
      </c>
      <c r="E43" s="600"/>
      <c r="F43" s="539">
        <f>SUMIF(125:125,E43,126:126)-SUMIF(125:125,C43,126:126)+100</f>
        <v>100</v>
      </c>
      <c r="G43" s="600"/>
      <c r="H43" s="539">
        <f>SUMIF(125:125,G43,126:126)-SUMIF(125:125,C43,126:126)+100</f>
        <v>100</v>
      </c>
      <c r="I43" s="600"/>
      <c r="J43" s="539">
        <f>SUMIF(125:125,I43,126:126)-SUMIF(125:125,C43,126:126)+100</f>
        <v>100</v>
      </c>
      <c r="K43" s="583">
        <v>2</v>
      </c>
      <c r="L43" s="2118"/>
      <c r="M43" s="2115"/>
      <c r="N43" s="2115"/>
      <c r="O43" s="2120"/>
      <c r="P43" s="3394"/>
      <c r="Q43" s="1556" t="str">
        <f t="shared" si="14"/>
        <v>宗地开发程度</v>
      </c>
      <c r="R43" s="1552" t="s">
        <v>8</v>
      </c>
      <c r="S43" s="1553">
        <f t="shared" si="10"/>
        <v>100</v>
      </c>
      <c r="T43" s="1552" t="s">
        <v>8</v>
      </c>
      <c r="U43" s="1553">
        <f t="shared" si="11"/>
        <v>100</v>
      </c>
      <c r="V43" s="1552" t="s">
        <v>8</v>
      </c>
      <c r="W43" s="1553">
        <f t="shared" si="12"/>
        <v>100</v>
      </c>
      <c r="X43" s="1554"/>
      <c r="Y43" s="3394"/>
      <c r="Z43" s="1143" t="str">
        <f t="shared" si="13"/>
        <v>宗地开发程度</v>
      </c>
      <c r="AA43" s="1555">
        <f t="shared" si="3"/>
        <v>1</v>
      </c>
      <c r="AB43" s="1555">
        <f t="shared" si="4"/>
        <v>1</v>
      </c>
      <c r="AC43" s="1555">
        <f t="shared" si="5"/>
        <v>1</v>
      </c>
    </row>
    <row r="44" spans="1:29" ht="20.25">
      <c r="A44" s="593"/>
      <c r="B44" s="526" t="s">
        <v>555</v>
      </c>
      <c r="C44" s="598" t="s">
        <v>3019</v>
      </c>
      <c r="D44" s="574">
        <v>100</v>
      </c>
      <c r="E44" s="598" t="s">
        <v>3019</v>
      </c>
      <c r="F44" s="539">
        <f>SUMIF(127:127,E44,128:128)-SUMIF(127:127,C44,128:128)+100</f>
        <v>100</v>
      </c>
      <c r="G44" s="598" t="s">
        <v>3019</v>
      </c>
      <c r="H44" s="539">
        <f>SUMIF(127:127,G44,128:128)-SUMIF(127:127,C44,128:128)+100</f>
        <v>100</v>
      </c>
      <c r="I44" s="598" t="s">
        <v>3019</v>
      </c>
      <c r="J44" s="539">
        <f>SUMIF(127:127,I44,128:128)-SUMIF(127:127,C44,128:128)+100</f>
        <v>100</v>
      </c>
      <c r="K44" s="583">
        <v>2</v>
      </c>
      <c r="L44" s="2125"/>
      <c r="M44" s="2115"/>
      <c r="N44" s="2115"/>
      <c r="O44" s="2124"/>
      <c r="P44" s="3394" t="s">
        <v>550</v>
      </c>
      <c r="Q44" s="1556" t="str">
        <f t="shared" si="14"/>
        <v>工程地质条件</v>
      </c>
      <c r="R44" s="1557" t="s">
        <v>8</v>
      </c>
      <c r="S44" s="1558">
        <f t="shared" si="10"/>
        <v>100</v>
      </c>
      <c r="T44" s="1557" t="s">
        <v>8</v>
      </c>
      <c r="U44" s="1558">
        <f t="shared" si="11"/>
        <v>100</v>
      </c>
      <c r="V44" s="1557" t="s">
        <v>8</v>
      </c>
      <c r="W44" s="1558">
        <f t="shared" si="12"/>
        <v>100</v>
      </c>
      <c r="X44" s="1551"/>
      <c r="Y44" s="3394" t="s">
        <v>550</v>
      </c>
      <c r="Z44" s="1559" t="str">
        <f t="shared" si="13"/>
        <v>工程地质条件</v>
      </c>
      <c r="AA44" s="1560">
        <f t="shared" si="3"/>
        <v>1</v>
      </c>
      <c r="AB44" s="1560">
        <f t="shared" si="4"/>
        <v>1</v>
      </c>
      <c r="AC44" s="1560">
        <f t="shared" si="5"/>
        <v>1</v>
      </c>
    </row>
    <row r="45" spans="1:29" ht="20.25">
      <c r="A45" s="593"/>
      <c r="B45" s="601"/>
      <c r="C45" s="541"/>
      <c r="D45" s="574">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394"/>
      <c r="Q45" s="1556">
        <f t="shared" si="14"/>
        <v>0</v>
      </c>
      <c r="R45" s="1557" t="s">
        <v>8</v>
      </c>
      <c r="S45" s="1558">
        <f t="shared" si="10"/>
        <v>100</v>
      </c>
      <c r="T45" s="1557" t="s">
        <v>8</v>
      </c>
      <c r="U45" s="1558">
        <f t="shared" si="11"/>
        <v>100</v>
      </c>
      <c r="V45" s="1557" t="s">
        <v>8</v>
      </c>
      <c r="W45" s="1558">
        <f t="shared" si="12"/>
        <v>100</v>
      </c>
      <c r="X45" s="1551"/>
      <c r="Y45" s="3394"/>
      <c r="Z45" s="1559">
        <f t="shared" si="13"/>
        <v>0</v>
      </c>
      <c r="AA45" s="1560">
        <f t="shared" si="3"/>
        <v>1</v>
      </c>
      <c r="AB45" s="1560">
        <f t="shared" si="4"/>
        <v>1</v>
      </c>
      <c r="AC45" s="1560">
        <f t="shared" si="5"/>
        <v>1</v>
      </c>
    </row>
    <row r="46" spans="1:29" ht="20.25">
      <c r="A46" s="593"/>
      <c r="B46" s="601"/>
      <c r="C46" s="541"/>
      <c r="D46" s="574">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394"/>
      <c r="Q46" s="1556">
        <f t="shared" si="14"/>
        <v>0</v>
      </c>
      <c r="R46" s="1557" t="s">
        <v>8</v>
      </c>
      <c r="S46" s="1558">
        <f t="shared" si="10"/>
        <v>100</v>
      </c>
      <c r="T46" s="1557" t="s">
        <v>8</v>
      </c>
      <c r="U46" s="1558">
        <f t="shared" si="11"/>
        <v>100</v>
      </c>
      <c r="V46" s="1557" t="s">
        <v>8</v>
      </c>
      <c r="W46" s="1558">
        <f t="shared" si="12"/>
        <v>100</v>
      </c>
      <c r="X46" s="1551"/>
      <c r="Y46" s="3394"/>
      <c r="Z46" s="1559">
        <f t="shared" si="13"/>
        <v>0</v>
      </c>
      <c r="AA46" s="1560">
        <f t="shared" si="3"/>
        <v>1</v>
      </c>
      <c r="AB46" s="1560">
        <f t="shared" si="4"/>
        <v>1</v>
      </c>
      <c r="AC46" s="1560">
        <f t="shared" si="5"/>
        <v>1</v>
      </c>
    </row>
    <row r="47" spans="1:29" s="1332" customFormat="1" ht="21" thickBot="1">
      <c r="A47" s="602"/>
      <c r="B47" s="601"/>
      <c r="C47" s="603"/>
      <c r="D47" s="3197">
        <v>100</v>
      </c>
      <c r="E47" s="541"/>
      <c r="F47" s="545">
        <f>SUMIF(133:133,E47,134:134)-SUMIF(133:133,C47,134:134)+100</f>
        <v>100</v>
      </c>
      <c r="G47" s="541"/>
      <c r="H47" s="545">
        <f>SUMIF(133:133,G47,134:134)-SUMIF(133:133,C47,134:134)+100</f>
        <v>100</v>
      </c>
      <c r="I47" s="541"/>
      <c r="J47" s="545">
        <f>SUMIF(133:133,I47,134:134)-SUMIF(133:133,C47,134:134)+100</f>
        <v>100</v>
      </c>
      <c r="K47" s="604"/>
      <c r="L47" s="2123"/>
      <c r="M47" s="2115"/>
      <c r="N47" s="2115"/>
      <c r="O47" s="2126"/>
      <c r="P47" s="3394"/>
      <c r="Q47" s="1556">
        <f t="shared" si="14"/>
        <v>0</v>
      </c>
      <c r="R47" s="1561" t="s">
        <v>8</v>
      </c>
      <c r="S47" s="1562">
        <f t="shared" si="10"/>
        <v>100</v>
      </c>
      <c r="T47" s="1561" t="s">
        <v>8</v>
      </c>
      <c r="U47" s="1562">
        <f t="shared" si="11"/>
        <v>100</v>
      </c>
      <c r="V47" s="1561" t="s">
        <v>8</v>
      </c>
      <c r="W47" s="1562">
        <f t="shared" si="12"/>
        <v>100</v>
      </c>
      <c r="X47" s="1563"/>
      <c r="Y47" s="3394"/>
      <c r="Z47" s="1564">
        <f t="shared" si="13"/>
        <v>0</v>
      </c>
      <c r="AA47" s="1560">
        <f t="shared" si="3"/>
        <v>1</v>
      </c>
      <c r="AB47" s="1560">
        <f t="shared" si="4"/>
        <v>1</v>
      </c>
      <c r="AC47" s="1560">
        <f t="shared" si="5"/>
        <v>1</v>
      </c>
    </row>
    <row r="48" spans="1:29" ht="20.25">
      <c r="A48" s="605" t="s">
        <v>556</v>
      </c>
      <c r="B48" s="606" t="s">
        <v>3043</v>
      </c>
      <c r="C48" s="607" t="s">
        <v>1</v>
      </c>
      <c r="D48" s="3198"/>
      <c r="E48" s="611">
        <f>'[1]土地比较法-住宅、综合'!$E$46</f>
        <v>7329</v>
      </c>
      <c r="F48" s="612"/>
      <c r="G48" s="611">
        <f>'[1]土地比较法-住宅、综合'!$G$46</f>
        <v>7162</v>
      </c>
      <c r="H48" s="612"/>
      <c r="I48" s="609">
        <f>'[1]土地比较法-住宅、综合'!$I$46</f>
        <v>7324</v>
      </c>
      <c r="J48" s="612"/>
      <c r="K48" s="1333"/>
      <c r="L48" s="2127"/>
      <c r="M48" s="2115"/>
      <c r="N48" s="2115"/>
      <c r="O48" s="2128"/>
      <c r="P48" s="3389" t="str">
        <f>A48</f>
        <v>成交单价</v>
      </c>
      <c r="Q48" s="3389"/>
      <c r="R48" s="3404">
        <f>E48</f>
        <v>7329</v>
      </c>
      <c r="S48" s="3404"/>
      <c r="T48" s="3404">
        <f>G48</f>
        <v>7162</v>
      </c>
      <c r="U48" s="3404"/>
      <c r="V48" s="3404">
        <f>I48</f>
        <v>7324</v>
      </c>
      <c r="W48" s="3404"/>
      <c r="X48" s="1543"/>
      <c r="Y48" s="1565"/>
      <c r="Z48" s="1543"/>
      <c r="AA48" s="1543"/>
      <c r="AB48" s="1543"/>
      <c r="AC48" s="1543"/>
    </row>
    <row r="49" spans="1:29" ht="21" thickBot="1">
      <c r="A49" s="613" t="s">
        <v>2691</v>
      </c>
      <c r="B49" s="614"/>
      <c r="C49" s="615">
        <f>R50</f>
        <v>6596</v>
      </c>
      <c r="D49" s="617"/>
      <c r="E49" s="618">
        <f>R49</f>
        <v>6514</v>
      </c>
      <c r="F49" s="616"/>
      <c r="G49" s="618">
        <f>T49</f>
        <v>6765</v>
      </c>
      <c r="H49" s="616"/>
      <c r="I49" s="615">
        <f>V49</f>
        <v>6509</v>
      </c>
      <c r="J49" s="616"/>
      <c r="K49" s="1334"/>
      <c r="L49" s="2127"/>
      <c r="M49" s="2115"/>
      <c r="N49" s="2115"/>
      <c r="O49" s="2128"/>
      <c r="P49" s="3389" t="str">
        <f>A49</f>
        <v>比较价格（元/平方米）</v>
      </c>
      <c r="Q49" s="3389"/>
      <c r="R49" s="3416">
        <f>ROUND(PRODUCT(R48,AA9:AA47),0)</f>
        <v>6514</v>
      </c>
      <c r="S49" s="3416"/>
      <c r="T49" s="3416">
        <f>ROUND(PRODUCT(T48,AB9:AB47),0)</f>
        <v>6765</v>
      </c>
      <c r="U49" s="3416"/>
      <c r="V49" s="3416">
        <f>ROUND(PRODUCT(V48,AC9:AC47),0)</f>
        <v>6509</v>
      </c>
      <c r="W49" s="3416"/>
      <c r="X49" s="1543"/>
      <c r="Y49" s="1543"/>
      <c r="Z49" s="1543"/>
      <c r="AA49" s="1543"/>
      <c r="AB49" s="1543"/>
      <c r="AC49" s="1543"/>
    </row>
    <row r="50" spans="1:29" ht="21" thickBot="1">
      <c r="A50" s="619" t="s">
        <v>2935</v>
      </c>
      <c r="B50" s="620"/>
      <c r="C50" s="621">
        <f>R50</f>
        <v>6596</v>
      </c>
      <c r="D50" s="621"/>
      <c r="E50" s="621"/>
      <c r="F50" s="621"/>
      <c r="G50" s="621"/>
      <c r="H50" s="621"/>
      <c r="I50" s="621"/>
      <c r="J50" s="621"/>
      <c r="K50" s="1335"/>
      <c r="L50" s="2127"/>
      <c r="M50" s="2115"/>
      <c r="N50" s="2115"/>
      <c r="O50" s="2128"/>
      <c r="P50" s="3413" t="str">
        <f>A50</f>
        <v>估价对象XX用房的比较价格（楼面单价，元/平方米）</v>
      </c>
      <c r="Q50" s="3414"/>
      <c r="R50" s="3415">
        <f>ROUND(AVERAGE(R49:V49),0)</f>
        <v>6596</v>
      </c>
      <c r="S50" s="3415"/>
      <c r="T50" s="3415"/>
      <c r="U50" s="3415"/>
      <c r="V50" s="3415"/>
      <c r="W50" s="3415"/>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0.12511513662879947</v>
      </c>
      <c r="F53" s="625" t="str">
        <f>IF(OR(E53&gt;=0.3,E53&lt;=-0.3),"超过30%","")</f>
        <v/>
      </c>
      <c r="G53" s="624">
        <f>IF(G48&lt;G49,G49/G48-1,G48/G49-1)</f>
        <v>5.8684405025868358E-2</v>
      </c>
      <c r="H53" s="625" t="str">
        <f>IF(OR(G53&gt;=0.3,G53&lt;=-0.3),"超过30%","")</f>
        <v/>
      </c>
      <c r="I53" s="624">
        <f>IF(I48&lt;I49,I49/I48-1,I48/I49-1)</f>
        <v>0.12521124596712241</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3.8532391771568975E-2</v>
      </c>
      <c r="F54" s="625" t="str">
        <f>IF(OR(E54&gt;=0.2,E54&lt;=-0.2),"超过20%","")</f>
        <v/>
      </c>
      <c r="G54" s="624">
        <f>IF(G49&lt;I49,I49/G49-1,G49/I49-1)</f>
        <v>3.9330158242433466E-2</v>
      </c>
      <c r="H54" s="625" t="str">
        <f>IF(OR(G54&gt;=0.2,G54&lt;=-0.2),"超过20%","")</f>
        <v/>
      </c>
      <c r="I54" s="624">
        <f>IF(I49&lt;E49,E49/I49-1,I49/E49-1)</f>
        <v>7.6816715317251649E-4</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2" t="s">
        <v>559</v>
      </c>
      <c r="D55" s="626"/>
      <c r="E55" s="624">
        <f>IF(E48&lt;G48,G48/E48-1,E48/G48-1)</f>
        <v>2.3317509075677201E-2</v>
      </c>
      <c r="F55" s="625" t="str">
        <f>IF(OR(E55&gt;=0.3,E55&lt;=-0.3),"超过30%","")</f>
        <v/>
      </c>
      <c r="G55" s="624">
        <f>IF(G48&lt;I48,I48/G48-1,G48/I48-1)</f>
        <v>2.2619380061435379E-2</v>
      </c>
      <c r="H55" s="625" t="str">
        <f>IF(OR(G55&gt;=0.3,G55&lt;=-0.3),"超过30%","")</f>
        <v/>
      </c>
      <c r="I55" s="624">
        <f>IF(I48&lt;E48,E48/I48-1,I48/E48-1)</f>
        <v>6.82687056253517E-4</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1723</v>
      </c>
      <c r="D57" s="2210" t="s">
        <v>2292</v>
      </c>
      <c r="E57" s="629" t="s">
        <v>562</v>
      </c>
      <c r="F57" s="630" t="s">
        <v>563</v>
      </c>
      <c r="G57" s="3373" t="s">
        <v>2280</v>
      </c>
      <c r="H57" s="3374"/>
      <c r="I57" s="1539" t="s">
        <v>1721</v>
      </c>
      <c r="J57" s="1539" t="str">
        <f>项目基本情况!F41</f>
        <v>四川省</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1" t="s">
        <v>564</v>
      </c>
      <c r="B58" s="632">
        <f>C50</f>
        <v>6596</v>
      </c>
      <c r="C58" s="633">
        <v>1</v>
      </c>
      <c r="D58" s="2211">
        <v>1</v>
      </c>
      <c r="E58" s="633">
        <f>'数据-汇总表'!E8+'数据-汇总表'!E9</f>
        <v>604021.82000000007</v>
      </c>
      <c r="F58" s="634">
        <f t="shared" ref="F58:F67" si="15">ROUND(B58*E58/10000,0)</f>
        <v>398413</v>
      </c>
      <c r="G58" s="3375"/>
      <c r="H58" s="3376"/>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5" t="s">
        <v>565</v>
      </c>
      <c r="B59" s="636">
        <f>ROUND($C$50*C59*D59,0)</f>
        <v>0</v>
      </c>
      <c r="C59" s="377">
        <f t="shared" ref="C59:C67" si="16">IF($C$57="北京市系数",I59,J59)</f>
        <v>0</v>
      </c>
      <c r="D59" s="2212">
        <v>0.25</v>
      </c>
      <c r="E59" s="637">
        <v>0</v>
      </c>
      <c r="F59" s="634">
        <f t="shared" si="15"/>
        <v>0</v>
      </c>
      <c r="G59" s="3377"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5" t="s">
        <v>566</v>
      </c>
      <c r="B60" s="636">
        <f t="shared" ref="B60:B67" si="17">ROUND($C$50*C60*D60,0)</f>
        <v>0</v>
      </c>
      <c r="C60" s="377">
        <f t="shared" si="16"/>
        <v>0</v>
      </c>
      <c r="D60" s="2212">
        <v>0.25</v>
      </c>
      <c r="E60" s="637">
        <v>0</v>
      </c>
      <c r="F60" s="634">
        <f t="shared" si="15"/>
        <v>0</v>
      </c>
      <c r="G60" s="3377"/>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5" t="s">
        <v>567</v>
      </c>
      <c r="B61" s="636">
        <f t="shared" si="17"/>
        <v>0</v>
      </c>
      <c r="C61" s="377">
        <f t="shared" si="16"/>
        <v>0</v>
      </c>
      <c r="D61" s="2212">
        <v>0.25</v>
      </c>
      <c r="E61" s="637">
        <v>0</v>
      </c>
      <c r="F61" s="634">
        <f t="shared" si="15"/>
        <v>0</v>
      </c>
      <c r="G61" s="3377"/>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5" t="s">
        <v>568</v>
      </c>
      <c r="B62" s="636">
        <f t="shared" si="17"/>
        <v>0</v>
      </c>
      <c r="C62" s="377">
        <f t="shared" si="16"/>
        <v>0</v>
      </c>
      <c r="D62" s="2212">
        <v>0.25</v>
      </c>
      <c r="E62" s="637">
        <v>0</v>
      </c>
      <c r="F62" s="634">
        <f t="shared" si="15"/>
        <v>0</v>
      </c>
      <c r="G62" s="3377"/>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2327</v>
      </c>
      <c r="B63" s="636">
        <f t="shared" si="17"/>
        <v>0</v>
      </c>
      <c r="C63" s="377">
        <f t="shared" si="16"/>
        <v>0</v>
      </c>
      <c r="D63" s="2212">
        <v>0.25</v>
      </c>
      <c r="E63" s="639">
        <f>'数据-汇总表'!E11</f>
        <v>0</v>
      </c>
      <c r="F63" s="634">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5" t="s">
        <v>569</v>
      </c>
      <c r="B64" s="636">
        <f t="shared" si="17"/>
        <v>0</v>
      </c>
      <c r="C64" s="377">
        <f t="shared" si="16"/>
        <v>0</v>
      </c>
      <c r="D64" s="2212">
        <v>0.25</v>
      </c>
      <c r="E64" s="639">
        <f>'数据-汇总表'!E12</f>
        <v>0</v>
      </c>
      <c r="F64" s="634">
        <f t="shared" si="15"/>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5" t="s">
        <v>570</v>
      </c>
      <c r="B65" s="636">
        <f t="shared" si="17"/>
        <v>0</v>
      </c>
      <c r="C65" s="377">
        <f t="shared" si="16"/>
        <v>0</v>
      </c>
      <c r="D65" s="2212">
        <v>0.25</v>
      </c>
      <c r="E65" s="639">
        <f>'数据-汇总表'!E13</f>
        <v>204575</v>
      </c>
      <c r="F65" s="634">
        <f t="shared" si="15"/>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5" t="s">
        <v>571</v>
      </c>
      <c r="B66" s="636">
        <f t="shared" si="17"/>
        <v>0</v>
      </c>
      <c r="C66" s="377">
        <f t="shared" si="16"/>
        <v>0</v>
      </c>
      <c r="D66" s="2212">
        <v>0.25</v>
      </c>
      <c r="E66" s="639">
        <f>'数据-汇总表'!E14</f>
        <v>0</v>
      </c>
      <c r="F66" s="634">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5" t="s">
        <v>572</v>
      </c>
      <c r="B67" s="636">
        <f t="shared" si="17"/>
        <v>0</v>
      </c>
      <c r="C67" s="377">
        <f t="shared" si="16"/>
        <v>0</v>
      </c>
      <c r="D67" s="2212">
        <v>0.25</v>
      </c>
      <c r="E67" s="639">
        <f>'数据-汇总表'!E15</f>
        <v>0</v>
      </c>
      <c r="F67" s="634">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0" t="s">
        <v>573</v>
      </c>
      <c r="B68" s="641" t="s">
        <v>17</v>
      </c>
      <c r="C68" s="641" t="s">
        <v>18</v>
      </c>
      <c r="D68" s="641" t="s">
        <v>2293</v>
      </c>
      <c r="E68" s="641">
        <f>IF(B48="楼面地价",SUM(E58:E67),'数据-汇总表'!D3)</f>
        <v>808596.82000000007</v>
      </c>
      <c r="F68" s="642">
        <f>IF(B48="楼面地价",SUM(F58:F67),ROUND(C50*E68/10000,0))</f>
        <v>398413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2019-6-1</v>
      </c>
      <c r="D70" s="2752">
        <f>EDATE(C70,-3)</f>
        <v>43525</v>
      </c>
      <c r="E70" s="2752">
        <f t="shared" ref="E70:N70" si="18">EDATE(D70,-3)</f>
        <v>43435</v>
      </c>
      <c r="F70" s="2752">
        <f t="shared" si="18"/>
        <v>43344</v>
      </c>
      <c r="G70" s="2752">
        <f t="shared" si="18"/>
        <v>43252</v>
      </c>
      <c r="H70" s="2752">
        <f t="shared" si="18"/>
        <v>43160</v>
      </c>
      <c r="I70" s="2752">
        <f t="shared" si="18"/>
        <v>43070</v>
      </c>
      <c r="J70" s="2752">
        <f t="shared" si="18"/>
        <v>42979</v>
      </c>
      <c r="K70" s="2752">
        <f t="shared" si="18"/>
        <v>42887</v>
      </c>
      <c r="L70" s="2752">
        <f t="shared" si="18"/>
        <v>42795</v>
      </c>
      <c r="M70" s="2752">
        <f t="shared" si="18"/>
        <v>42705</v>
      </c>
      <c r="N70" s="2752">
        <f t="shared" si="18"/>
        <v>42614</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2531</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2"/>
      <c r="P72" s="2143"/>
      <c r="Q72" s="2144"/>
      <c r="R72" s="2144"/>
      <c r="S72" s="2144"/>
      <c r="T72" s="2144"/>
      <c r="U72" s="2144"/>
      <c r="V72" s="2144"/>
      <c r="W72" s="2144"/>
      <c r="X72" s="2144"/>
      <c r="Y72" s="2144"/>
      <c r="Z72" s="2144"/>
      <c r="AA72" s="2144"/>
      <c r="AB72" s="2144"/>
      <c r="AC72" s="2144"/>
    </row>
    <row r="73" spans="1:29" s="1213" customFormat="1" ht="27" customHeight="1">
      <c r="A73" s="2759" t="s">
        <v>922</v>
      </c>
      <c r="B73" s="478" t="str">
        <f>"北京市平均增长率"&amp;TEXT(SUMIF(基准地价!N21:N25,A73,基准地价!P21:P25),"0.00%")</f>
        <v>北京市平均增长率2.26%</v>
      </c>
      <c r="C73" s="891">
        <v>100</v>
      </c>
      <c r="D73" s="3193">
        <f>C73-$C$74</f>
        <v>99.5</v>
      </c>
      <c r="E73" s="3193">
        <f t="shared" ref="E73:N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2645</v>
      </c>
      <c r="B74" s="2758"/>
      <c r="C74" s="2744">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7" t="s">
        <v>531</v>
      </c>
      <c r="B75" s="646"/>
      <c r="C75" s="658" t="s">
        <v>576</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ht="57">
      <c r="A77" s="662" t="s">
        <v>577</v>
      </c>
      <c r="B77" s="663" t="s">
        <v>534</v>
      </c>
      <c r="C77" s="597">
        <f>项目基本情况!B13</f>
        <v>0</v>
      </c>
      <c r="D77" s="597" t="str">
        <f>'[1]土地比较法-住宅、综合'!$D$75</f>
        <v>住宅</v>
      </c>
      <c r="E77" s="597" t="str">
        <f>'[1]土地比较法-住宅、综合'!$E$75</f>
        <v>住宅兼容商业;商业服务业设施兼容住宅;服务设施;幼儿园</v>
      </c>
      <c r="F77" s="597" t="str">
        <f>'[1]土地比较法-住宅、综合'!$F$75</f>
        <v>住宅兼容商业;幼儿园</v>
      </c>
      <c r="G77" s="597"/>
      <c r="H77" s="597"/>
      <c r="I77" s="597"/>
      <c r="J77" s="597"/>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f>'[1]土地比较法-住宅、综合'!$D$76</f>
        <v>100</v>
      </c>
      <c r="E78" s="669">
        <f>'[1]土地比较法-住宅、综合'!$E$76</f>
        <v>100</v>
      </c>
      <c r="F78" s="669">
        <f>'[1]土地比较法-住宅、综合'!$F$76</f>
        <v>100</v>
      </c>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2（含）-3</v>
      </c>
      <c r="D81" s="680" t="str">
        <f t="shared" ref="D81:L81" si="21">D82&amp;"（含）"&amp;"-"&amp;E82</f>
        <v>3（含）-4</v>
      </c>
      <c r="E81" s="680" t="str">
        <f t="shared" si="21"/>
        <v>4（含）-5</v>
      </c>
      <c r="F81" s="680" t="str">
        <f t="shared" si="21"/>
        <v>5（含）-6</v>
      </c>
      <c r="G81" s="680" t="str">
        <f t="shared" si="21"/>
        <v>6（含）-</v>
      </c>
      <c r="H81" s="680" t="str">
        <f t="shared" si="21"/>
        <v>（含）-</v>
      </c>
      <c r="I81" s="680" t="str">
        <f t="shared" si="21"/>
        <v>（含）-</v>
      </c>
      <c r="J81" s="680" t="str">
        <f t="shared" si="21"/>
        <v>（含）-</v>
      </c>
      <c r="K81" s="680" t="str">
        <f t="shared" si="21"/>
        <v>（含）-</v>
      </c>
      <c r="L81" s="680"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40">
        <f>'[1]土地比较法-住宅、综合'!$C$80</f>
        <v>2</v>
      </c>
      <c r="D82" s="540">
        <f>'[1]土地比较法-住宅、综合'!$D$80</f>
        <v>3</v>
      </c>
      <c r="E82" s="540">
        <f>'[1]土地比较法-住宅、综合'!$E$80</f>
        <v>4</v>
      </c>
      <c r="F82" s="540">
        <f>'[1]土地比较法-住宅、综合'!$F$80</f>
        <v>5</v>
      </c>
      <c r="G82" s="540">
        <f>'[1]土地比较法-住宅、综合'!$G$80</f>
        <v>6</v>
      </c>
      <c r="H82" s="540"/>
      <c r="I82" s="540"/>
      <c r="J82" s="540"/>
      <c r="K82" s="682"/>
      <c r="L82" s="683"/>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94</v>
      </c>
      <c r="E83" s="677">
        <f t="shared" ref="E83:M83" si="22">IF($B$48="单位面积地价",D83+$K13,D83-$K13)</f>
        <v>88</v>
      </c>
      <c r="F83" s="677">
        <f t="shared" si="22"/>
        <v>82</v>
      </c>
      <c r="G83" s="677">
        <f t="shared" si="22"/>
        <v>76</v>
      </c>
      <c r="H83" s="677">
        <f t="shared" si="22"/>
        <v>70</v>
      </c>
      <c r="I83" s="677">
        <f t="shared" si="22"/>
        <v>64</v>
      </c>
      <c r="J83" s="677">
        <f t="shared" si="22"/>
        <v>58</v>
      </c>
      <c r="K83" s="677">
        <f t="shared" si="22"/>
        <v>52</v>
      </c>
      <c r="L83" s="677">
        <f t="shared" si="22"/>
        <v>46</v>
      </c>
      <c r="M83" s="677">
        <f t="shared" si="22"/>
        <v>40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5"/>
      <c r="B84" s="671" t="str">
        <f>B14</f>
        <v>配建</v>
      </c>
      <c r="C84" s="686">
        <f>'[1]土地比较法-住宅、综合'!$C$82</f>
        <v>0</v>
      </c>
      <c r="D84" s="1369" t="str">
        <f>'[1]土地比较法-住宅、综合'!$D$82</f>
        <v>0-10%</v>
      </c>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5"/>
      <c r="B85" s="676"/>
      <c r="C85" s="690">
        <f>'[1]土地比较法-住宅、综合'!$C$83</f>
        <v>100</v>
      </c>
      <c r="D85" s="669">
        <f>'[1]土地比较法-住宅、综合'!$D$83</f>
        <v>95</v>
      </c>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5"/>
      <c r="B86" s="671" t="str">
        <f>B15</f>
        <v>商业占比</v>
      </c>
      <c r="C86" s="3203" t="str">
        <f>'[1]土地比较法-住宅、综合'!$C$84</f>
        <v>0-10%（含）</v>
      </c>
      <c r="D86" s="3203" t="str">
        <f>'[1]土地比较法-住宅、综合'!$D$84</f>
        <v>10-30%（含）</v>
      </c>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5"/>
      <c r="B87" s="676"/>
      <c r="C87" s="690">
        <f>'[1]土地比较法-住宅、综合'!$C$85</f>
        <v>100</v>
      </c>
      <c r="D87" s="690">
        <f>'[1]土地比较法-住宅、综合'!$D$85</f>
        <v>90</v>
      </c>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5"/>
      <c r="B88" s="679">
        <f>B16</f>
        <v>0</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97</v>
      </c>
      <c r="E91" s="677">
        <f>D91-$K17</f>
        <v>94</v>
      </c>
      <c r="F91" s="677">
        <f>E91-$K17</f>
        <v>91</v>
      </c>
      <c r="G91" s="677">
        <f>F91-$K17</f>
        <v>88</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98</v>
      </c>
      <c r="E93" s="677">
        <f>D93-$K19</f>
        <v>96</v>
      </c>
      <c r="F93" s="677">
        <f>E93-$K19</f>
        <v>94</v>
      </c>
      <c r="G93" s="677">
        <f>F93-$K19</f>
        <v>92</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97</v>
      </c>
      <c r="E97" s="677">
        <f>D97-$K23</f>
        <v>94</v>
      </c>
      <c r="F97" s="677">
        <f>E97-$K23</f>
        <v>91</v>
      </c>
      <c r="G97" s="677">
        <f>F97-$K23</f>
        <v>88</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7"/>
      <c r="B99" s="676"/>
      <c r="C99" s="710">
        <v>100</v>
      </c>
      <c r="D99" s="677">
        <f>C99-$K25</f>
        <v>95</v>
      </c>
      <c r="E99" s="677">
        <f>D99-$K25</f>
        <v>90</v>
      </c>
      <c r="F99" s="677">
        <f>E99-$K25</f>
        <v>85</v>
      </c>
      <c r="G99" s="677">
        <f>F99-$K25</f>
        <v>80</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5"/>
      <c r="B102" s="1879" t="s">
        <v>2547</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5"/>
      <c r="B104" s="2559" t="s">
        <v>2549</v>
      </c>
      <c r="C104" s="2560" t="s">
        <v>2550</v>
      </c>
      <c r="D104" s="2560" t="s">
        <v>2551</v>
      </c>
      <c r="E104" s="2560" t="s">
        <v>2552</v>
      </c>
      <c r="F104" s="2560" t="s">
        <v>2553</v>
      </c>
      <c r="G104" s="2560" t="s">
        <v>2554</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3191" t="s">
        <v>3031</v>
      </c>
      <c r="D108" s="3191" t="s">
        <v>3032</v>
      </c>
      <c r="E108" s="3191" t="s">
        <v>3033</v>
      </c>
      <c r="F108" s="3191" t="s">
        <v>3034</v>
      </c>
      <c r="G108" s="3191" t="s">
        <v>3035</v>
      </c>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0</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1">
        <f>B38</f>
        <v>0</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6"/>
      <c r="B116" s="727">
        <f>B39</f>
        <v>0</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5"/>
      <c r="B117" s="679"/>
      <c r="C117" s="648"/>
      <c r="D117" s="591"/>
      <c r="E117" s="591"/>
      <c r="F117" s="591"/>
      <c r="G117" s="591"/>
      <c r="H117" s="591"/>
      <c r="I117" s="591"/>
      <c r="J117" s="591"/>
      <c r="K117" s="591"/>
      <c r="L117" s="591"/>
      <c r="M117" s="732"/>
      <c r="N117" s="2149"/>
      <c r="O117" s="2149"/>
      <c r="P117" s="2151"/>
      <c r="Q117" s="2152"/>
      <c r="R117" s="2153"/>
      <c r="S117" s="2153"/>
      <c r="T117" s="2153"/>
      <c r="U117" s="2153"/>
      <c r="V117" s="2153"/>
      <c r="W117" s="2153"/>
      <c r="X117" s="2153"/>
      <c r="Y117" s="2153"/>
      <c r="Z117" s="2153"/>
      <c r="AA117" s="2153"/>
      <c r="AB117" s="2153"/>
      <c r="AC117" s="2153"/>
    </row>
    <row r="118" spans="1:29">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42" t="str">
        <f t="shared" si="26"/>
        <v>(含)-</v>
      </c>
      <c r="K118" s="3042" t="str">
        <f t="shared" si="26"/>
        <v>(含)-</v>
      </c>
      <c r="L118" s="3043" t="str">
        <f t="shared" si="26"/>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c r="E119" s="728"/>
      <c r="F119" s="728"/>
      <c r="G119" s="728"/>
      <c r="H119" s="728"/>
      <c r="I119" s="728"/>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c r="D120" s="724"/>
      <c r="E120" s="724"/>
      <c r="F120" s="724"/>
      <c r="G120" s="724"/>
      <c r="H120" s="724"/>
      <c r="I120" s="724"/>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192" t="s">
        <v>3036</v>
      </c>
      <c r="D121" s="716"/>
      <c r="E121" s="716"/>
      <c r="F121" s="716"/>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3191" t="s">
        <v>3037</v>
      </c>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6"/>
      <c r="B125" s="1879" t="s">
        <v>2424</v>
      </c>
      <c r="C125" s="3191" t="s">
        <v>3038</v>
      </c>
      <c r="D125" s="1369"/>
      <c r="E125" s="1369"/>
      <c r="F125" s="1369"/>
      <c r="G125" s="1369"/>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191" t="s">
        <v>3039</v>
      </c>
      <c r="D127" s="686"/>
      <c r="E127" s="716"/>
      <c r="F127" s="716"/>
      <c r="G127" s="716"/>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0</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0</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6"/>
      <c r="B133" s="671">
        <f>B47</f>
        <v>0</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61"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8" sqref="B38"/>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276441</v>
      </c>
      <c r="C2" s="2087"/>
      <c r="D2" s="2087"/>
      <c r="E2" s="2087"/>
      <c r="F2" s="2087"/>
      <c r="G2" s="2087"/>
      <c r="H2" s="2087"/>
      <c r="I2" s="2087"/>
      <c r="J2" s="2087"/>
      <c r="K2" s="2087"/>
    </row>
    <row r="3" spans="1:31" s="2024" customFormat="1" ht="18" customHeight="1">
      <c r="A3" s="2089" t="s">
        <v>1683</v>
      </c>
      <c r="B3" s="2090">
        <f ca="1">ROUND(B2*10000/IF(B1="",'数据-汇总表'!E3,INDIRECT("'数据-取费表'!K"&amp;$K$1)),0)</f>
        <v>2942</v>
      </c>
      <c r="C3" s="2087"/>
      <c r="D3" s="2087"/>
      <c r="E3" s="2087"/>
      <c r="F3" s="2087"/>
      <c r="G3" s="2087"/>
      <c r="H3" s="2087"/>
      <c r="I3" s="2087"/>
      <c r="J3" s="2087"/>
      <c r="K3" s="2087"/>
    </row>
    <row r="4" spans="1:31" s="2024" customFormat="1" ht="18" customHeight="1">
      <c r="A4" s="425" t="s">
        <v>468</v>
      </c>
      <c r="B4" s="426">
        <f ca="1">ROUND(B2*10000/IF(B1="",'数据-汇总表'!D3,INDIRECT("'数据-取费表'!R"&amp;$K$1)),0)</f>
        <v>9674</v>
      </c>
      <c r="C4" s="427"/>
      <c r="D4" s="421"/>
      <c r="E4" s="421"/>
      <c r="F4" s="421"/>
      <c r="G4" s="421"/>
      <c r="H4" s="421"/>
      <c r="I4" s="421"/>
      <c r="J4" s="421"/>
      <c r="K4" s="421"/>
    </row>
    <row r="5" spans="1:31" s="2024" customFormat="1" ht="18" customHeight="1" thickBot="1">
      <c r="A5" s="428"/>
      <c r="B5" s="429">
        <f ca="1">ROUND(B2/(IF(B1="",'数据-汇总表'!D3,INDIRECT("'数据-取费表'!R"&amp;$K$1))/666.67),0)</f>
        <v>645</v>
      </c>
      <c r="C5" s="430" t="s">
        <v>469</v>
      </c>
      <c r="D5" s="421"/>
      <c r="E5" s="421"/>
      <c r="F5" s="421"/>
      <c r="G5" s="421"/>
      <c r="H5" s="421"/>
      <c r="I5" s="421"/>
      <c r="J5" s="421"/>
      <c r="K5" s="421"/>
    </row>
    <row r="6" spans="1:31" s="2094" customFormat="1" ht="16.5" customHeight="1">
      <c r="A6" s="2781" t="s">
        <v>1841</v>
      </c>
      <c r="B6" s="2782"/>
      <c r="C6" s="2783">
        <f ca="1">SUM(C10:K10)</f>
        <v>861501</v>
      </c>
      <c r="D6" s="2782"/>
      <c r="E6" s="2782"/>
      <c r="F6" s="2782"/>
      <c r="G6" s="2782"/>
      <c r="H6" s="2782"/>
      <c r="I6" s="2782"/>
      <c r="J6" s="2782"/>
      <c r="K6" s="2784"/>
    </row>
    <row r="7" spans="1:31" s="2096" customFormat="1" ht="15">
      <c r="A7" s="2785" t="s">
        <v>470</v>
      </c>
      <c r="B7" s="2786" t="s">
        <v>471</v>
      </c>
      <c r="C7" s="435" t="s">
        <v>922</v>
      </c>
      <c r="D7" s="435" t="s">
        <v>2998</v>
      </c>
      <c r="E7" s="435" t="s">
        <v>35</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1844</v>
      </c>
      <c r="B8" s="260" t="s">
        <v>472</v>
      </c>
      <c r="C8" s="2787">
        <f>[1]假设开发法!$C$6</f>
        <v>13194</v>
      </c>
      <c r="D8" s="2787">
        <f ca="1">'不动产收益法（商业）'!B3</f>
        <v>13332</v>
      </c>
      <c r="E8" s="2787">
        <f ca="1">'不动产收益法（地下车库）'!B3</f>
        <v>3029</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1845</v>
      </c>
      <c r="B9" s="260" t="s">
        <v>473</v>
      </c>
      <c r="C9" s="440">
        <f>SUMIF('数据-汇总表'!$C19:$C33,'剩余法-待开发'!C7,'数据-汇总表'!$E19:$E33)</f>
        <v>416069.5</v>
      </c>
      <c r="D9" s="440">
        <f>SUMIF('数据-汇总表'!$C19:$C33,'剩余法-待开发'!D7,'数据-汇总表'!$E19:$E33)</f>
        <v>187952.32</v>
      </c>
      <c r="E9" s="440">
        <f>SUMIF('数据-汇总表'!$C19:$C33,'剩余法-待开发'!E7,'数据-汇总表'!$E19:$E33)</f>
        <v>204575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ROUND(C8*C9/10000,0)</f>
        <v>548962</v>
      </c>
      <c r="D10" s="2979">
        <f ca="1">'不动产收益法（商业）'!B2</f>
        <v>250580</v>
      </c>
      <c r="E10" s="2979">
        <f ca="1">'不动产收益法（地下车库）'!B2</f>
        <v>61959</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49">
        <f ca="1">IF(B1="",'数据-取费表'!P16,INDIRECT("'数据-取费表'!p"&amp;$K$1)+INDIRECT("'数据-取费表'!t"&amp;$K$1))</f>
        <v>261761</v>
      </c>
      <c r="D13" s="2797"/>
      <c r="E13" s="2798"/>
      <c r="F13" s="2799"/>
      <c r="G13" s="2765"/>
      <c r="H13" s="2766"/>
      <c r="I13" s="2766"/>
      <c r="J13" s="2766"/>
      <c r="K13" s="2767"/>
    </row>
    <row r="14" spans="1:31" s="2099" customFormat="1" ht="13.5" customHeight="1">
      <c r="A14" s="2795" t="s">
        <v>1848</v>
      </c>
      <c r="B14" s="2796" t="s">
        <v>480</v>
      </c>
      <c r="C14" s="52">
        <f ca="1">ROUND(C13*F14,0)</f>
        <v>7853</v>
      </c>
      <c r="D14" s="2797"/>
      <c r="E14" s="2798"/>
      <c r="F14" s="2800">
        <f>'数据-取费表'!B33</f>
        <v>0.03</v>
      </c>
      <c r="G14" s="2765" t="s">
        <v>481</v>
      </c>
      <c r="H14" s="2766"/>
      <c r="I14" s="2766"/>
      <c r="J14" s="2766"/>
      <c r="K14" s="2767"/>
    </row>
    <row r="15" spans="1:31" s="2099" customFormat="1" ht="13.5" customHeight="1">
      <c r="A15" s="2795" t="s">
        <v>1849</v>
      </c>
      <c r="B15" s="2796" t="s">
        <v>482</v>
      </c>
      <c r="C15" s="52">
        <f ca="1">ROUND(IF(B1="",SUMIF('数据-取费表'!C:C,"住宅",'数据-取费表'!P:P)*F15,IF(INDIRECT("'数据-取费表'!c"&amp;$K$1)="住宅",INDIRECT("'数据-取费表'!P"&amp;$K$1)*F15,0)),0)</f>
        <v>3745</v>
      </c>
      <c r="D15" s="2797"/>
      <c r="E15" s="2798"/>
      <c r="F15" s="2800">
        <f>'数据-取费表'!B34</f>
        <v>0.03</v>
      </c>
      <c r="G15" s="2765" t="s">
        <v>483</v>
      </c>
      <c r="H15" s="2766"/>
      <c r="I15" s="2766"/>
      <c r="J15" s="2766"/>
      <c r="K15" s="2767"/>
    </row>
    <row r="16" spans="1:31" s="2100" customFormat="1" ht="13.5" customHeight="1">
      <c r="A16" s="2795" t="s">
        <v>1850</v>
      </c>
      <c r="B16" s="2796" t="s">
        <v>484</v>
      </c>
      <c r="C16" s="52">
        <f ca="1">ROUND(D16*E16/10000,0)</f>
        <v>23492</v>
      </c>
      <c r="D16" s="2797">
        <f ca="1">IF(B1="",'数据-汇总表'!E3,INDIRECT("'数据-取费表'!K"&amp;$K$1)+INDIRECT("'数据-取费表'!S"&amp;$K$1))</f>
        <v>939662.47000000009</v>
      </c>
      <c r="E16" s="52">
        <f>'数据-取费表'!B35</f>
        <v>250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3926</v>
      </c>
      <c r="D17" s="474"/>
      <c r="E17" s="2801"/>
      <c r="F17" s="2802">
        <f>'数据-取费表'!B36</f>
        <v>1.4999999999999999E-2</v>
      </c>
      <c r="G17" s="260" t="s">
        <v>486</v>
      </c>
      <c r="H17" s="2768"/>
      <c r="I17" s="2768"/>
      <c r="J17" s="2768"/>
      <c r="K17" s="278"/>
    </row>
    <row r="18" spans="1:14" s="2099" customFormat="1" ht="13.5" customHeight="1">
      <c r="A18" s="2803" t="s">
        <v>1852</v>
      </c>
      <c r="B18" s="2804" t="s">
        <v>487</v>
      </c>
      <c r="C18" s="2805">
        <f ca="1">SUM(C13:C17)</f>
        <v>300777</v>
      </c>
      <c r="D18" s="2806"/>
      <c r="E18" s="467"/>
      <c r="F18" s="467"/>
      <c r="G18" s="2769" t="s">
        <v>2429</v>
      </c>
      <c r="H18" s="2770"/>
      <c r="I18" s="2770"/>
      <c r="J18" s="2770"/>
      <c r="K18" s="2771"/>
    </row>
    <row r="19" spans="1:14" s="2099" customFormat="1" ht="13.5" customHeight="1">
      <c r="A19" s="2803" t="s">
        <v>1853</v>
      </c>
      <c r="B19" s="2804" t="s">
        <v>488</v>
      </c>
      <c r="C19" s="2761">
        <f ca="1">ROUND(D19*E19/10000,0)</f>
        <v>0</v>
      </c>
      <c r="D19" s="2807">
        <f ca="1">D16</f>
        <v>939662.47000000009</v>
      </c>
      <c r="E19" s="2761">
        <f>'数据-取费表'!B32</f>
        <v>0</v>
      </c>
      <c r="F19" s="467"/>
      <c r="G19" s="2765" t="s">
        <v>489</v>
      </c>
      <c r="H19" s="2766"/>
      <c r="I19" s="2770"/>
      <c r="J19" s="2770"/>
      <c r="K19" s="2771"/>
    </row>
    <row r="20" spans="1:14" s="2099" customFormat="1" ht="13.5" customHeight="1">
      <c r="A20" s="2803" t="s">
        <v>1854</v>
      </c>
      <c r="B20" s="2804" t="s">
        <v>490</v>
      </c>
      <c r="C20" s="2761">
        <f ca="1">C21+C22-IF(B1="",'数据-取费表'!B29,IF(G20="已全部缴纳",C21+C22,H20))</f>
        <v>20673</v>
      </c>
      <c r="D20" s="2807"/>
      <c r="E20" s="2761"/>
      <c r="F20" s="2808"/>
      <c r="G20" s="3038"/>
      <c r="H20" s="2763"/>
      <c r="I20" s="2764" t="s">
        <v>2649</v>
      </c>
      <c r="J20" s="2770"/>
      <c r="K20" s="2771"/>
    </row>
    <row r="21" spans="1:14" s="2099" customFormat="1" ht="13.5" customHeight="1">
      <c r="A21" s="2795" t="s">
        <v>1855</v>
      </c>
      <c r="B21" s="2796" t="s">
        <v>491</v>
      </c>
      <c r="C21" s="52">
        <f ca="1">ROUND(D21*E21/10000,0)</f>
        <v>9154</v>
      </c>
      <c r="D21" s="2797">
        <f ca="1">IF(B1="",'数据-汇总表'!E5,IF(INDIRECT("'数据-取费表'!c"&amp;$K$1)="住宅",INDIRECT("'数据-取费表'!k"&amp;$K$1),0))</f>
        <v>416069.5</v>
      </c>
      <c r="E21" s="52">
        <f>'数据-取费表'!B27</f>
        <v>220</v>
      </c>
      <c r="F21" s="2800"/>
      <c r="G21" s="25"/>
      <c r="H21" s="50"/>
      <c r="I21" s="50"/>
      <c r="J21" s="50"/>
      <c r="K21" s="2772"/>
    </row>
    <row r="22" spans="1:14" s="2099" customFormat="1" ht="13.5" customHeight="1">
      <c r="A22" s="2795" t="s">
        <v>1856</v>
      </c>
      <c r="B22" s="2796" t="s">
        <v>492</v>
      </c>
      <c r="C22" s="52">
        <f ca="1">ROUND(D22*E22/10000,0)</f>
        <v>11519</v>
      </c>
      <c r="D22" s="2797">
        <f ca="1">IF(B1="",'数据-汇总表'!E6,IF(INDIRECT("'数据-取费表'!c"&amp;$K$1)="住宅",INDIRECT("'数据-取费表'!s"&amp;$K$1),INDIRECT("'数据-取费表'!k"&amp;$K$1)+INDIRECT("'数据-取费表'!s"&amp;$K$1)))</f>
        <v>523592.97000000009</v>
      </c>
      <c r="E22" s="52">
        <f>'数据-取费表'!B28</f>
        <v>220</v>
      </c>
      <c r="F22" s="2800"/>
      <c r="G22" s="25"/>
      <c r="H22" s="50"/>
      <c r="I22" s="50"/>
      <c r="J22" s="50"/>
      <c r="K22" s="2772"/>
    </row>
    <row r="23" spans="1:14" s="2099" customFormat="1" ht="13.5" customHeight="1">
      <c r="A23" s="2803" t="s">
        <v>1857</v>
      </c>
      <c r="B23" s="2985" t="s">
        <v>2832</v>
      </c>
      <c r="C23" s="2805">
        <f ca="1">ROUND((C18+C19+C20)*F23,0)</f>
        <v>6429</v>
      </c>
      <c r="D23" s="467"/>
      <c r="E23" s="467"/>
      <c r="F23" s="2809">
        <f>'数据-取费表'!B37</f>
        <v>0.02</v>
      </c>
      <c r="G23" s="2765" t="s">
        <v>2430</v>
      </c>
      <c r="H23" s="2766"/>
      <c r="I23" s="2766"/>
      <c r="J23" s="2766"/>
      <c r="K23" s="2767"/>
      <c r="L23" s="2101"/>
      <c r="M23" s="2101"/>
      <c r="N23" s="2101"/>
    </row>
    <row r="24" spans="1:14" s="2099" customFormat="1" ht="13.5" customHeight="1">
      <c r="A24" s="2803" t="s">
        <v>1858</v>
      </c>
      <c r="B24" s="2985" t="s">
        <v>2835</v>
      </c>
      <c r="C24" s="2805">
        <f ca="1">ROUND(C6*F24,0)</f>
        <v>17230</v>
      </c>
      <c r="D24" s="474"/>
      <c r="E24" s="472"/>
      <c r="F24" s="2809">
        <f>'数据-取费表'!B38</f>
        <v>0.02</v>
      </c>
      <c r="G24" s="2774" t="s">
        <v>499</v>
      </c>
      <c r="H24" s="2768"/>
      <c r="I24" s="2768"/>
      <c r="J24" s="2768"/>
      <c r="K24" s="278"/>
      <c r="L24" s="2101"/>
      <c r="M24" s="2101"/>
      <c r="N24" s="2101"/>
    </row>
    <row r="25" spans="1:14" s="2102" customFormat="1" ht="13.5" customHeight="1">
      <c r="A25" s="2803" t="s">
        <v>1859</v>
      </c>
      <c r="B25" s="2985" t="s">
        <v>2833</v>
      </c>
      <c r="C25" s="466">
        <f>ROUND(F25/(1+'数据-取费表'!C42),4)</f>
        <v>2.9000000000000001E-2</v>
      </c>
      <c r="D25" s="461" t="s">
        <v>2827</v>
      </c>
      <c r="E25" s="468"/>
      <c r="F25" s="2809">
        <f>'数据-取费表'!B48+'数据-取费表'!B49</f>
        <v>3.0499999999999999E-2</v>
      </c>
      <c r="G25" s="2773" t="s">
        <v>2288</v>
      </c>
      <c r="H25" s="2766"/>
      <c r="I25" s="2766"/>
      <c r="J25" s="2766"/>
      <c r="K25" s="2767"/>
    </row>
    <row r="26" spans="1:14" s="2101" customFormat="1" ht="13.5" customHeight="1">
      <c r="A26" s="2803" t="s">
        <v>1860</v>
      </c>
      <c r="B26" s="2986" t="s">
        <v>2834</v>
      </c>
      <c r="C26" s="2810">
        <f ca="1">C28</f>
        <v>42453</v>
      </c>
      <c r="D26" s="466">
        <f ca="1">C27</f>
        <v>0.26869999999999999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1855</v>
      </c>
      <c r="B27" s="2811" t="s">
        <v>496</v>
      </c>
      <c r="C27" s="2812">
        <f ca="1">ROUND(IF('数据-取费表'!B22&lt;=1,(1+C25)*F26*'数据-取费表'!B24,(1+C25)*(POWER((1+F26),'数据-取费表'!B24)-1)),4)</f>
        <v>0.26869999999999999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1" t="s">
        <v>1856</v>
      </c>
      <c r="B28" s="2811" t="s">
        <v>2836</v>
      </c>
      <c r="C28" s="2813">
        <f ca="1">ROUND(IF('数据-取费表'!B22&lt;=1,(C18+C19+C20+C23+C24)*F26*'数据-取费表'!B24/2,(C18+C19+C20+C23+C24)*(POWER((1+F26),'数据-取费表'!B24/2)-1)),0)</f>
        <v>42453</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497</v>
      </c>
      <c r="C29" s="2805">
        <f ca="1">ROUND(C6*F29/(1+'数据-取费表'!C42),0)</f>
        <v>45947</v>
      </c>
      <c r="D29" s="467"/>
      <c r="E29" s="467"/>
      <c r="F29" s="2987">
        <f>'数据-取费表'!B41</f>
        <v>5.6000000000000001E-2</v>
      </c>
      <c r="G29" s="2774" t="s">
        <v>498</v>
      </c>
      <c r="H29" s="2766"/>
      <c r="I29" s="2766"/>
      <c r="J29" s="2766"/>
      <c r="K29" s="2767"/>
    </row>
    <row r="30" spans="1:14" s="2104" customFormat="1" ht="13.5" customHeight="1">
      <c r="A30" s="1618" t="s">
        <v>1862</v>
      </c>
      <c r="B30" s="2815" t="s">
        <v>500</v>
      </c>
      <c r="C30" s="2810">
        <f ca="1">C31</f>
        <v>433509</v>
      </c>
      <c r="D30" s="476">
        <f ca="1">C32</f>
        <v>0.29770000000000002</v>
      </c>
      <c r="E30" s="468" t="s">
        <v>495</v>
      </c>
      <c r="F30" s="470"/>
      <c r="G30" s="2773" t="s">
        <v>2972</v>
      </c>
      <c r="H30" s="2766"/>
      <c r="I30" s="2766"/>
      <c r="J30" s="2766"/>
      <c r="K30" s="2767"/>
    </row>
    <row r="31" spans="1:14" s="2103" customFormat="1" ht="13.5" customHeight="1">
      <c r="A31" s="801" t="s">
        <v>1855</v>
      </c>
      <c r="B31" s="2811"/>
      <c r="C31" s="449">
        <f ca="1">C18+C19+C20+C23+C24+C26+C29</f>
        <v>433509</v>
      </c>
      <c r="D31" s="471"/>
      <c r="E31" s="472"/>
      <c r="F31" s="473"/>
      <c r="G31" s="260"/>
      <c r="H31" s="2768"/>
      <c r="I31" s="2768"/>
      <c r="J31" s="2768"/>
      <c r="K31" s="278"/>
    </row>
    <row r="32" spans="1:14" s="2103" customFormat="1" ht="13.5" customHeight="1">
      <c r="A32" s="801" t="s">
        <v>1856</v>
      </c>
      <c r="B32" s="2811"/>
      <c r="C32" s="52">
        <f ca="1">ROUND(C25+D26,4)</f>
        <v>0.29770000000000002</v>
      </c>
      <c r="D32" s="471"/>
      <c r="E32" s="472"/>
      <c r="F32" s="473"/>
      <c r="G32" s="260"/>
      <c r="H32" s="2768"/>
      <c r="I32" s="2768"/>
      <c r="J32" s="2768"/>
      <c r="K32" s="278"/>
    </row>
    <row r="33" spans="1:11" s="2105" customFormat="1" ht="13.5" customHeight="1">
      <c r="A33" s="2984" t="s">
        <v>2831</v>
      </c>
      <c r="B33" s="2982" t="s">
        <v>2829</v>
      </c>
      <c r="C33" s="477">
        <f ca="1">C35</f>
        <v>37962</v>
      </c>
      <c r="D33" s="466">
        <f ca="1">C34</f>
        <v>0.1132</v>
      </c>
      <c r="E33" s="468" t="s">
        <v>495</v>
      </c>
      <c r="F33" s="478">
        <f ca="1">IF(B1="",'数据-取费表'!Q16,INDIRECT("'数据-取费表'!q"&amp;$K$1))</f>
        <v>0.11</v>
      </c>
      <c r="G33" s="2769"/>
      <c r="H33" s="2770"/>
      <c r="I33" s="2770"/>
      <c r="J33" s="2770"/>
      <c r="K33" s="2771"/>
    </row>
    <row r="34" spans="1:11" s="2106" customFormat="1" ht="13.5" customHeight="1">
      <c r="A34" s="374" t="s">
        <v>1855</v>
      </c>
      <c r="B34" s="2816" t="s">
        <v>501</v>
      </c>
      <c r="C34" s="471">
        <f ca="1">ROUND((1+C25)*F33,4)</f>
        <v>0.1132</v>
      </c>
      <c r="D34" s="471"/>
      <c r="E34" s="472"/>
      <c r="F34" s="479"/>
      <c r="G34" s="260" t="s">
        <v>2289</v>
      </c>
      <c r="H34" s="2768"/>
      <c r="I34" s="2768"/>
      <c r="J34" s="2768"/>
      <c r="K34" s="278"/>
    </row>
    <row r="35" spans="1:11" s="2106" customFormat="1" ht="13.5" customHeight="1" thickBot="1">
      <c r="A35" s="1619" t="s">
        <v>1856</v>
      </c>
      <c r="B35" s="2983" t="s">
        <v>2837</v>
      </c>
      <c r="C35" s="1611">
        <f ca="1">ROUND((C18+C19+C20+C23+C24)*F33,0)</f>
        <v>37962</v>
      </c>
      <c r="D35" s="1612"/>
      <c r="E35" s="2817"/>
      <c r="F35" s="1613"/>
      <c r="G35" s="2775"/>
      <c r="H35" s="2776"/>
      <c r="I35" s="2776"/>
      <c r="J35" s="2776"/>
      <c r="K35" s="2777"/>
    </row>
    <row r="36" spans="1:11" s="2068" customFormat="1" ht="13.5" customHeight="1" thickBot="1">
      <c r="A36" s="283" t="s">
        <v>1843</v>
      </c>
      <c r="B36" s="2779"/>
      <c r="C36" s="2818">
        <f ca="1">ROUND((C6-C30-C33)/(1+D30+D33),0)</f>
        <v>276441</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08" t="str">
        <f>项目基本情况!B1</f>
        <v>四川省成都市天府新区华阳街道广福社区“恒大天府半岛”居住项目七期出让国有建设用地使用权市场价格预评估</v>
      </c>
      <c r="C37" s="3208"/>
      <c r="D37" s="3208"/>
      <c r="E37" s="3208"/>
      <c r="F37" s="3208"/>
      <c r="G37" s="3208"/>
      <c r="H37" s="3208"/>
      <c r="I37" s="3208"/>
    </row>
    <row r="38" spans="1:9">
      <c r="A38" s="1639"/>
      <c r="B38" s="1639"/>
    </row>
    <row r="39" spans="1:9">
      <c r="A39" s="1637" t="s">
        <v>1900</v>
      </c>
      <c r="B39" s="1637" t="s">
        <v>2045</v>
      </c>
    </row>
    <row r="40" spans="1:9">
      <c r="A40" s="1637"/>
      <c r="B40" s="1637" t="str">
        <f>项目基本情况!B5</f>
        <v>光大兴陇有限责任公司</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土地估价师、土地估价师</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2650</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1847</v>
      </c>
      <c r="B13" s="448" t="s">
        <v>479</v>
      </c>
      <c r="C13" s="449">
        <f ca="1">IF(B1="",'数据-取费表'!M16,INDIRECT("'数据-取费表'!M"&amp;$K$1)+INDIRECT("'数据-取费表'!t"&amp;$K$1))</f>
        <v>261761</v>
      </c>
      <c r="D13" s="450"/>
      <c r="E13" s="364"/>
      <c r="F13" s="451"/>
      <c r="G13" s="443"/>
      <c r="H13" s="446"/>
      <c r="I13" s="446"/>
      <c r="J13" s="446"/>
      <c r="K13" s="447"/>
    </row>
    <row r="14" spans="1:41" s="2099" customFormat="1" ht="13.5" customHeight="1">
      <c r="A14" s="1616" t="s">
        <v>1848</v>
      </c>
      <c r="B14" s="448" t="s">
        <v>480</v>
      </c>
      <c r="C14" s="52">
        <f ca="1">ROUND(C13*F14,0)</f>
        <v>7853</v>
      </c>
      <c r="D14" s="450"/>
      <c r="E14" s="364"/>
      <c r="F14" s="452">
        <f>'数据-取费表'!B33</f>
        <v>0.03</v>
      </c>
      <c r="G14" s="443" t="s">
        <v>502</v>
      </c>
      <c r="H14" s="446"/>
      <c r="I14" s="446"/>
      <c r="J14" s="446"/>
      <c r="K14" s="447"/>
    </row>
    <row r="15" spans="1:41" s="2099" customFormat="1" ht="13.5" customHeight="1">
      <c r="A15" s="1616" t="s">
        <v>1849</v>
      </c>
      <c r="B15" s="448" t="s">
        <v>482</v>
      </c>
      <c r="C15" s="52">
        <f ca="1">ROUND(IF(B1="",SUMIF('数据-取费表'!C:C,"住宅",'数据-取费表'!M:M)*F15,IF(INDIRECT("'数据-取费表'!c"&amp;$K$1)="住宅",INDIRECT("'数据-取费表'!M"&amp;$K$1)*F15,0)),0)</f>
        <v>3745</v>
      </c>
      <c r="D15" s="450"/>
      <c r="E15" s="364"/>
      <c r="F15" s="452">
        <f>'数据-取费表'!B34</f>
        <v>0.03</v>
      </c>
      <c r="G15" s="443" t="s">
        <v>502</v>
      </c>
      <c r="H15" s="446"/>
      <c r="I15" s="446"/>
      <c r="J15" s="446"/>
      <c r="K15" s="447"/>
    </row>
    <row r="16" spans="1:41" s="2100" customFormat="1" ht="13.5" customHeight="1">
      <c r="A16" s="1616" t="s">
        <v>1850</v>
      </c>
      <c r="B16" s="448" t="s">
        <v>484</v>
      </c>
      <c r="C16" s="52">
        <f ca="1">ROUND(D16*E16/10000,0)</f>
        <v>23492</v>
      </c>
      <c r="D16" s="450">
        <f ca="1">IF(B1="",'数据-汇总表'!E3,INDIRECT("'数据-取费表'!K"&amp;$K$1)+INDIRECT("'数据-取费表'!S"&amp;$K$1))</f>
        <v>939662.47000000009</v>
      </c>
      <c r="E16" s="52">
        <f>'数据-取费表'!B35</f>
        <v>250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485</v>
      </c>
      <c r="C17" s="453">
        <f ca="1">ROUND(C13*F17,0)</f>
        <v>3926</v>
      </c>
      <c r="D17" s="454"/>
      <c r="E17" s="453"/>
      <c r="F17" s="455">
        <f>'数据-取费表'!B36</f>
        <v>1.4999999999999999E-2</v>
      </c>
      <c r="G17" s="443" t="s">
        <v>502</v>
      </c>
      <c r="H17" s="456"/>
      <c r="I17" s="456"/>
      <c r="J17" s="456"/>
      <c r="K17" s="457"/>
    </row>
    <row r="18" spans="1:14" s="2102" customFormat="1" ht="13.5" customHeight="1">
      <c r="A18" s="1617" t="s">
        <v>1852</v>
      </c>
      <c r="B18" s="458" t="s">
        <v>487</v>
      </c>
      <c r="C18" s="459">
        <f ca="1">SUM(C13:C17)</f>
        <v>300777</v>
      </c>
      <c r="D18" s="460"/>
      <c r="E18" s="461"/>
      <c r="F18" s="461"/>
      <c r="G18" s="1320" t="s">
        <v>2431</v>
      </c>
      <c r="H18" s="446"/>
      <c r="I18" s="446"/>
      <c r="J18" s="446"/>
      <c r="K18" s="447"/>
    </row>
    <row r="19" spans="1:14" s="2102" customFormat="1" ht="13.5" customHeight="1">
      <c r="A19" s="1617" t="s">
        <v>1853</v>
      </c>
      <c r="B19" s="458" t="s">
        <v>493</v>
      </c>
      <c r="C19" s="459">
        <f ca="1">ROUND(C18*F19,0)</f>
        <v>6016</v>
      </c>
      <c r="D19" s="461"/>
      <c r="E19" s="461"/>
      <c r="F19" s="465">
        <f>'数据-取费表'!B37</f>
        <v>0.02</v>
      </c>
      <c r="G19" s="443" t="s">
        <v>503</v>
      </c>
      <c r="H19" s="446"/>
      <c r="I19" s="446"/>
      <c r="J19" s="446"/>
      <c r="K19" s="447"/>
      <c r="L19" s="2104"/>
      <c r="M19" s="2104"/>
      <c r="N19" s="2104"/>
    </row>
    <row r="20" spans="1:14" s="2102" customFormat="1" ht="13.5" customHeight="1">
      <c r="A20" s="1617" t="s">
        <v>1854</v>
      </c>
      <c r="B20" s="458" t="s">
        <v>504</v>
      </c>
      <c r="C20" s="2980">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1857</v>
      </c>
      <c r="B21" s="460" t="s">
        <v>494</v>
      </c>
      <c r="C21" s="469">
        <f ca="1">C22</f>
        <v>37740</v>
      </c>
      <c r="D21" s="466">
        <f ca="1">C23</f>
        <v>2.5000000000000001E-3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2453</v>
      </c>
    </row>
    <row r="22" spans="1:14" s="2103" customFormat="1" ht="13.5" customHeight="1">
      <c r="A22" s="1616" t="s">
        <v>1847</v>
      </c>
      <c r="B22" s="1321" t="s">
        <v>2434</v>
      </c>
      <c r="C22" s="486">
        <f ca="1">ROUND(IF('数据-取费表'!B22&lt;=1,(C18+C19)*F21*'数据-取费表'!B20/2,(C18+C19)*(POWER((1+F21),'数据-取费表'!B20/2)-1)),0)</f>
        <v>37740</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1848</v>
      </c>
      <c r="B23" s="1321" t="s">
        <v>508</v>
      </c>
      <c r="C23" s="487">
        <f ca="1">ROUND(IF('数据-取费表'!B22&lt;=1,F20*F21*'数据-取费表'!B20/2,F20*(POWER((1+F21),'数据-取费表'!B20/2)-1)),4)</f>
        <v>2.5000000000000001E-3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2" t="s">
        <v>2830</v>
      </c>
      <c r="C24" s="477">
        <f ca="1">C25</f>
        <v>33747</v>
      </c>
      <c r="D24" s="488">
        <f ca="1">C26</f>
        <v>2.2000000000000001E-3</v>
      </c>
      <c r="E24" s="468" t="s">
        <v>507</v>
      </c>
      <c r="F24" s="478">
        <f ca="1">IF(B1="",'数据-取费表'!Q16,INDIRECT("'数据-取费表'!q"&amp;$K$1))</f>
        <v>0.11</v>
      </c>
      <c r="G24" s="443"/>
      <c r="H24" s="446"/>
      <c r="I24" s="446"/>
      <c r="J24" s="446"/>
      <c r="K24" s="447"/>
    </row>
    <row r="25" spans="1:14" s="2103" customFormat="1" ht="13.5" customHeight="1">
      <c r="A25" s="1616" t="s">
        <v>1847</v>
      </c>
      <c r="B25" s="1321" t="s">
        <v>2435</v>
      </c>
      <c r="C25" s="489">
        <f ca="1">ROUND((C18+C19)*F24,0)</f>
        <v>33747</v>
      </c>
      <c r="D25" s="471"/>
      <c r="E25" s="472"/>
      <c r="F25" s="479"/>
      <c r="G25" s="1319" t="s">
        <v>2432</v>
      </c>
      <c r="H25" s="456"/>
      <c r="I25" s="456"/>
      <c r="J25" s="456"/>
      <c r="K25" s="457"/>
    </row>
    <row r="26" spans="1:14" s="2103" customFormat="1" ht="13.5" customHeight="1">
      <c r="A26" s="1616" t="s">
        <v>1848</v>
      </c>
      <c r="B26" s="1321" t="s">
        <v>509</v>
      </c>
      <c r="C26" s="490">
        <f ca="1">ROUND(F20*F24,4)</f>
        <v>2.2000000000000001E-3</v>
      </c>
      <c r="D26" s="471"/>
      <c r="E26" s="480"/>
      <c r="F26" s="479"/>
      <c r="G26" s="1319" t="s">
        <v>510</v>
      </c>
      <c r="H26" s="456"/>
      <c r="I26" s="456"/>
      <c r="J26" s="456"/>
      <c r="K26" s="457"/>
    </row>
    <row r="27" spans="1:14" s="2103" customFormat="1" ht="13.5" customHeight="1">
      <c r="A27" s="1620" t="s">
        <v>1866</v>
      </c>
      <c r="B27" s="458" t="s">
        <v>511</v>
      </c>
      <c r="C27" s="2981">
        <f>ROUND(F27/(1+'数据-取费表'!C42),4)</f>
        <v>5.33E-2</v>
      </c>
      <c r="D27" s="461" t="s">
        <v>2828</v>
      </c>
      <c r="E27" s="461"/>
      <c r="F27" s="465">
        <f>'数据-取费表'!B41</f>
        <v>5.6000000000000001E-2</v>
      </c>
      <c r="G27" s="1943" t="s">
        <v>2290</v>
      </c>
      <c r="H27" s="446"/>
      <c r="I27" s="446"/>
      <c r="J27" s="446"/>
      <c r="K27" s="447"/>
    </row>
    <row r="28" spans="1:14" s="2104" customFormat="1" ht="13.5" customHeight="1">
      <c r="A28" s="1620" t="s">
        <v>1867</v>
      </c>
      <c r="B28" s="475" t="s">
        <v>512</v>
      </c>
      <c r="C28" s="469">
        <f ca="1">ROUND((C18+C19+C21+C24)/(1-C20-D21-D24-C27),0)</f>
        <v>410282</v>
      </c>
      <c r="D28" s="476"/>
      <c r="E28" s="468"/>
      <c r="F28" s="470"/>
      <c r="G28" s="1320" t="s">
        <v>2433</v>
      </c>
      <c r="H28" s="446"/>
      <c r="I28" s="446"/>
      <c r="J28" s="446"/>
      <c r="K28" s="447"/>
    </row>
    <row r="29" spans="1:14" s="2104" customFormat="1" ht="13.5" customHeight="1">
      <c r="A29" s="1620" t="s">
        <v>1868</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4" t="s">
        <v>1864</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5"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395" t="s">
        <v>522</v>
      </c>
      <c r="D6" s="3397"/>
      <c r="E6" s="3422" t="s">
        <v>523</v>
      </c>
      <c r="F6" s="3396"/>
      <c r="G6" s="3395" t="s">
        <v>524</v>
      </c>
      <c r="H6" s="3397"/>
      <c r="I6" s="3395" t="s">
        <v>525</v>
      </c>
      <c r="J6" s="3397"/>
      <c r="K6" s="513" t="s">
        <v>526</v>
      </c>
      <c r="L6" s="2116"/>
      <c r="M6" s="2117"/>
      <c r="N6" s="2117"/>
      <c r="O6" s="2117"/>
      <c r="P6" s="3398" t="s">
        <v>527</v>
      </c>
      <c r="Q6" s="3399"/>
      <c r="R6" s="3383" t="s">
        <v>523</v>
      </c>
      <c r="S6" s="3384"/>
      <c r="T6" s="3383" t="s">
        <v>524</v>
      </c>
      <c r="U6" s="3384"/>
      <c r="V6" s="3404" t="s">
        <v>525</v>
      </c>
      <c r="W6" s="3404"/>
      <c r="X6" s="1551"/>
      <c r="Y6" s="3383" t="s">
        <v>527</v>
      </c>
      <c r="Z6" s="3384"/>
      <c r="AA6" s="3378" t="s">
        <v>523</v>
      </c>
      <c r="AB6" s="3379" t="s">
        <v>524</v>
      </c>
      <c r="AC6" s="3378" t="s">
        <v>525</v>
      </c>
    </row>
    <row r="7" spans="1:29" ht="15">
      <c r="A7" s="514"/>
      <c r="B7" s="515"/>
      <c r="C7" s="3407" t="s">
        <v>2929</v>
      </c>
      <c r="D7" s="3408"/>
      <c r="E7" s="3423" t="s">
        <v>2930</v>
      </c>
      <c r="F7" s="3409"/>
      <c r="G7" s="3407" t="s">
        <v>2931</v>
      </c>
      <c r="H7" s="3408"/>
      <c r="I7" s="3407" t="s">
        <v>2932</v>
      </c>
      <c r="J7" s="3408"/>
      <c r="K7" s="513"/>
      <c r="L7" s="2116"/>
      <c r="M7" s="2117"/>
      <c r="N7" s="2117"/>
      <c r="O7" s="2117"/>
      <c r="P7" s="3400"/>
      <c r="Q7" s="3401"/>
      <c r="R7" s="3385"/>
      <c r="S7" s="3386"/>
      <c r="T7" s="3385"/>
      <c r="U7" s="3386"/>
      <c r="V7" s="3404"/>
      <c r="W7" s="3404"/>
      <c r="X7" s="1551"/>
      <c r="Y7" s="3385"/>
      <c r="Z7" s="3386"/>
      <c r="AA7" s="3379"/>
      <c r="AB7" s="3379"/>
      <c r="AC7" s="3379"/>
    </row>
    <row r="8" spans="1:29" ht="15.75" thickBot="1">
      <c r="A8" s="516"/>
      <c r="B8" s="517"/>
      <c r="C8" s="3405" t="s">
        <v>2933</v>
      </c>
      <c r="D8" s="3406"/>
      <c r="E8" s="3424" t="s">
        <v>2933</v>
      </c>
      <c r="F8" s="3425"/>
      <c r="G8" s="3405" t="s">
        <v>2933</v>
      </c>
      <c r="H8" s="3406"/>
      <c r="I8" s="3405" t="s">
        <v>2933</v>
      </c>
      <c r="J8" s="3406"/>
      <c r="K8" s="513" t="s">
        <v>528</v>
      </c>
      <c r="L8" s="2116"/>
      <c r="M8" s="2117"/>
      <c r="N8" s="2117"/>
      <c r="O8" s="2117"/>
      <c r="P8" s="3402"/>
      <c r="Q8" s="3403"/>
      <c r="R8" s="3385"/>
      <c r="S8" s="3386"/>
      <c r="T8" s="3387"/>
      <c r="U8" s="3388"/>
      <c r="V8" s="3404"/>
      <c r="W8" s="3404"/>
      <c r="X8" s="1551"/>
      <c r="Y8" s="3387"/>
      <c r="Z8" s="3388"/>
      <c r="AA8" s="3380"/>
      <c r="AB8" s="3380"/>
      <c r="AC8" s="3380"/>
    </row>
    <row r="9" spans="1:29" s="1213" customFormat="1" ht="15.75" thickBot="1">
      <c r="A9" s="2865"/>
      <c r="B9" s="2872" t="s">
        <v>529</v>
      </c>
      <c r="C9" s="518">
        <f>'数据-取费表'!B2</f>
        <v>43630</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81" t="s">
        <v>530</v>
      </c>
      <c r="Q9" s="3390"/>
      <c r="R9" s="1552" t="s">
        <v>8</v>
      </c>
      <c r="S9" s="1553">
        <f t="shared" ref="S9:S17" si="0">F9</f>
        <v>0</v>
      </c>
      <c r="T9" s="1552" t="s">
        <v>8</v>
      </c>
      <c r="U9" s="1553">
        <f t="shared" ref="U9:U17" si="1">H9</f>
        <v>0</v>
      </c>
      <c r="V9" s="1552" t="s">
        <v>8</v>
      </c>
      <c r="W9" s="1553">
        <f t="shared" ref="W9:W17" si="2">J9</f>
        <v>0</v>
      </c>
      <c r="X9" s="1554"/>
      <c r="Y9" s="3381" t="s">
        <v>530</v>
      </c>
      <c r="Z9" s="3382"/>
      <c r="AA9" s="1555" t="e">
        <f>D9/F9</f>
        <v>#DIV/0!</v>
      </c>
      <c r="AB9" s="1555" t="e">
        <f>D9/H9</f>
        <v>#DIV/0!</v>
      </c>
      <c r="AC9" s="1555" t="e">
        <f>D9/J9</f>
        <v>#DIV/0!</v>
      </c>
    </row>
    <row r="10" spans="1:29" s="1213"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81" t="s">
        <v>533</v>
      </c>
      <c r="Q10" s="3382"/>
      <c r="R10" s="1552" t="s">
        <v>8</v>
      </c>
      <c r="S10" s="1553">
        <f t="shared" si="0"/>
        <v>0</v>
      </c>
      <c r="T10" s="1552" t="s">
        <v>8</v>
      </c>
      <c r="U10" s="1553">
        <f t="shared" si="1"/>
        <v>0</v>
      </c>
      <c r="V10" s="1552" t="s">
        <v>8</v>
      </c>
      <c r="W10" s="1553">
        <f t="shared" si="2"/>
        <v>0</v>
      </c>
      <c r="X10" s="1554"/>
      <c r="Y10" s="3381" t="s">
        <v>533</v>
      </c>
      <c r="Z10" s="3382"/>
      <c r="AA10" s="1555" t="e">
        <f t="shared" ref="AA10:AA42" si="3">D10/F10</f>
        <v>#DIV/0!</v>
      </c>
      <c r="AB10" s="1555" t="e">
        <f t="shared" ref="AB10:AB42" si="4">D10/H10</f>
        <v>#DIV/0!</v>
      </c>
      <c r="AC10" s="1555" t="e">
        <f t="shared" ref="AC10:AC42" si="5">D10/J10</f>
        <v>#DIV/0!</v>
      </c>
    </row>
    <row r="11" spans="1:29" s="1213" customFormat="1" ht="15">
      <c r="A11" s="2867"/>
      <c r="B11" s="2874" t="s">
        <v>2754</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89" t="s">
        <v>535</v>
      </c>
      <c r="Q11" s="1144" t="str">
        <f t="shared" ref="Q11:Q17" si="6">B11</f>
        <v>用途</v>
      </c>
      <c r="R11" s="1552" t="s">
        <v>8</v>
      </c>
      <c r="S11" s="1553">
        <f t="shared" si="0"/>
        <v>100</v>
      </c>
      <c r="T11" s="1552" t="s">
        <v>8</v>
      </c>
      <c r="U11" s="1553">
        <f t="shared" si="1"/>
        <v>100</v>
      </c>
      <c r="V11" s="1552" t="s">
        <v>8</v>
      </c>
      <c r="W11" s="1553">
        <f t="shared" si="2"/>
        <v>100</v>
      </c>
      <c r="X11" s="1554"/>
      <c r="Y11" s="3346" t="s">
        <v>536</v>
      </c>
      <c r="Z11" s="1143" t="str">
        <f t="shared" ref="Z11:Z17" si="7">Q11</f>
        <v>用途</v>
      </c>
      <c r="AA11" s="1555">
        <f t="shared" si="3"/>
        <v>1</v>
      </c>
      <c r="AB11" s="1555">
        <f t="shared" si="4"/>
        <v>1</v>
      </c>
      <c r="AC11" s="1555">
        <f t="shared" si="5"/>
        <v>1</v>
      </c>
    </row>
    <row r="12" spans="1:29" s="1331" customFormat="1" ht="27">
      <c r="A12" s="2868"/>
      <c r="B12" s="2873" t="s">
        <v>2755</v>
      </c>
      <c r="C12" s="527"/>
      <c r="D12" s="254">
        <v>100</v>
      </c>
      <c r="E12" s="527"/>
      <c r="F12" s="254">
        <f>ROUND(100/'数据-取费表'!G16,0)</f>
        <v>111</v>
      </c>
      <c r="G12" s="527"/>
      <c r="H12" s="254">
        <f>ROUND(100/'数据-取费表'!G16,0)</f>
        <v>111</v>
      </c>
      <c r="I12" s="527"/>
      <c r="J12" s="254">
        <f>ROUND(100/'数据-取费表'!G16,0)</f>
        <v>111</v>
      </c>
      <c r="K12" s="530"/>
      <c r="L12" s="2121"/>
      <c r="M12" s="2161"/>
      <c r="N12" s="2161"/>
      <c r="O12" s="2122"/>
      <c r="P12" s="3389"/>
      <c r="Q12" s="1144" t="str">
        <f t="shared" si="6"/>
        <v>土地使用年限（年）</v>
      </c>
      <c r="R12" s="1552" t="s">
        <v>8</v>
      </c>
      <c r="S12" s="1553">
        <f t="shared" si="0"/>
        <v>111</v>
      </c>
      <c r="T12" s="1552" t="s">
        <v>8</v>
      </c>
      <c r="U12" s="1553">
        <f t="shared" si="1"/>
        <v>111</v>
      </c>
      <c r="V12" s="1552" t="s">
        <v>8</v>
      </c>
      <c r="W12" s="1553">
        <f t="shared" si="2"/>
        <v>111</v>
      </c>
      <c r="X12" s="1554"/>
      <c r="Y12" s="3346"/>
      <c r="Z12" s="1143" t="str">
        <f t="shared" si="7"/>
        <v>土地使用年限（年）</v>
      </c>
      <c r="AA12" s="1555">
        <f t="shared" si="3"/>
        <v>0.90090090090090091</v>
      </c>
      <c r="AB12" s="1555">
        <f t="shared" si="4"/>
        <v>0.90090090090090091</v>
      </c>
      <c r="AC12" s="1555">
        <f t="shared" si="5"/>
        <v>0.90090090090090091</v>
      </c>
    </row>
    <row r="13" spans="1:29" ht="15">
      <c r="A13" s="2869"/>
      <c r="B13" s="287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89"/>
      <c r="Q13" s="1144" t="str">
        <f t="shared" si="6"/>
        <v>容积率</v>
      </c>
      <c r="R13" s="1552" t="s">
        <v>8</v>
      </c>
      <c r="S13" s="1553" t="e">
        <f t="shared" si="0"/>
        <v>#N/A</v>
      </c>
      <c r="T13" s="1552" t="s">
        <v>8</v>
      </c>
      <c r="U13" s="1553" t="e">
        <f t="shared" si="1"/>
        <v>#N/A</v>
      </c>
      <c r="V13" s="1552" t="s">
        <v>8</v>
      </c>
      <c r="W13" s="1553" t="e">
        <f t="shared" si="2"/>
        <v>#N/A</v>
      </c>
      <c r="X13" s="1554"/>
      <c r="Y13" s="3346"/>
      <c r="Z13" s="1143" t="str">
        <f t="shared" si="7"/>
        <v>容积率</v>
      </c>
      <c r="AA13" s="1555" t="e">
        <f t="shared" si="3"/>
        <v>#N/A</v>
      </c>
      <c r="AB13" s="1555" t="e">
        <f t="shared" si="4"/>
        <v>#N/A</v>
      </c>
      <c r="AC13" s="1555" t="e">
        <f t="shared" si="5"/>
        <v>#N/A</v>
      </c>
    </row>
    <row r="14" spans="1:29" s="1213"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89"/>
      <c r="Q14" s="1144">
        <f t="shared" si="6"/>
        <v>111</v>
      </c>
      <c r="R14" s="1552" t="s">
        <v>8</v>
      </c>
      <c r="S14" s="1553">
        <f t="shared" si="0"/>
        <v>100</v>
      </c>
      <c r="T14" s="1552" t="s">
        <v>8</v>
      </c>
      <c r="U14" s="1553">
        <f t="shared" si="1"/>
        <v>100</v>
      </c>
      <c r="V14" s="1552" t="s">
        <v>8</v>
      </c>
      <c r="W14" s="1553">
        <f t="shared" si="2"/>
        <v>100</v>
      </c>
      <c r="X14" s="1554"/>
      <c r="Y14" s="3346"/>
      <c r="Z14" s="1143">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89"/>
      <c r="Q15" s="1144">
        <f t="shared" si="6"/>
        <v>111</v>
      </c>
      <c r="R15" s="1552" t="s">
        <v>8</v>
      </c>
      <c r="S15" s="1553">
        <f t="shared" si="0"/>
        <v>100</v>
      </c>
      <c r="T15" s="1552" t="s">
        <v>8</v>
      </c>
      <c r="U15" s="1553">
        <f t="shared" si="1"/>
        <v>100</v>
      </c>
      <c r="V15" s="1552" t="s">
        <v>8</v>
      </c>
      <c r="W15" s="1553">
        <f t="shared" si="2"/>
        <v>100</v>
      </c>
      <c r="X15" s="1554"/>
      <c r="Y15" s="3346"/>
      <c r="Z15" s="1143">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89"/>
      <c r="Q16" s="1144">
        <f t="shared" si="6"/>
        <v>111</v>
      </c>
      <c r="R16" s="1552" t="s">
        <v>8</v>
      </c>
      <c r="S16" s="1553">
        <f t="shared" si="0"/>
        <v>100</v>
      </c>
      <c r="T16" s="1552" t="s">
        <v>8</v>
      </c>
      <c r="U16" s="1553">
        <f t="shared" si="1"/>
        <v>100</v>
      </c>
      <c r="V16" s="1552" t="s">
        <v>8</v>
      </c>
      <c r="W16" s="1553">
        <f t="shared" si="2"/>
        <v>100</v>
      </c>
      <c r="X16" s="1554"/>
      <c r="Y16" s="3346"/>
      <c r="Z16" s="1143">
        <f t="shared" si="7"/>
        <v>111</v>
      </c>
      <c r="AA16" s="1555">
        <f t="shared" si="3"/>
        <v>1</v>
      </c>
      <c r="AB16" s="1555">
        <f t="shared" si="4"/>
        <v>1</v>
      </c>
      <c r="AC16" s="1555">
        <f t="shared" si="5"/>
        <v>1</v>
      </c>
    </row>
    <row r="17" spans="1:29" ht="57">
      <c r="A17" s="2863" t="s">
        <v>2752</v>
      </c>
      <c r="B17" s="165" t="s">
        <v>598</v>
      </c>
      <c r="C17" s="918"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391" t="s">
        <v>540</v>
      </c>
      <c r="Q17" s="1556" t="str">
        <f t="shared" si="6"/>
        <v>产业集聚程度</v>
      </c>
      <c r="R17" s="1557" t="s">
        <v>8</v>
      </c>
      <c r="S17" s="1558">
        <f t="shared" si="0"/>
        <v>100</v>
      </c>
      <c r="T17" s="1557" t="s">
        <v>8</v>
      </c>
      <c r="U17" s="1558">
        <f t="shared" si="1"/>
        <v>100</v>
      </c>
      <c r="V17" s="1557" t="s">
        <v>8</v>
      </c>
      <c r="W17" s="1558">
        <f t="shared" si="2"/>
        <v>100</v>
      </c>
      <c r="X17" s="1551"/>
      <c r="Y17" s="3391" t="s">
        <v>540</v>
      </c>
      <c r="Z17" s="1559" t="str">
        <f t="shared" si="7"/>
        <v>产业集聚程度</v>
      </c>
      <c r="AA17" s="1560">
        <f t="shared" si="3"/>
        <v>1</v>
      </c>
      <c r="AB17" s="1560">
        <f t="shared" si="4"/>
        <v>1</v>
      </c>
      <c r="AC17" s="1560">
        <f t="shared" si="5"/>
        <v>1</v>
      </c>
    </row>
    <row r="18" spans="1:29" ht="15">
      <c r="A18" s="531"/>
      <c r="B18" s="867"/>
      <c r="C18" s="575"/>
      <c r="D18" s="554"/>
      <c r="E18" s="553"/>
      <c r="F18" s="554"/>
      <c r="G18" s="553"/>
      <c r="H18" s="558"/>
      <c r="I18" s="553"/>
      <c r="J18" s="554"/>
      <c r="K18" s="530"/>
      <c r="L18" s="2125"/>
      <c r="M18" s="2117"/>
      <c r="N18" s="2117"/>
      <c r="O18" s="2124"/>
      <c r="P18" s="3392"/>
      <c r="Q18" s="1556"/>
      <c r="R18" s="1557"/>
      <c r="S18" s="1558"/>
      <c r="T18" s="1557"/>
      <c r="U18" s="1558"/>
      <c r="V18" s="1557"/>
      <c r="W18" s="1558"/>
      <c r="X18" s="1551"/>
      <c r="Y18" s="3392"/>
      <c r="Z18" s="1559"/>
      <c r="AA18" s="1560">
        <v>1</v>
      </c>
      <c r="AB18" s="1560">
        <v>1</v>
      </c>
      <c r="AC18" s="1560">
        <v>1</v>
      </c>
    </row>
    <row r="19" spans="1:29" ht="85.5">
      <c r="A19" s="531"/>
      <c r="B19" s="869" t="s">
        <v>543</v>
      </c>
      <c r="C19" s="870"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392"/>
      <c r="Q19" s="1556" t="str">
        <f>B19</f>
        <v>交通便捷度</v>
      </c>
      <c r="R19" s="1557" t="s">
        <v>8</v>
      </c>
      <c r="S19" s="1558">
        <f>F19</f>
        <v>100</v>
      </c>
      <c r="T19" s="1557" t="s">
        <v>8</v>
      </c>
      <c r="U19" s="1558">
        <f>H19</f>
        <v>100</v>
      </c>
      <c r="V19" s="1557" t="s">
        <v>8</v>
      </c>
      <c r="W19" s="1558">
        <f>J19</f>
        <v>100</v>
      </c>
      <c r="X19" s="1551"/>
      <c r="Y19" s="3392"/>
      <c r="Z19" s="1559" t="str">
        <f>Q19</f>
        <v>交通便捷度</v>
      </c>
      <c r="AA19" s="1560">
        <f t="shared" si="3"/>
        <v>1</v>
      </c>
      <c r="AB19" s="1560">
        <f t="shared" si="4"/>
        <v>1</v>
      </c>
      <c r="AC19" s="1560">
        <f t="shared" si="5"/>
        <v>1</v>
      </c>
    </row>
    <row r="20" spans="1:29" ht="15">
      <c r="A20" s="531"/>
      <c r="B20" s="919"/>
      <c r="C20" s="575"/>
      <c r="D20" s="554"/>
      <c r="E20" s="555"/>
      <c r="F20" s="554"/>
      <c r="G20" s="555"/>
      <c r="H20" s="554"/>
      <c r="I20" s="557"/>
      <c r="J20" s="554"/>
      <c r="K20" s="530"/>
      <c r="L20" s="2125"/>
      <c r="M20" s="2117"/>
      <c r="N20" s="2117"/>
      <c r="O20" s="2124"/>
      <c r="P20" s="3392"/>
      <c r="Q20" s="1556"/>
      <c r="R20" s="1557"/>
      <c r="S20" s="1558"/>
      <c r="T20" s="1557"/>
      <c r="U20" s="1558"/>
      <c r="V20" s="1557"/>
      <c r="W20" s="1558"/>
      <c r="X20" s="1551"/>
      <c r="Y20" s="3392"/>
      <c r="Z20" s="1559"/>
      <c r="AA20" s="1560">
        <v>1</v>
      </c>
      <c r="AB20" s="1560">
        <v>1</v>
      </c>
      <c r="AC20" s="1560">
        <v>1</v>
      </c>
    </row>
    <row r="21" spans="1:29" ht="27">
      <c r="A21" s="514"/>
      <c r="B21" s="869" t="s">
        <v>544</v>
      </c>
      <c r="C21" s="870">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392"/>
      <c r="Q21" s="1556" t="str">
        <f t="shared" ref="Q21:Q35" si="8">B21</f>
        <v>区域土地利用方向</v>
      </c>
      <c r="R21" s="1557" t="s">
        <v>8</v>
      </c>
      <c r="S21" s="1558">
        <f>F21</f>
        <v>100</v>
      </c>
      <c r="T21" s="1557" t="s">
        <v>8</v>
      </c>
      <c r="U21" s="1558">
        <f>H21</f>
        <v>100</v>
      </c>
      <c r="V21" s="1557" t="s">
        <v>8</v>
      </c>
      <c r="W21" s="1558">
        <f>J21</f>
        <v>100</v>
      </c>
      <c r="X21" s="1551"/>
      <c r="Y21" s="3392"/>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392"/>
      <c r="Q22" s="1556"/>
      <c r="R22" s="1557"/>
      <c r="S22" s="1558"/>
      <c r="T22" s="1557"/>
      <c r="U22" s="1558"/>
      <c r="V22" s="1557"/>
      <c r="W22" s="1558"/>
      <c r="X22" s="1551"/>
      <c r="Y22" s="3392"/>
      <c r="Z22" s="1559"/>
      <c r="AA22" s="1560"/>
      <c r="AB22" s="1560"/>
      <c r="AC22" s="1560"/>
    </row>
    <row r="23" spans="1:29" ht="71.25">
      <c r="A23" s="514"/>
      <c r="B23" s="919" t="s">
        <v>599</v>
      </c>
      <c r="C23" s="870"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392"/>
      <c r="Q23" s="1556" t="str">
        <f t="shared" si="8"/>
        <v>环境状况</v>
      </c>
      <c r="R23" s="1557" t="s">
        <v>8</v>
      </c>
      <c r="S23" s="1558">
        <f>F23</f>
        <v>100</v>
      </c>
      <c r="T23" s="1557" t="s">
        <v>8</v>
      </c>
      <c r="U23" s="1558">
        <f>H23</f>
        <v>100</v>
      </c>
      <c r="V23" s="1557" t="s">
        <v>8</v>
      </c>
      <c r="W23" s="1558">
        <f>J23</f>
        <v>100</v>
      </c>
      <c r="X23" s="1551"/>
      <c r="Y23" s="3392"/>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392"/>
      <c r="Q24" s="1556"/>
      <c r="R24" s="1557"/>
      <c r="S24" s="1558"/>
      <c r="T24" s="1557"/>
      <c r="U24" s="1558"/>
      <c r="V24" s="1557"/>
      <c r="W24" s="1558"/>
      <c r="X24" s="1551"/>
      <c r="Y24" s="3392"/>
      <c r="Z24" s="1559"/>
      <c r="AA24" s="1560">
        <v>1</v>
      </c>
      <c r="AB24" s="1560">
        <v>1</v>
      </c>
      <c r="AC24" s="1560">
        <v>1</v>
      </c>
    </row>
    <row r="25" spans="1:29" s="1213" customFormat="1" ht="42.75">
      <c r="A25" s="576"/>
      <c r="B25" s="2555" t="s">
        <v>2547</v>
      </c>
      <c r="C25" s="870"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392"/>
      <c r="Q25" s="1144" t="str">
        <f t="shared" si="8"/>
        <v>公共配套设施</v>
      </c>
      <c r="R25" s="1552" t="s">
        <v>8</v>
      </c>
      <c r="S25" s="1553">
        <f>F25</f>
        <v>100</v>
      </c>
      <c r="T25" s="1552" t="s">
        <v>8</v>
      </c>
      <c r="U25" s="1553">
        <f>H25</f>
        <v>100</v>
      </c>
      <c r="V25" s="1552" t="s">
        <v>8</v>
      </c>
      <c r="W25" s="1553">
        <f>J25</f>
        <v>100</v>
      </c>
      <c r="X25" s="1554"/>
      <c r="Y25" s="3392"/>
      <c r="Z25" s="1143" t="str">
        <f>Q25</f>
        <v>公共配套设施</v>
      </c>
      <c r="AA25" s="1560">
        <f>D25/F25</f>
        <v>1</v>
      </c>
      <c r="AB25" s="1560">
        <f>D25/H25</f>
        <v>1</v>
      </c>
      <c r="AC25" s="1560">
        <f>D25/J25</f>
        <v>1</v>
      </c>
    </row>
    <row r="26" spans="1:29" s="1213" customFormat="1" ht="15">
      <c r="A26" s="576"/>
      <c r="B26" s="594"/>
      <c r="C26" s="2554"/>
      <c r="D26" s="554"/>
      <c r="E26" s="553"/>
      <c r="F26" s="554"/>
      <c r="G26" s="553"/>
      <c r="H26" s="554"/>
      <c r="I26" s="575"/>
      <c r="J26" s="554"/>
      <c r="K26" s="530"/>
      <c r="L26" s="2118"/>
      <c r="M26" s="2119"/>
      <c r="N26" s="2119"/>
      <c r="O26" s="2120"/>
      <c r="P26" s="3392"/>
      <c r="Q26" s="1144"/>
      <c r="R26" s="1552"/>
      <c r="S26" s="1553"/>
      <c r="T26" s="1552"/>
      <c r="U26" s="1553"/>
      <c r="V26" s="1552"/>
      <c r="W26" s="1553"/>
      <c r="X26" s="1554"/>
      <c r="Y26" s="3392"/>
      <c r="Z26" s="1143"/>
      <c r="AA26" s="1555">
        <v>1</v>
      </c>
      <c r="AB26" s="1555">
        <v>1</v>
      </c>
      <c r="AC26" s="1555">
        <v>1</v>
      </c>
    </row>
    <row r="27" spans="1:29" s="1213" customFormat="1" ht="28.5">
      <c r="A27" s="576"/>
      <c r="B27" s="2555" t="s">
        <v>2548</v>
      </c>
      <c r="C27" s="870"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392"/>
      <c r="Q27" s="2540" t="str">
        <f t="shared" ref="Q27" si="9">B27</f>
        <v>基础设施水平</v>
      </c>
      <c r="R27" s="1552" t="s">
        <v>8</v>
      </c>
      <c r="S27" s="1553">
        <f>F27</f>
        <v>100</v>
      </c>
      <c r="T27" s="1552" t="s">
        <v>8</v>
      </c>
      <c r="U27" s="1553">
        <f>H27</f>
        <v>100</v>
      </c>
      <c r="V27" s="1552" t="s">
        <v>8</v>
      </c>
      <c r="W27" s="1553">
        <f>J27</f>
        <v>100</v>
      </c>
      <c r="X27" s="1554"/>
      <c r="Y27" s="3392"/>
      <c r="Z27" s="2537" t="str">
        <f>Q27</f>
        <v>基础设施水平</v>
      </c>
      <c r="AA27" s="1560">
        <f>D27/F27</f>
        <v>1</v>
      </c>
      <c r="AB27" s="1560">
        <f>D27/H27</f>
        <v>1</v>
      </c>
      <c r="AC27" s="1560">
        <f>D27/J27</f>
        <v>1</v>
      </c>
    </row>
    <row r="28" spans="1:29" s="1213" customFormat="1" ht="15">
      <c r="A28" s="576"/>
      <c r="B28" s="594"/>
      <c r="C28" s="2554"/>
      <c r="D28" s="554"/>
      <c r="E28" s="578"/>
      <c r="F28" s="554"/>
      <c r="G28" s="578"/>
      <c r="H28" s="554"/>
      <c r="I28" s="578"/>
      <c r="J28" s="554"/>
      <c r="K28" s="530"/>
      <c r="L28" s="2118"/>
      <c r="M28" s="2119"/>
      <c r="N28" s="2119"/>
      <c r="O28" s="2120"/>
      <c r="P28" s="3392"/>
      <c r="Q28" s="2540"/>
      <c r="R28" s="1552"/>
      <c r="S28" s="1553"/>
      <c r="T28" s="1552"/>
      <c r="U28" s="1553"/>
      <c r="V28" s="1552"/>
      <c r="W28" s="1553"/>
      <c r="X28" s="1554"/>
      <c r="Y28" s="3392"/>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392"/>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92"/>
      <c r="Z29" s="1559" t="str">
        <f t="shared" ref="Z29:Z42" si="13">Q29</f>
        <v>临街状况</v>
      </c>
      <c r="AA29" s="1560">
        <f t="shared" si="3"/>
        <v>1</v>
      </c>
      <c r="AB29" s="1560">
        <f t="shared" si="4"/>
        <v>1</v>
      </c>
      <c r="AC29" s="1560">
        <f t="shared" si="5"/>
        <v>1</v>
      </c>
    </row>
    <row r="30" spans="1:29" ht="27">
      <c r="A30" s="531"/>
      <c r="B30" s="919"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392"/>
      <c r="Q30" s="1556" t="str">
        <f t="shared" si="8"/>
        <v>毗邻道路的类型与等级</v>
      </c>
      <c r="R30" s="1557" t="s">
        <v>8</v>
      </c>
      <c r="S30" s="1558">
        <f t="shared" si="10"/>
        <v>100</v>
      </c>
      <c r="T30" s="1557" t="s">
        <v>8</v>
      </c>
      <c r="U30" s="1558">
        <f t="shared" si="11"/>
        <v>100</v>
      </c>
      <c r="V30" s="1557" t="s">
        <v>8</v>
      </c>
      <c r="W30" s="1558">
        <f t="shared" si="12"/>
        <v>100</v>
      </c>
      <c r="X30" s="1551"/>
      <c r="Y30" s="3392"/>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392"/>
      <c r="Q31" s="1556"/>
      <c r="R31" s="1557"/>
      <c r="S31" s="1558"/>
      <c r="T31" s="1557"/>
      <c r="U31" s="1558"/>
      <c r="V31" s="1557"/>
      <c r="W31" s="1558"/>
      <c r="X31" s="1551"/>
      <c r="Y31" s="3392"/>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392"/>
      <c r="Q32" s="1556" t="str">
        <f t="shared" si="8"/>
        <v>土地级别</v>
      </c>
      <c r="R32" s="1557" t="s">
        <v>8</v>
      </c>
      <c r="S32" s="1558">
        <f t="shared" si="10"/>
        <v>100</v>
      </c>
      <c r="T32" s="1557" t="s">
        <v>8</v>
      </c>
      <c r="U32" s="1558">
        <f t="shared" si="11"/>
        <v>100</v>
      </c>
      <c r="V32" s="1557" t="s">
        <v>8</v>
      </c>
      <c r="W32" s="1558">
        <f t="shared" si="12"/>
        <v>100</v>
      </c>
      <c r="X32" s="1551"/>
      <c r="Y32" s="3392"/>
      <c r="Z32" s="1559" t="str">
        <f t="shared" si="13"/>
        <v>土地级别</v>
      </c>
      <c r="AA32" s="1560">
        <f t="shared" si="3"/>
        <v>1</v>
      </c>
      <c r="AB32" s="1560">
        <f t="shared" si="4"/>
        <v>1</v>
      </c>
      <c r="AC32" s="1560">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392"/>
      <c r="Q33" s="1556">
        <f t="shared" si="8"/>
        <v>111</v>
      </c>
      <c r="R33" s="1557" t="s">
        <v>8</v>
      </c>
      <c r="S33" s="1558">
        <f t="shared" si="10"/>
        <v>100</v>
      </c>
      <c r="T33" s="1557" t="s">
        <v>8</v>
      </c>
      <c r="U33" s="1558">
        <f t="shared" si="11"/>
        <v>100</v>
      </c>
      <c r="V33" s="1557" t="s">
        <v>8</v>
      </c>
      <c r="W33" s="1558">
        <f t="shared" si="12"/>
        <v>100</v>
      </c>
      <c r="X33" s="1551"/>
      <c r="Y33" s="3392"/>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393" t="s">
        <v>550</v>
      </c>
      <c r="Q34" s="1556">
        <f t="shared" si="8"/>
        <v>111</v>
      </c>
      <c r="R34" s="1557" t="s">
        <v>8</v>
      </c>
      <c r="S34" s="1558">
        <f t="shared" si="10"/>
        <v>100</v>
      </c>
      <c r="T34" s="1557" t="s">
        <v>8</v>
      </c>
      <c r="U34" s="1558">
        <f t="shared" si="11"/>
        <v>100</v>
      </c>
      <c r="V34" s="1557" t="s">
        <v>8</v>
      </c>
      <c r="W34" s="1558">
        <f t="shared" si="12"/>
        <v>100</v>
      </c>
      <c r="X34" s="1551"/>
      <c r="Y34" s="3394" t="s">
        <v>550</v>
      </c>
      <c r="Z34" s="1559">
        <f t="shared" si="13"/>
        <v>111</v>
      </c>
      <c r="AA34" s="1560">
        <f t="shared" si="3"/>
        <v>1</v>
      </c>
      <c r="AB34" s="1560">
        <f t="shared" si="4"/>
        <v>1</v>
      </c>
      <c r="AC34" s="1560">
        <f t="shared" si="5"/>
        <v>1</v>
      </c>
    </row>
    <row r="35" spans="1:29" s="1332" customFormat="1" ht="15.75" thickBot="1">
      <c r="A35" s="588"/>
      <c r="B35" s="2556">
        <v>111</v>
      </c>
      <c r="C35" s="592"/>
      <c r="D35" s="255">
        <v>100</v>
      </c>
      <c r="E35" s="739"/>
      <c r="F35" s="545">
        <f>SUMIF(107:107,E35,108:108)-SUMIF(107:107,C35,108:108)+100</f>
        <v>100</v>
      </c>
      <c r="G35" s="739"/>
      <c r="H35" s="545">
        <f>SUMIF(107:107,G35,108:108)-SUMIF(107:107,C35,108:108)+100</f>
        <v>100</v>
      </c>
      <c r="I35" s="592"/>
      <c r="J35" s="545">
        <f>SUMIF(107:107,I35,108:108)-SUMIF(107:107,C35,108:108)+100</f>
        <v>100</v>
      </c>
      <c r="K35" s="580"/>
      <c r="L35" s="2123"/>
      <c r="M35" s="2154"/>
      <c r="N35" s="2154"/>
      <c r="O35" s="2126"/>
      <c r="P35" s="3394"/>
      <c r="Q35" s="1556">
        <f t="shared" si="8"/>
        <v>111</v>
      </c>
      <c r="R35" s="1561" t="s">
        <v>8</v>
      </c>
      <c r="S35" s="1562">
        <f t="shared" si="10"/>
        <v>100</v>
      </c>
      <c r="T35" s="1561" t="s">
        <v>8</v>
      </c>
      <c r="U35" s="1562">
        <f t="shared" si="11"/>
        <v>100</v>
      </c>
      <c r="V35" s="1561" t="s">
        <v>8</v>
      </c>
      <c r="W35" s="1562">
        <f t="shared" si="12"/>
        <v>100</v>
      </c>
      <c r="X35" s="1563"/>
      <c r="Y35" s="3394"/>
      <c r="Z35" s="1564">
        <f t="shared" si="13"/>
        <v>111</v>
      </c>
      <c r="AA35" s="1560">
        <f t="shared" si="3"/>
        <v>1</v>
      </c>
      <c r="AB35" s="1560">
        <f t="shared" si="4"/>
        <v>1</v>
      </c>
      <c r="AC35" s="1560">
        <f t="shared" si="5"/>
        <v>1</v>
      </c>
    </row>
    <row r="36" spans="1:29" ht="15">
      <c r="A36" s="286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394"/>
      <c r="Q36" s="1556" t="str">
        <f>B36</f>
        <v>宗地面积</v>
      </c>
      <c r="R36" s="1557" t="s">
        <v>8</v>
      </c>
      <c r="S36" s="1558" t="e">
        <f t="shared" si="10"/>
        <v>#N/A</v>
      </c>
      <c r="T36" s="1557" t="s">
        <v>8</v>
      </c>
      <c r="U36" s="1558" t="e">
        <f t="shared" si="11"/>
        <v>#N/A</v>
      </c>
      <c r="V36" s="1557" t="s">
        <v>8</v>
      </c>
      <c r="W36" s="1558" t="e">
        <f t="shared" si="12"/>
        <v>#N/A</v>
      </c>
      <c r="X36" s="1551"/>
      <c r="Y36" s="3394"/>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394"/>
      <c r="Q37" s="1556" t="str">
        <f t="shared" ref="Q37:Q42" si="14">B37</f>
        <v>宗地形状</v>
      </c>
      <c r="R37" s="1557" t="s">
        <v>8</v>
      </c>
      <c r="S37" s="1558">
        <f t="shared" si="10"/>
        <v>100</v>
      </c>
      <c r="T37" s="1557" t="s">
        <v>8</v>
      </c>
      <c r="U37" s="1558">
        <f t="shared" si="11"/>
        <v>100</v>
      </c>
      <c r="V37" s="1557" t="s">
        <v>8</v>
      </c>
      <c r="W37" s="1558">
        <f t="shared" si="12"/>
        <v>100</v>
      </c>
      <c r="X37" s="1551"/>
      <c r="Y37" s="3394"/>
      <c r="Z37" s="1559" t="str">
        <f t="shared" si="13"/>
        <v>宗地形状</v>
      </c>
      <c r="AA37" s="1560">
        <f t="shared" si="3"/>
        <v>1</v>
      </c>
      <c r="AB37" s="1560">
        <f t="shared" si="4"/>
        <v>1</v>
      </c>
      <c r="AC37" s="1560">
        <f t="shared" si="5"/>
        <v>1</v>
      </c>
    </row>
    <row r="38" spans="1:29" s="1213" customFormat="1" ht="15">
      <c r="A38" s="599"/>
      <c r="B38" s="1878"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394"/>
      <c r="Q38" s="1556" t="str">
        <f t="shared" si="14"/>
        <v>宗地开发程度</v>
      </c>
      <c r="R38" s="1552" t="s">
        <v>8</v>
      </c>
      <c r="S38" s="1553">
        <f t="shared" si="10"/>
        <v>100</v>
      </c>
      <c r="T38" s="1552" t="s">
        <v>8</v>
      </c>
      <c r="U38" s="1553">
        <f t="shared" si="11"/>
        <v>100</v>
      </c>
      <c r="V38" s="1552" t="s">
        <v>8</v>
      </c>
      <c r="W38" s="1553">
        <f t="shared" si="12"/>
        <v>100</v>
      </c>
      <c r="X38" s="1554"/>
      <c r="Y38" s="3394"/>
      <c r="Z38" s="1143"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94" t="s">
        <v>601</v>
      </c>
      <c r="Q39" s="1556" t="str">
        <f t="shared" si="14"/>
        <v>工程地质条件</v>
      </c>
      <c r="R39" s="1557" t="s">
        <v>8</v>
      </c>
      <c r="S39" s="1558">
        <f t="shared" si="10"/>
        <v>100</v>
      </c>
      <c r="T39" s="1557" t="s">
        <v>8</v>
      </c>
      <c r="U39" s="1558">
        <f t="shared" si="11"/>
        <v>100</v>
      </c>
      <c r="V39" s="1557" t="s">
        <v>8</v>
      </c>
      <c r="W39" s="1558">
        <f t="shared" si="12"/>
        <v>100</v>
      </c>
      <c r="X39" s="1551"/>
      <c r="Y39" s="3394"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394"/>
      <c r="Q40" s="1556">
        <f t="shared" si="14"/>
        <v>111</v>
      </c>
      <c r="R40" s="1557" t="s">
        <v>8</v>
      </c>
      <c r="S40" s="1558">
        <f t="shared" si="10"/>
        <v>100</v>
      </c>
      <c r="T40" s="1557" t="s">
        <v>8</v>
      </c>
      <c r="U40" s="1558">
        <f t="shared" si="11"/>
        <v>100</v>
      </c>
      <c r="V40" s="1557" t="s">
        <v>8</v>
      </c>
      <c r="W40" s="1558">
        <f t="shared" si="12"/>
        <v>100</v>
      </c>
      <c r="X40" s="1551"/>
      <c r="Y40" s="3394"/>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394"/>
      <c r="Q41" s="1556">
        <f t="shared" si="14"/>
        <v>111</v>
      </c>
      <c r="R41" s="1557" t="s">
        <v>8</v>
      </c>
      <c r="S41" s="1558">
        <f t="shared" si="10"/>
        <v>100</v>
      </c>
      <c r="T41" s="1557" t="s">
        <v>8</v>
      </c>
      <c r="U41" s="1558">
        <f t="shared" si="11"/>
        <v>100</v>
      </c>
      <c r="V41" s="1557" t="s">
        <v>8</v>
      </c>
      <c r="W41" s="1558">
        <f t="shared" si="12"/>
        <v>100</v>
      </c>
      <c r="X41" s="1551"/>
      <c r="Y41" s="3394"/>
      <c r="Z41" s="1559">
        <f t="shared" si="13"/>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4"/>
      <c r="L42" s="2123"/>
      <c r="M42" s="2154"/>
      <c r="N42" s="2154"/>
      <c r="O42" s="2126"/>
      <c r="P42" s="3394"/>
      <c r="Q42" s="1556">
        <f t="shared" si="14"/>
        <v>111</v>
      </c>
      <c r="R42" s="1561" t="s">
        <v>8</v>
      </c>
      <c r="S42" s="1562">
        <f t="shared" si="10"/>
        <v>100</v>
      </c>
      <c r="T42" s="1561" t="s">
        <v>8</v>
      </c>
      <c r="U42" s="1562">
        <f t="shared" si="11"/>
        <v>100</v>
      </c>
      <c r="V42" s="1561" t="s">
        <v>8</v>
      </c>
      <c r="W42" s="1562">
        <f t="shared" si="12"/>
        <v>100</v>
      </c>
      <c r="X42" s="1563"/>
      <c r="Y42" s="3394"/>
      <c r="Z42" s="1564">
        <f t="shared" si="13"/>
        <v>111</v>
      </c>
      <c r="AA42" s="1560">
        <f t="shared" si="3"/>
        <v>1</v>
      </c>
      <c r="AB42" s="1560">
        <f t="shared" si="4"/>
        <v>1</v>
      </c>
      <c r="AC42" s="1560">
        <f t="shared" si="5"/>
        <v>1</v>
      </c>
    </row>
    <row r="43" spans="1:29" ht="15">
      <c r="A43" s="605" t="s">
        <v>556</v>
      </c>
      <c r="B43" s="606" t="s">
        <v>2934</v>
      </c>
      <c r="C43" s="607" t="s">
        <v>1</v>
      </c>
      <c r="D43" s="608"/>
      <c r="E43" s="609"/>
      <c r="F43" s="610"/>
      <c r="G43" s="611"/>
      <c r="H43" s="612"/>
      <c r="I43" s="609"/>
      <c r="J43" s="612"/>
      <c r="K43" s="1333"/>
      <c r="L43" s="2127"/>
      <c r="M43" s="2117"/>
      <c r="N43" s="2117"/>
      <c r="O43" s="2128"/>
      <c r="P43" s="3389" t="str">
        <f>A43</f>
        <v>成交单价</v>
      </c>
      <c r="Q43" s="3389"/>
      <c r="R43" s="3404">
        <f>E43</f>
        <v>0</v>
      </c>
      <c r="S43" s="3404"/>
      <c r="T43" s="3404">
        <f>G43</f>
        <v>0</v>
      </c>
      <c r="U43" s="3404"/>
      <c r="V43" s="3404">
        <f>I43</f>
        <v>0</v>
      </c>
      <c r="W43" s="3404"/>
      <c r="X43" s="1543"/>
      <c r="Y43" s="1565"/>
      <c r="Z43" s="1543"/>
      <c r="AA43" s="1543"/>
      <c r="AB43" s="1543"/>
      <c r="AC43" s="1543"/>
    </row>
    <row r="44" spans="1:29" ht="15.75" thickBot="1">
      <c r="A44" s="613" t="s">
        <v>2691</v>
      </c>
      <c r="B44" s="614"/>
      <c r="C44" s="615" t="e">
        <f>R45</f>
        <v>#DIV/0!</v>
      </c>
      <c r="D44" s="616"/>
      <c r="E44" s="615" t="e">
        <f>R44</f>
        <v>#DIV/0!</v>
      </c>
      <c r="F44" s="617"/>
      <c r="G44" s="618" t="e">
        <f>T44</f>
        <v>#DIV/0!</v>
      </c>
      <c r="H44" s="616"/>
      <c r="I44" s="615" t="e">
        <f>V44</f>
        <v>#DIV/0!</v>
      </c>
      <c r="J44" s="616"/>
      <c r="K44" s="1334"/>
      <c r="L44" s="2127"/>
      <c r="M44" s="2117"/>
      <c r="N44" s="2117"/>
      <c r="O44" s="2128"/>
      <c r="P44" s="3389" t="str">
        <f>A44</f>
        <v>比较价格（元/平方米）</v>
      </c>
      <c r="Q44" s="3389"/>
      <c r="R44" s="3416" t="e">
        <f>ROUND(PRODUCT(R43,AA9:AA42),0)</f>
        <v>#DIV/0!</v>
      </c>
      <c r="S44" s="3416"/>
      <c r="T44" s="3416" t="e">
        <f>ROUND(PRODUCT(T43,AB9:AB42),0)</f>
        <v>#DIV/0!</v>
      </c>
      <c r="U44" s="3416"/>
      <c r="V44" s="3416" t="e">
        <f>ROUND(PRODUCT(V43,AC9:AC42),0)</f>
        <v>#DIV/0!</v>
      </c>
      <c r="W44" s="3416"/>
      <c r="X44" s="1543"/>
      <c r="Y44" s="1543"/>
      <c r="Z44" s="1543"/>
      <c r="AA44" s="1543"/>
      <c r="AB44" s="1543"/>
      <c r="AC44" s="1543"/>
    </row>
    <row r="45" spans="1:29" ht="15.75" thickBot="1">
      <c r="A45" s="619" t="s">
        <v>2935</v>
      </c>
      <c r="B45" s="620"/>
      <c r="C45" s="621" t="e">
        <f>R45</f>
        <v>#DIV/0!</v>
      </c>
      <c r="D45" s="621"/>
      <c r="E45" s="621"/>
      <c r="F45" s="621"/>
      <c r="G45" s="621"/>
      <c r="H45" s="621"/>
      <c r="I45" s="621"/>
      <c r="J45" s="621"/>
      <c r="K45" s="1335"/>
      <c r="L45" s="2127"/>
      <c r="M45" s="2117"/>
      <c r="N45" s="2117"/>
      <c r="O45" s="2128"/>
      <c r="P45" s="3413" t="str">
        <f>A45</f>
        <v>估价对象XX用房的比较价格（楼面单价，元/平方米）</v>
      </c>
      <c r="Q45" s="3414"/>
      <c r="R45" s="3415" t="e">
        <f>ROUND(AVERAGE(R44:V44),0)</f>
        <v>#DIV/0!</v>
      </c>
      <c r="S45" s="3415"/>
      <c r="T45" s="3415"/>
      <c r="U45" s="3415"/>
      <c r="V45" s="3415"/>
      <c r="W45" s="341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1723</v>
      </c>
      <c r="D52" s="2210" t="s">
        <v>2292</v>
      </c>
      <c r="E52" s="629" t="s">
        <v>562</v>
      </c>
      <c r="F52" s="1934" t="s">
        <v>563</v>
      </c>
      <c r="G52" s="3417" t="s">
        <v>2283</v>
      </c>
      <c r="H52" s="3418"/>
      <c r="I52" s="1935" t="s">
        <v>1944</v>
      </c>
      <c r="J52" s="1539" t="str">
        <f>项目基本情况!F41</f>
        <v>四川省</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1" t="s">
        <v>564</v>
      </c>
      <c r="B53" s="632" t="e">
        <f>C45</f>
        <v>#DIV/0!</v>
      </c>
      <c r="C53" s="633">
        <v>1</v>
      </c>
      <c r="D53" s="2211">
        <v>1</v>
      </c>
      <c r="E53" s="633">
        <f>'数据-汇总表'!E8+'数据-汇总表'!E9</f>
        <v>604021.82000000007</v>
      </c>
      <c r="F53" s="1933" t="e">
        <f t="shared" ref="F53:F62" si="15">ROUND(B53*E53/10000,0)</f>
        <v>#DIV/0!</v>
      </c>
      <c r="G53" s="3419"/>
      <c r="H53" s="3420"/>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5" t="s">
        <v>565</v>
      </c>
      <c r="B54" s="636" t="e">
        <f>ROUND($C$45*C54*D54,0)</f>
        <v>#DIV/0!</v>
      </c>
      <c r="C54" s="377">
        <f t="shared" ref="C54:C62" si="16">IF($C$52="北京市系数",I54,J54)</f>
        <v>0</v>
      </c>
      <c r="D54" s="2212">
        <v>0.25</v>
      </c>
      <c r="E54" s="637"/>
      <c r="F54" s="1933" t="e">
        <f t="shared" si="15"/>
        <v>#DIV/0!</v>
      </c>
      <c r="G54" s="3421"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5" t="s">
        <v>566</v>
      </c>
      <c r="B55" s="636" t="e">
        <f t="shared" ref="B55:B62" si="17">ROUND($C$45*C55*D55,0)</f>
        <v>#DIV/0!</v>
      </c>
      <c r="C55" s="377">
        <f t="shared" si="16"/>
        <v>0</v>
      </c>
      <c r="D55" s="2212">
        <v>0.25</v>
      </c>
      <c r="E55" s="637"/>
      <c r="F55" s="1933" t="e">
        <f t="shared" si="15"/>
        <v>#DIV/0!</v>
      </c>
      <c r="G55" s="3421"/>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5" t="s">
        <v>567</v>
      </c>
      <c r="B56" s="636" t="e">
        <f t="shared" si="17"/>
        <v>#DIV/0!</v>
      </c>
      <c r="C56" s="377">
        <f t="shared" si="16"/>
        <v>0</v>
      </c>
      <c r="D56" s="2212">
        <v>0.25</v>
      </c>
      <c r="E56" s="637"/>
      <c r="F56" s="1933" t="e">
        <f t="shared" si="15"/>
        <v>#DIV/0!</v>
      </c>
      <c r="G56" s="3421"/>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5" t="s">
        <v>568</v>
      </c>
      <c r="B57" s="636" t="e">
        <f t="shared" si="17"/>
        <v>#DIV/0!</v>
      </c>
      <c r="C57" s="377">
        <f t="shared" si="16"/>
        <v>0</v>
      </c>
      <c r="D57" s="2212">
        <v>0.25</v>
      </c>
      <c r="E57" s="637"/>
      <c r="F57" s="1933" t="e">
        <f t="shared" si="15"/>
        <v>#DIV/0!</v>
      </c>
      <c r="G57" s="3421"/>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2327</v>
      </c>
      <c r="B58" s="636" t="e">
        <f t="shared" si="17"/>
        <v>#DIV/0!</v>
      </c>
      <c r="C58" s="377">
        <f t="shared" si="16"/>
        <v>0</v>
      </c>
      <c r="D58" s="2212">
        <v>0.25</v>
      </c>
      <c r="E58" s="639">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5" t="s">
        <v>569</v>
      </c>
      <c r="B59" s="636" t="e">
        <f t="shared" si="17"/>
        <v>#DIV/0!</v>
      </c>
      <c r="C59" s="377">
        <f t="shared" si="16"/>
        <v>0</v>
      </c>
      <c r="D59" s="2212">
        <v>0.25</v>
      </c>
      <c r="E59" s="639">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5" t="s">
        <v>570</v>
      </c>
      <c r="B60" s="636" t="e">
        <f t="shared" si="17"/>
        <v>#DIV/0!</v>
      </c>
      <c r="C60" s="377">
        <f t="shared" si="16"/>
        <v>0</v>
      </c>
      <c r="D60" s="2212">
        <v>0.25</v>
      </c>
      <c r="E60" s="639">
        <f>'数据-汇总表'!E13</f>
        <v>204575</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5" t="s">
        <v>571</v>
      </c>
      <c r="B61" s="636" t="e">
        <f t="shared" si="17"/>
        <v>#DIV/0!</v>
      </c>
      <c r="C61" s="377">
        <f t="shared" si="16"/>
        <v>0</v>
      </c>
      <c r="D61" s="2212">
        <v>0.25</v>
      </c>
      <c r="E61" s="639">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5" t="s">
        <v>572</v>
      </c>
      <c r="B62" s="636" t="e">
        <f t="shared" si="17"/>
        <v>#DIV/0!</v>
      </c>
      <c r="C62" s="377">
        <f t="shared" si="16"/>
        <v>0</v>
      </c>
      <c r="D62" s="2212">
        <v>0.25</v>
      </c>
      <c r="E62" s="639">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0" t="s">
        <v>573</v>
      </c>
      <c r="B63" s="641" t="s">
        <v>17</v>
      </c>
      <c r="C63" s="641" t="s">
        <v>18</v>
      </c>
      <c r="D63" s="641" t="s">
        <v>2293</v>
      </c>
      <c r="E63" s="641">
        <f>IF(B43="楼面地价",SUM(E53:E62),'数据-汇总表'!D3)</f>
        <v>285760.2</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2019-6-1</v>
      </c>
      <c r="D65" s="2752">
        <f>EDATE(C65,-3)</f>
        <v>43525</v>
      </c>
      <c r="E65" s="2752">
        <f t="shared" ref="E65:N65" si="18">EDATE(D65,-3)</f>
        <v>43435</v>
      </c>
      <c r="F65" s="2752">
        <f t="shared" si="18"/>
        <v>43344</v>
      </c>
      <c r="G65" s="2752">
        <f t="shared" si="18"/>
        <v>43252</v>
      </c>
      <c r="H65" s="2752">
        <f t="shared" si="18"/>
        <v>43160</v>
      </c>
      <c r="I65" s="2752">
        <f t="shared" si="18"/>
        <v>43070</v>
      </c>
      <c r="J65" s="2752">
        <f t="shared" si="18"/>
        <v>42979</v>
      </c>
      <c r="K65" s="2752">
        <f t="shared" si="18"/>
        <v>42887</v>
      </c>
      <c r="L65" s="2752">
        <f t="shared" si="18"/>
        <v>42795</v>
      </c>
      <c r="M65" s="2752">
        <f t="shared" si="18"/>
        <v>42705</v>
      </c>
      <c r="N65" s="2752">
        <f t="shared" si="18"/>
        <v>42614</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2532</v>
      </c>
      <c r="B67" s="644"/>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2647</v>
      </c>
      <c r="B68" s="478" t="str">
        <f>"北京市平均增长率"&amp;TEXT(基准地价!P24,"0.00%")</f>
        <v>北京市平均增长率1.40%</v>
      </c>
      <c r="C68" s="891">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7"/>
      <c r="D72" s="597"/>
      <c r="E72" s="597"/>
      <c r="F72" s="597"/>
      <c r="G72" s="597"/>
      <c r="H72" s="597"/>
      <c r="I72" s="597"/>
      <c r="J72" s="597"/>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40"/>
      <c r="D77" s="540"/>
      <c r="E77" s="540"/>
      <c r="F77" s="540"/>
      <c r="G77" s="540"/>
      <c r="H77" s="540"/>
      <c r="I77" s="540"/>
      <c r="J77" s="540"/>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5"/>
      <c r="B93" s="1879" t="s">
        <v>2547</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5"/>
      <c r="B95" s="2559" t="s">
        <v>2549</v>
      </c>
      <c r="C95" s="2560" t="s">
        <v>2550</v>
      </c>
      <c r="D95" s="2560" t="s">
        <v>2551</v>
      </c>
      <c r="E95" s="2560" t="s">
        <v>2552</v>
      </c>
      <c r="F95" s="2560" t="s">
        <v>2553</v>
      </c>
      <c r="G95" s="2560" t="s">
        <v>2554</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5"/>
      <c r="B108" s="679"/>
      <c r="C108" s="698"/>
      <c r="D108" s="698"/>
      <c r="E108" s="698"/>
      <c r="F108" s="698"/>
      <c r="G108" s="591"/>
      <c r="H108" s="591"/>
      <c r="I108" s="591"/>
      <c r="J108" s="591"/>
      <c r="K108" s="591"/>
      <c r="L108" s="591"/>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6"/>
      <c r="B114" s="1879" t="s">
        <v>2424</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919</v>
      </c>
      <c r="B2" s="1035"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5" t="s">
        <v>1686</v>
      </c>
      <c r="B3" s="1035" t="e">
        <f>ROUND(B2*10000/D1,0)</f>
        <v>#DIV/0!</v>
      </c>
      <c r="C3" s="1401" t="s">
        <v>926</v>
      </c>
      <c r="D3" s="1402" t="s">
        <v>927</v>
      </c>
      <c r="E3" s="1406"/>
      <c r="F3" s="1407"/>
      <c r="G3" s="1036">
        <f>IF(F3="宗地容积率",'数据-汇总表'!I4,IF(F3="估价对象容积率",'数据-汇总表'!I6,'数据-汇总表'!I7))</f>
        <v>2.1800000000000002</v>
      </c>
      <c r="H3" s="1408" t="s">
        <v>928</v>
      </c>
      <c r="I3" s="1037">
        <v>8</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51"/>
      <c r="L4" s="1868" t="s">
        <v>2240</v>
      </c>
      <c r="M4" s="1869">
        <f>SUMPRODUCT((区片价!B49:B75=I2)*(区片价!C3:F3=E2)*(区片价!C49:F75))</f>
        <v>0</v>
      </c>
      <c r="N4" s="1870">
        <f>SUMPRODUCT((因素修正幅度!B49:B75=I2)*(因素修正幅度!C3:F3=E2)*(因素修正幅度!C49:F75))</f>
        <v>0</v>
      </c>
      <c r="O4" s="3151"/>
      <c r="P4" s="1395"/>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5" customFormat="1" ht="15.75" thickBot="1">
      <c r="A5" s="1621" t="s">
        <v>1822</v>
      </c>
      <c r="B5" s="1409" t="s">
        <v>930</v>
      </c>
      <c r="C5" s="1038" t="e">
        <f>ROUND(IF(E2="商业",C6*C7+C16,(IF(E2="住宅",C6*C12+C16,C6+C16))),0)</f>
        <v>#DIV/0!</v>
      </c>
      <c r="D5" s="3070" t="e">
        <f>ROUND(C6+C16,0)</f>
        <v>#DIV/0!</v>
      </c>
      <c r="E5" s="3070"/>
      <c r="F5" s="1410"/>
      <c r="G5" s="1411"/>
      <c r="H5" s="1411"/>
      <c r="I5" s="1411"/>
      <c r="J5" s="1412"/>
      <c r="K5" s="3152"/>
      <c r="L5" s="1868" t="s">
        <v>2241</v>
      </c>
      <c r="M5" s="1869">
        <f>SUMPRODUCT((区片价!B76:B109=I2)*(区片价!C3:F3=E2)*(区片价!C76:F109))</f>
        <v>0</v>
      </c>
      <c r="N5" s="1870">
        <f>SUMPRODUCT((因素修正幅度!B76:B109=I2)*(因素修正幅度!C3:F3=E2)*(因素修正幅度!C76:F109))</f>
        <v>0</v>
      </c>
      <c r="O5" s="3152"/>
      <c r="P5" s="1578"/>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SUMIF(L1:L12,基准地价!G2,M1:M12)</f>
        <v>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27" t="str">
        <f>IF(E2="商业",IF(C8="不临58条商业街","",2),"")</f>
        <v/>
      </c>
      <c r="B7" s="1421" t="s">
        <v>931</v>
      </c>
      <c r="C7" s="1040" t="e">
        <f>IF(C8="不临58条商业街",1,ROUND(1+(1.6*E8+1.2*E9+0.8*E10+0.4*E11)*C9,4))</f>
        <v>#DIV/0!</v>
      </c>
      <c r="D7" s="1422" t="s">
        <v>932</v>
      </c>
      <c r="E7" s="1041"/>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2763</v>
      </c>
      <c r="X7" s="2880">
        <f>G2</f>
        <v>0</v>
      </c>
      <c r="Y7" s="2880" t="s">
        <v>2764</v>
      </c>
      <c r="Z7" s="2881">
        <f>G3</f>
        <v>2.1800000000000002</v>
      </c>
      <c r="AA7" s="2175"/>
      <c r="AB7" s="2175"/>
      <c r="AC7" s="2176"/>
      <c r="AD7" s="2882"/>
      <c r="AE7" s="2882"/>
      <c r="AF7" s="2882"/>
      <c r="AG7" s="2882"/>
      <c r="AH7" s="2882"/>
      <c r="AI7" s="2882"/>
      <c r="AJ7" s="2883"/>
    </row>
    <row r="8" spans="1:39" ht="15">
      <c r="A8" s="3428"/>
      <c r="B8" s="1408" t="s">
        <v>933</v>
      </c>
      <c r="C8" s="1514"/>
      <c r="D8" s="1042" t="s">
        <v>934</v>
      </c>
      <c r="E8" s="1043" t="e">
        <f>ROUND(C11/E7,4)</f>
        <v>#DIV/0!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38" t="s">
        <v>2781</v>
      </c>
      <c r="X8" s="3439"/>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28"/>
      <c r="B9" s="1408" t="s">
        <v>936</v>
      </c>
      <c r="C9" s="1044">
        <f>SUMIF(修正!C59:C119,C8,修正!E59:E119)</f>
        <v>0</v>
      </c>
      <c r="D9" s="1045" t="s">
        <v>937</v>
      </c>
      <c r="E9" s="1045" t="e">
        <f>ROUND(C11/E7,4)</f>
        <v>#DIV/0!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37" t="s">
        <v>2777</v>
      </c>
      <c r="X9" s="2884" t="s">
        <v>2778</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8"/>
      <c r="B10" s="1408" t="s">
        <v>939</v>
      </c>
      <c r="C10" s="1045">
        <f>SUMIF(修正!C59:C119,C8,修正!F59:F119)</f>
        <v>0</v>
      </c>
      <c r="D10" s="1045" t="s">
        <v>940</v>
      </c>
      <c r="E10" s="1045" t="e">
        <f>ROUND(C11/E7,4)</f>
        <v>#DIV/0!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37"/>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8"/>
      <c r="B11" s="1429" t="s">
        <v>942</v>
      </c>
      <c r="C11" s="1046">
        <f>C10/4</f>
        <v>0</v>
      </c>
      <c r="D11" s="1046" t="s">
        <v>943</v>
      </c>
      <c r="E11" s="1046" t="e">
        <f>ROUND(C11/E7,4)</f>
        <v>#DIV/0!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37" t="s">
        <v>2779</v>
      </c>
      <c r="X11" s="1045" t="s">
        <v>2764</v>
      </c>
      <c r="Y11" s="1636">
        <f>$G$3</f>
        <v>2.1800000000000002</v>
      </c>
      <c r="Z11" s="1636">
        <f t="shared" ref="Z11:AJ11" si="3">$G$3</f>
        <v>2.1800000000000002</v>
      </c>
      <c r="AA11" s="1636">
        <f t="shared" si="3"/>
        <v>2.1800000000000002</v>
      </c>
      <c r="AB11" s="1636">
        <f t="shared" si="3"/>
        <v>2.1800000000000002</v>
      </c>
      <c r="AC11" s="1636">
        <f t="shared" si="3"/>
        <v>2.1800000000000002</v>
      </c>
      <c r="AD11" s="1636">
        <f t="shared" si="3"/>
        <v>2.1800000000000002</v>
      </c>
      <c r="AE11" s="1636">
        <f t="shared" si="3"/>
        <v>2.1800000000000002</v>
      </c>
      <c r="AF11" s="1636">
        <f t="shared" si="3"/>
        <v>2.1800000000000002</v>
      </c>
      <c r="AG11" s="1636">
        <f t="shared" si="3"/>
        <v>2.1800000000000002</v>
      </c>
      <c r="AH11" s="1636">
        <f t="shared" si="3"/>
        <v>2.1800000000000002</v>
      </c>
      <c r="AI11" s="1636">
        <f t="shared" si="3"/>
        <v>2.1800000000000002</v>
      </c>
      <c r="AJ11" s="1636">
        <f t="shared" si="3"/>
        <v>2.1800000000000002</v>
      </c>
    </row>
    <row r="12" spans="1:39" ht="25.5" thickBot="1">
      <c r="A12" s="3427" t="s">
        <v>1870</v>
      </c>
      <c r="B12" s="1433" t="s">
        <v>945</v>
      </c>
      <c r="C12" s="1040">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37"/>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9"/>
      <c r="B13" s="1438" t="s">
        <v>1695</v>
      </c>
      <c r="C13" s="1439" t="s">
        <v>1696</v>
      </c>
      <c r="D13" s="1082" t="s">
        <v>1697</v>
      </c>
      <c r="E13" s="1082" t="s">
        <v>1698</v>
      </c>
      <c r="F13" s="1440" t="s">
        <v>947</v>
      </c>
      <c r="G13" s="1441" t="s">
        <v>1641</v>
      </c>
      <c r="H13" s="1442" t="s">
        <v>1641</v>
      </c>
      <c r="I13" s="1443" t="s">
        <v>1641</v>
      </c>
      <c r="J13" s="1444" t="s">
        <v>1641</v>
      </c>
      <c r="K13" s="3167"/>
      <c r="L13" s="3167"/>
      <c r="M13" s="3167"/>
      <c r="N13" s="3167"/>
      <c r="O13" s="3167"/>
      <c r="P13" s="1395"/>
      <c r="Q13" s="2172"/>
      <c r="R13" s="2890">
        <v>12</v>
      </c>
      <c r="S13" s="2879"/>
      <c r="T13" s="2890" t="e">
        <f t="shared" si="0"/>
        <v>#DIV/0!</v>
      </c>
      <c r="U13" s="2879"/>
      <c r="V13" s="2890" t="e">
        <f t="shared" si="1"/>
        <v>#DIV/0!</v>
      </c>
      <c r="W13" s="3437"/>
      <c r="X13" s="2887"/>
      <c r="Y13" s="2886">
        <f>(-0.163*(Y12^2)-0.59*Y12+7617)*(10^(-4))/Y11</f>
        <v>0.34940366972477066</v>
      </c>
      <c r="Z13" s="2886">
        <f t="shared" ref="Z13:AJ13" si="5">(-0.163*(Z12^2)-0.59*Z12+7617)*(10^(-4))/Z11</f>
        <v>0.34940366972477066</v>
      </c>
      <c r="AA13" s="2886">
        <f t="shared" si="5"/>
        <v>0.34940366972477066</v>
      </c>
      <c r="AB13" s="2886">
        <f t="shared" si="5"/>
        <v>0.34940366972477066</v>
      </c>
      <c r="AC13" s="2886">
        <f t="shared" si="5"/>
        <v>0.34940366972477066</v>
      </c>
      <c r="AD13" s="2886">
        <f t="shared" si="5"/>
        <v>0.34940366972477066</v>
      </c>
      <c r="AE13" s="2886">
        <f t="shared" si="5"/>
        <v>0.34940366972477066</v>
      </c>
      <c r="AF13" s="2886">
        <f t="shared" si="5"/>
        <v>0.34940366972477066</v>
      </c>
      <c r="AG13" s="2886">
        <f t="shared" si="5"/>
        <v>0.34940366972477066</v>
      </c>
      <c r="AH13" s="2886">
        <f t="shared" si="5"/>
        <v>0.34940366972477066</v>
      </c>
      <c r="AI13" s="2886">
        <f t="shared" si="5"/>
        <v>0.34940366972477066</v>
      </c>
      <c r="AJ13" s="2886">
        <f t="shared" si="5"/>
        <v>0.34940366972477066</v>
      </c>
    </row>
    <row r="14" spans="1:39" ht="12.75" customHeight="1">
      <c r="A14" s="3429"/>
      <c r="B14" s="1445"/>
      <c r="C14" s="1446"/>
      <c r="D14" s="1447"/>
      <c r="E14" s="1447"/>
      <c r="F14" s="1448"/>
      <c r="G14" s="1449" t="s">
        <v>948</v>
      </c>
      <c r="H14" s="1450"/>
      <c r="I14" s="1451"/>
      <c r="J14" s="1452"/>
      <c r="K14" s="3153"/>
      <c r="L14" s="3153"/>
      <c r="M14" s="3153"/>
      <c r="N14" s="3153"/>
      <c r="O14" s="3153"/>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0"/>
      <c r="B15" s="3172" t="s">
        <v>1699</v>
      </c>
      <c r="C15" s="1046">
        <f>IF(C14="有",1.1,1)</f>
        <v>1</v>
      </c>
      <c r="D15" s="1046">
        <f>IF(D14="有",1.1,1)</f>
        <v>1</v>
      </c>
      <c r="E15" s="1046">
        <f>IF(E14="有",1.1,1)</f>
        <v>1</v>
      </c>
      <c r="F15" s="1046">
        <f>IF(F14="500米范围内",1.2,IF(F14="500-1000米",1.1,1))</f>
        <v>1</v>
      </c>
      <c r="G15" s="3164">
        <v>1</v>
      </c>
      <c r="H15" s="3164">
        <v>1</v>
      </c>
      <c r="I15" s="3164">
        <v>1</v>
      </c>
      <c r="J15" s="3165">
        <v>1</v>
      </c>
      <c r="K15" s="3168"/>
      <c r="L15" s="3168"/>
      <c r="M15" s="3168"/>
      <c r="N15" s="3168"/>
      <c r="O15" s="3168"/>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7" t="s">
        <v>1837</v>
      </c>
      <c r="B16" s="1421" t="s">
        <v>949</v>
      </c>
      <c r="C16" s="1049" t="e">
        <f>ROUND(IF(F17="与级别开发程度一致",0,(G17-E17)/C17),0)</f>
        <v>#DIV/0!</v>
      </c>
      <c r="D16" s="3445" t="s">
        <v>953</v>
      </c>
      <c r="E16" s="3446"/>
      <c r="F16" s="3445" t="s">
        <v>950</v>
      </c>
      <c r="G16" s="3446"/>
      <c r="H16" s="1453"/>
      <c r="I16" s="1453"/>
      <c r="J16" s="1453"/>
      <c r="K16" s="1453"/>
      <c r="L16" s="1453"/>
      <c r="M16" s="1453"/>
      <c r="N16" s="1453"/>
      <c r="O16" s="3177"/>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31"/>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81">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73" t="s">
        <v>954</v>
      </c>
      <c r="C18" s="3174">
        <f>SUMIF(修正!C18:C39,E3,修正!E18:E39)</f>
        <v>0</v>
      </c>
      <c r="D18" s="3175"/>
      <c r="E18" s="3176"/>
      <c r="F18" s="3158"/>
      <c r="G18" s="3152"/>
      <c r="H18" s="3152"/>
      <c r="I18" s="3152"/>
      <c r="J18" s="3166"/>
      <c r="K18" s="3152"/>
      <c r="L18" s="3152"/>
      <c r="M18" s="3152"/>
      <c r="N18" s="3152"/>
      <c r="O18" s="3152"/>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0" t="e">
        <f>ROUND(IF(H19="按公示增长率计算",SUMPRODUCT((地价!A3:A26=YEAR(G19)&amp;"-"&amp;ROUNDUP(MONTH(G19)/3,0))*(地价!X2:AB2=E2)*(地价!X3:AB26)),IF(H19="地价指数",M20/M19,(1+I19)^O19)),4)</f>
        <v>#VALUE!</v>
      </c>
      <c r="D19" s="1460" t="s">
        <v>956</v>
      </c>
      <c r="E19" s="1051">
        <v>41640</v>
      </c>
      <c r="F19" s="1460" t="s">
        <v>957</v>
      </c>
      <c r="G19" s="1052">
        <f>'数据-取费表'!B2</f>
        <v>43630</v>
      </c>
      <c r="H19" s="1461"/>
      <c r="I19" s="2738" t="str">
        <f>IF(H19="季度增幅（自定义）",SUMIF(N21:N24,E2,O21:O24),"")</f>
        <v/>
      </c>
      <c r="J19" s="1457"/>
      <c r="K19" s="3152"/>
      <c r="L19" s="2990" t="s">
        <v>2839</v>
      </c>
      <c r="M19" s="2991">
        <f>ROUND(SUMIF(地价!B2:F2,E2,地价!B26:F26),0)</f>
        <v>0</v>
      </c>
      <c r="N19" s="2740" t="s">
        <v>1675</v>
      </c>
      <c r="O19" s="2739">
        <f>ROUNDDOWN(DATEDIF(E19,G19,"M")/3,0)</f>
        <v>21</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t="e">
        <f>ROUND(POWER(1+G20,J20-I20)*(POWER(1+G20,I20)-1)/(POWER(1+G20,J20)-1),4)</f>
        <v>#DIV/0!</v>
      </c>
      <c r="D20" s="2735" t="s">
        <v>971</v>
      </c>
      <c r="E20" s="3045">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54"/>
      <c r="L20" s="2992" t="s">
        <v>2840</v>
      </c>
      <c r="M20" s="3161">
        <f>ROUND(SUMPRODUCT((地价!A4:A26=YEAR(G19)&amp;"-"&amp;ROUNDUP(MONTH(G19)/3,0))*(地价!B2:F2=E2)*(地价!B4:F26)),0)</f>
        <v>0</v>
      </c>
      <c r="N20" s="2743" t="s">
        <v>2644</v>
      </c>
      <c r="O20" s="2741" t="s">
        <v>2643</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2759</v>
      </c>
      <c r="C21" s="1151">
        <f>IF(B21="容积率修正",IF(G3&lt;=10,D22,J22),C23)</f>
        <v>0</v>
      </c>
      <c r="D21" s="1467"/>
      <c r="E21" s="1467"/>
      <c r="F21" s="1467"/>
      <c r="G21" s="1467"/>
      <c r="H21" s="1467"/>
      <c r="I21" s="1467"/>
      <c r="J21" s="1468"/>
      <c r="K21" s="3152"/>
      <c r="L21" s="1467"/>
      <c r="M21" s="1467"/>
      <c r="N21" s="1464" t="s">
        <v>974</v>
      </c>
      <c r="O21" s="1527"/>
      <c r="P21" s="2730">
        <f>SUMPRODUCT((地价!A3:A26=YEAR(G19)&amp;"-"&amp;ROUNDUP(MONTH(G19)/3,0))*(地价!AD2:AH2=N21)*(地价!AD3:AH26))</f>
        <v>1.46E-2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55"/>
      <c r="L22" s="1467"/>
      <c r="M22" s="1467"/>
      <c r="N22" s="1464" t="s">
        <v>977</v>
      </c>
      <c r="O22" s="1527"/>
      <c r="P22" s="2730">
        <f>SUMPRODUCT((地价!A3:A26=YEAR(G19)&amp;"-"&amp;ROUNDUP(MONTH(G19)/3,0))*(地价!AD2:AH2=N22)*(地价!AD3:AH26))</f>
        <v>1.46E-2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0</v>
      </c>
      <c r="D23" s="1515"/>
      <c r="E23" s="1515"/>
      <c r="F23" s="1516"/>
      <c r="G23" s="1517"/>
      <c r="H23" s="1518"/>
      <c r="I23" s="1519"/>
      <c r="J23" s="1519"/>
      <c r="K23" s="3156"/>
      <c r="L23" s="1395"/>
      <c r="M23" s="1395"/>
      <c r="N23" s="1464" t="s">
        <v>922</v>
      </c>
      <c r="O23" s="1527"/>
      <c r="P23" s="2730">
        <f>SUMPRODUCT((地价!A3:A26=YEAR(G19)&amp;"-"&amp;ROUNDUP(MONTH(G19)/3,0))*(地价!AD2:AH2=N23)*(地价!AD3:AH26))</f>
        <v>2.2599999999999999E-2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0</v>
      </c>
      <c r="D24" s="1520"/>
      <c r="E24" s="1521"/>
      <c r="F24" s="1521"/>
      <c r="G24" s="1521"/>
      <c r="H24" s="1521"/>
      <c r="I24" s="1521"/>
      <c r="J24" s="1521"/>
      <c r="K24" s="3156"/>
      <c r="L24" s="1467"/>
      <c r="M24" s="1467"/>
      <c r="N24" s="1464" t="s">
        <v>980</v>
      </c>
      <c r="O24" s="3160"/>
      <c r="P24" s="2730">
        <f>SUMPRODUCT((地价!A3:A26=YEAR(G19)&amp;"-"&amp;ROUNDUP(MONTH(G19)/3,0))*(地价!AD2:AH2=N24)*(地价!AD3:AH26))</f>
        <v>1.4E-2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62" t="s">
        <v>2646</v>
      </c>
      <c r="O25" s="3163"/>
      <c r="P25" s="2409">
        <f>SUMPRODUCT((地价!A3:A26=YEAR(G19)&amp;"-"&amp;ROUNDUP(MONTH(G19)/3,0))*(地价!AD2:AH2=N25)*(地价!AD3:AH26))</f>
        <v>2.06E-2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t="e">
        <f>E29+SUM(E33:E39)</f>
        <v>#DIV/0!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t="e">
        <f>E30+SUM(I33:I39)</f>
        <v>#DIV/0!</v>
      </c>
      <c r="D27" s="1479"/>
      <c r="E27" s="1480"/>
      <c r="F27" s="1481"/>
      <c r="G27" s="1480"/>
      <c r="H27" s="1480"/>
      <c r="I27" s="1480"/>
      <c r="J27" s="1482"/>
      <c r="K27" s="1450"/>
      <c r="L27" s="1454" t="s">
        <v>986</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6" t="e">
        <f>ROUND(C5*C18*C19*C20*C21*C24,0)</f>
        <v>#DIV/0!</v>
      </c>
      <c r="D29" s="1489"/>
      <c r="E29" s="1832" t="e">
        <f>ROUND(C29*D29/10000,0)</f>
        <v>#DIV/0!</v>
      </c>
      <c r="F29" s="1490" t="s">
        <v>1700</v>
      </c>
      <c r="G29" s="1491"/>
      <c r="H29" s="1491"/>
      <c r="I29" s="1491"/>
      <c r="J29" s="1492"/>
      <c r="K29" s="3157"/>
      <c r="L29" s="3157"/>
      <c r="M29" s="3157"/>
      <c r="N29" s="3157"/>
      <c r="O29" s="3157"/>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48"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8"/>
      <c r="L32" s="3158"/>
      <c r="M32" s="3158"/>
      <c r="N32" s="3158"/>
      <c r="O32" s="3158"/>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34" t="s">
        <v>2961</v>
      </c>
      <c r="B33" s="1509" t="s">
        <v>998</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9"/>
      <c r="L33" s="3159"/>
      <c r="M33" s="3159"/>
      <c r="N33" s="3159"/>
      <c r="O33" s="3159"/>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35"/>
      <c r="B34" s="1439" t="s">
        <v>999</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9"/>
      <c r="L34" s="3159"/>
      <c r="M34" s="3159"/>
      <c r="N34" s="3159"/>
      <c r="O34" s="3159"/>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35"/>
      <c r="B35" s="1439" t="s">
        <v>1000</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9"/>
      <c r="L35" s="3159"/>
      <c r="M35" s="3159"/>
      <c r="N35" s="3159"/>
      <c r="O35" s="3159"/>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36"/>
      <c r="B36" s="1439" t="s">
        <v>1001</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9"/>
      <c r="L36" s="3159"/>
      <c r="M36" s="3159"/>
      <c r="N36" s="3159"/>
      <c r="O36" s="3159"/>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8" t="s">
        <v>2988</v>
      </c>
      <c r="C41" s="837" t="e">
        <f>ROUND(POWER(1+E41,H41-G41)*(POWER(1+E41,G41)-1)/(POWER(1+E41,H41)-1),4)</f>
        <v>#DIV/0!</v>
      </c>
      <c r="D41" s="377" t="s">
        <v>2986</v>
      </c>
      <c r="E41" s="3147">
        <f>G20</f>
        <v>0</v>
      </c>
      <c r="F41" s="377" t="s">
        <v>2987</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1006</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1019</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1020</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1021</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1022</v>
      </c>
      <c r="B50" s="3047" t="s">
        <v>2937</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1023</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1024</v>
      </c>
      <c r="B52" s="3046" t="s">
        <v>2936</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1029</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1020</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1021</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1022</v>
      </c>
      <c r="B61" s="3047" t="s">
        <v>2938</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1023</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1024</v>
      </c>
      <c r="B63" s="3046" t="s">
        <v>2936</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1025</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1026</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1031</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1032</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1021</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1033</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1025</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1026</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1024</v>
      </c>
      <c r="B75" s="3046" t="s">
        <v>2936</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1027</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0" t="s">
        <v>1036</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1032</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1021</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0" t="s">
        <v>1033</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1025</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1026</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0" t="s">
        <v>1024</v>
      </c>
      <c r="B86" s="3046" t="s">
        <v>2936</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1037</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2" t="s">
        <v>1632</v>
      </c>
      <c r="B90" s="3432"/>
      <c r="C90" s="3432"/>
      <c r="D90" s="3432"/>
      <c r="E90" s="3432"/>
      <c r="F90" s="3432"/>
      <c r="G90" s="3432"/>
      <c r="H90" s="3432"/>
      <c r="I90" s="3432"/>
      <c r="J90" s="3432"/>
      <c r="K90" s="2412"/>
      <c r="L90" s="2412"/>
      <c r="M90" s="2412"/>
      <c r="N90" s="2412"/>
    </row>
    <row r="91" spans="1:40">
      <c r="A91" s="3433" t="s">
        <v>1442</v>
      </c>
      <c r="B91" s="3433" t="s">
        <v>1633</v>
      </c>
      <c r="C91" s="1133" t="s">
        <v>1634</v>
      </c>
      <c r="D91" s="1134"/>
      <c r="E91" s="1134"/>
      <c r="F91" s="1134"/>
      <c r="G91" s="1134"/>
      <c r="H91" s="1134"/>
      <c r="I91" s="1134"/>
      <c r="J91" s="1135"/>
      <c r="K91" s="1127"/>
      <c r="L91" s="1127"/>
      <c r="M91" s="1127"/>
      <c r="N91" s="1127"/>
    </row>
    <row r="92" spans="1:40">
      <c r="A92" s="3433"/>
      <c r="B92" s="3433"/>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440" t="s">
        <v>2762</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1"/>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0" t="s">
        <v>1636</v>
      </c>
      <c r="B101" s="1140" t="s">
        <v>905</v>
      </c>
      <c r="C101" s="1141">
        <f>$G$3</f>
        <v>2.1800000000000002</v>
      </c>
      <c r="D101" s="1141">
        <f t="shared" ref="D101:N101" si="31">$G$3</f>
        <v>2.1800000000000002</v>
      </c>
      <c r="E101" s="1141">
        <f t="shared" si="31"/>
        <v>2.1800000000000002</v>
      </c>
      <c r="F101" s="1141">
        <f t="shared" si="31"/>
        <v>2.1800000000000002</v>
      </c>
      <c r="G101" s="1141">
        <f t="shared" si="31"/>
        <v>2.1800000000000002</v>
      </c>
      <c r="H101" s="1141">
        <f t="shared" si="31"/>
        <v>2.1800000000000002</v>
      </c>
      <c r="I101" s="1141">
        <f t="shared" si="31"/>
        <v>2.1800000000000002</v>
      </c>
      <c r="J101" s="1141">
        <f t="shared" si="31"/>
        <v>2.1800000000000002</v>
      </c>
      <c r="K101" s="1141">
        <f t="shared" si="31"/>
        <v>2.1800000000000002</v>
      </c>
      <c r="L101" s="1141">
        <f t="shared" si="31"/>
        <v>2.1800000000000002</v>
      </c>
      <c r="M101" s="1141">
        <f t="shared" si="31"/>
        <v>2.1800000000000002</v>
      </c>
      <c r="N101" s="1141">
        <f t="shared" si="31"/>
        <v>2.1800000000000002</v>
      </c>
    </row>
    <row r="102" spans="1:14">
      <c r="A102" s="3441"/>
      <c r="B102" s="1136">
        <v>1</v>
      </c>
      <c r="C102" s="1137">
        <f>1.9362/C101</f>
        <v>0.88816513761467875</v>
      </c>
      <c r="D102" s="1137">
        <f>1.9362/D101</f>
        <v>0.88816513761467875</v>
      </c>
      <c r="E102" s="1137">
        <f>1.8629/E101</f>
        <v>0.85454128440366961</v>
      </c>
      <c r="F102" s="1137">
        <f>1.8629/F101</f>
        <v>0.85454128440366961</v>
      </c>
      <c r="G102" s="1137">
        <f>1.8629/G101</f>
        <v>0.85454128440366961</v>
      </c>
      <c r="H102" s="1137">
        <f>1.8629/H101</f>
        <v>0.85454128440366961</v>
      </c>
      <c r="I102" s="1137">
        <f>1.8629/I101</f>
        <v>0.85454128440366961</v>
      </c>
      <c r="J102" s="1137">
        <f>1.942/J101</f>
        <v>0.89082568807339446</v>
      </c>
      <c r="K102" s="1137">
        <f>1.942/K101</f>
        <v>0.89082568807339446</v>
      </c>
      <c r="L102" s="1137">
        <f>1.942/L101</f>
        <v>0.89082568807339446</v>
      </c>
      <c r="M102" s="1137">
        <f>1.942/M101</f>
        <v>0.89082568807339446</v>
      </c>
      <c r="N102" s="1137">
        <f>1.942/N101</f>
        <v>0.89082568807339446</v>
      </c>
    </row>
    <row r="103" spans="1:14">
      <c r="A103" s="3441"/>
      <c r="B103" s="1136">
        <v>2</v>
      </c>
      <c r="C103" s="1137">
        <f>1.4198/C101</f>
        <v>0.65128440366972473</v>
      </c>
      <c r="D103" s="1137">
        <f>1.4198/D101</f>
        <v>0.65128440366972473</v>
      </c>
      <c r="E103" s="1137">
        <f>1.3372/E101</f>
        <v>0.61339449541284397</v>
      </c>
      <c r="F103" s="1137">
        <f>1.3372/F101</f>
        <v>0.61339449541284397</v>
      </c>
      <c r="G103" s="1137">
        <f>1.3372/G101</f>
        <v>0.61339449541284397</v>
      </c>
      <c r="H103" s="1137">
        <f>1.3372/H101</f>
        <v>0.61339449541284397</v>
      </c>
      <c r="I103" s="1137">
        <f>1.3372/I101</f>
        <v>0.61339449541284397</v>
      </c>
      <c r="J103" s="1137">
        <f>1.2799/J101</f>
        <v>0.58711009174311923</v>
      </c>
      <c r="K103" s="1137">
        <f>1.2799/K101</f>
        <v>0.58711009174311923</v>
      </c>
      <c r="L103" s="1137">
        <f>1.2799/L101</f>
        <v>0.58711009174311923</v>
      </c>
      <c r="M103" s="1137">
        <f>1.2799/M101</f>
        <v>0.58711009174311923</v>
      </c>
      <c r="N103" s="1137">
        <f>1.2799/N101</f>
        <v>0.58711009174311923</v>
      </c>
    </row>
    <row r="104" spans="1:14">
      <c r="A104" s="3441"/>
      <c r="B104" s="1136">
        <v>3</v>
      </c>
      <c r="C104" s="1137">
        <f>1.1594/C101</f>
        <v>0.53183486238532107</v>
      </c>
      <c r="D104" s="1137">
        <f>1.1594/D101</f>
        <v>0.53183486238532107</v>
      </c>
      <c r="E104" s="1137">
        <f>1.0788/E101</f>
        <v>0.49486238532110088</v>
      </c>
      <c r="F104" s="1137">
        <f>1.0788/F101</f>
        <v>0.49486238532110088</v>
      </c>
      <c r="G104" s="1137">
        <f>1.0788/G101</f>
        <v>0.49486238532110088</v>
      </c>
      <c r="H104" s="1137">
        <f>1.0788/H101</f>
        <v>0.49486238532110088</v>
      </c>
      <c r="I104" s="1137">
        <f>1.0788/I101</f>
        <v>0.49486238532110088</v>
      </c>
      <c r="J104" s="1137">
        <f>1.0072/J101</f>
        <v>0.46201834862385321</v>
      </c>
      <c r="K104" s="1137">
        <f>1.0072/K101</f>
        <v>0.46201834862385321</v>
      </c>
      <c r="L104" s="1137">
        <f>1.0072/L101</f>
        <v>0.46201834862385321</v>
      </c>
      <c r="M104" s="1137">
        <f>1.0072/M101</f>
        <v>0.46201834862385321</v>
      </c>
      <c r="N104" s="1137">
        <f>1.0072/N101</f>
        <v>0.46201834862385321</v>
      </c>
    </row>
    <row r="105" spans="1:14">
      <c r="A105" s="3441"/>
      <c r="B105" s="1136">
        <v>4</v>
      </c>
      <c r="C105" s="1137">
        <f>0.9622/C101</f>
        <v>0.44137614678899084</v>
      </c>
      <c r="D105" s="1137">
        <f>0.9622/D101</f>
        <v>0.44137614678899084</v>
      </c>
      <c r="E105" s="1137">
        <f>0.8656/E101</f>
        <v>0.39706422018348625</v>
      </c>
      <c r="F105" s="1137">
        <f>0.8656/F101</f>
        <v>0.39706422018348625</v>
      </c>
      <c r="G105" s="1137">
        <f>0.8656/G101</f>
        <v>0.39706422018348625</v>
      </c>
      <c r="H105" s="1137">
        <f>0.8656/H101</f>
        <v>0.39706422018348625</v>
      </c>
      <c r="I105" s="1137">
        <f>0.8656/I101</f>
        <v>0.39706422018348625</v>
      </c>
      <c r="J105" s="1137">
        <f>0.7525/J101</f>
        <v>0.34518348623853207</v>
      </c>
      <c r="K105" s="1137">
        <f>0.7525/K101</f>
        <v>0.34518348623853207</v>
      </c>
      <c r="L105" s="1137">
        <f>0.7525/L101</f>
        <v>0.34518348623853207</v>
      </c>
      <c r="M105" s="1137">
        <f>0.7525/M101</f>
        <v>0.34518348623853207</v>
      </c>
      <c r="N105" s="1137">
        <f>0.7525/N101</f>
        <v>0.34518348623853207</v>
      </c>
    </row>
    <row r="106" spans="1:14">
      <c r="A106" s="3441"/>
      <c r="B106" s="1136">
        <v>5</v>
      </c>
      <c r="C106" s="1137">
        <f>0.8417/C101</f>
        <v>0.38610091743119263</v>
      </c>
      <c r="D106" s="1137">
        <f>0.8417/D101</f>
        <v>0.38610091743119263</v>
      </c>
      <c r="E106" s="1137">
        <f>0.7371/E101</f>
        <v>0.33811926605504583</v>
      </c>
      <c r="F106" s="1137">
        <f>0.7371/F101</f>
        <v>0.33811926605504583</v>
      </c>
      <c r="G106" s="1137">
        <f>0.7371/G101</f>
        <v>0.33811926605504583</v>
      </c>
      <c r="H106" s="1137">
        <f>0.7371/H101</f>
        <v>0.33811926605504583</v>
      </c>
      <c r="I106" s="1137">
        <f>0.7371/I101</f>
        <v>0.33811926605504583</v>
      </c>
      <c r="J106" s="1137">
        <f>0.5659/J101</f>
        <v>0.25958715596330273</v>
      </c>
      <c r="K106" s="1137">
        <f>0.5659/K101</f>
        <v>0.25958715596330273</v>
      </c>
      <c r="L106" s="1137">
        <f>0.5659/L101</f>
        <v>0.25958715596330273</v>
      </c>
      <c r="M106" s="1137">
        <f>0.5659/M101</f>
        <v>0.25958715596330273</v>
      </c>
      <c r="N106" s="1137">
        <f>0.5659/N101</f>
        <v>0.25958715596330273</v>
      </c>
    </row>
    <row r="107" spans="1:14">
      <c r="A107" s="3441"/>
      <c r="B107" s="1136">
        <v>6</v>
      </c>
      <c r="C107" s="1137">
        <f>0.7608/C101</f>
        <v>0.34899082568807338</v>
      </c>
      <c r="D107" s="1137">
        <f>0.7608/D101</f>
        <v>0.34899082568807338</v>
      </c>
      <c r="E107" s="1137">
        <f>0.6482/E101</f>
        <v>0.29733944954128438</v>
      </c>
      <c r="F107" s="1137">
        <f>0.6482/F101</f>
        <v>0.29733944954128438</v>
      </c>
      <c r="G107" s="1137">
        <f>0.6482/G101</f>
        <v>0.29733944954128438</v>
      </c>
      <c r="H107" s="1137">
        <f>0.6482/H101</f>
        <v>0.29733944954128438</v>
      </c>
      <c r="I107" s="1137">
        <f>0.6482/I101</f>
        <v>0.29733944954128438</v>
      </c>
      <c r="J107" s="1137">
        <f>0.4525/J101</f>
        <v>0.20756880733944955</v>
      </c>
      <c r="K107" s="1137">
        <f>0.4525/K101</f>
        <v>0.20756880733944955</v>
      </c>
      <c r="L107" s="1137">
        <f>0.4525/L101</f>
        <v>0.20756880733944955</v>
      </c>
      <c r="M107" s="1137">
        <f>0.4525/M101</f>
        <v>0.20756880733944955</v>
      </c>
      <c r="N107" s="1137">
        <f>0.4525/N101</f>
        <v>0.20756880733944955</v>
      </c>
    </row>
    <row r="108" spans="1:14">
      <c r="A108" s="3441"/>
      <c r="B108" s="3443"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2"/>
      <c r="B109" s="3444"/>
      <c r="C109" s="1139">
        <f>(-0.163*(C108^2)-0.59*C108+7617)*(10^(-4))/C101</f>
        <v>0.348708623853211</v>
      </c>
      <c r="D109" s="1139">
        <f>(-0.163*(D108^2)-0.59*D108+7617)*(10^(-4))/D101</f>
        <v>0.348708623853211</v>
      </c>
      <c r="E109" s="1139">
        <f>(-0.161*(E108^2)-7.509*E108+6533)*(10^(-4))/E101</f>
        <v>0.29645064220183487</v>
      </c>
      <c r="F109" s="1139">
        <f>(-0.161*(F108^2)-7.509*F108+6533)*(10^(-4))/F101</f>
        <v>0.29645064220183487</v>
      </c>
      <c r="G109" s="1139">
        <f>(-0.161*(G108^2)-7.509*G108+6533)*(10^(-4))/G101</f>
        <v>0.29645064220183487</v>
      </c>
      <c r="H109" s="1139">
        <f>(-0.161*(H108^2)-7.509*H108+6533)*(10^(-4))/H101</f>
        <v>0.29645064220183487</v>
      </c>
      <c r="I109" s="1139">
        <f>(-0.161*(I108^2)-7.509*I108+6533)*(10^(-4))/I101</f>
        <v>0.29645064220183487</v>
      </c>
      <c r="J109" s="1139">
        <f>(-0.214*(J108^2)-21.991*J108+4665)*(10^(-4))/J101</f>
        <v>0.20529247706422019</v>
      </c>
      <c r="K109" s="1139">
        <f>(-0.214*(K108^2)-21.991*K108+4665)*(10^(-4))/K101</f>
        <v>0.20529247706422019</v>
      </c>
      <c r="L109" s="1139">
        <f>(-0.214*(L108^2)-21.991*L108+4665)*(10^(-4))/L101</f>
        <v>0.20529247706422019</v>
      </c>
      <c r="M109" s="1139">
        <f>(-0.214*(M108^2)-21.991*M108+4665)*(10^(-4))/M101</f>
        <v>0.20529247706422019</v>
      </c>
      <c r="N109" s="1139">
        <f>(-0.214*(N108^2)-21.991*N108+4665)*(10^(-4))/N101</f>
        <v>0.20529247706422019</v>
      </c>
    </row>
    <row r="110" spans="1:14">
      <c r="A110" s="3426" t="s">
        <v>1638</v>
      </c>
      <c r="B110" s="3426"/>
      <c r="C110" s="3426"/>
      <c r="D110" s="3426"/>
      <c r="E110" s="3426"/>
      <c r="F110" s="3426"/>
      <c r="G110" s="3426"/>
      <c r="H110" s="3426"/>
      <c r="I110" s="3426"/>
      <c r="J110" s="3426"/>
      <c r="K110" s="2410"/>
      <c r="L110" s="2410"/>
      <c r="M110" s="2410"/>
      <c r="N110" s="2410"/>
    </row>
    <row r="112" spans="1:14" ht="12.75" thickBot="1"/>
    <row r="113" spans="1:13" ht="25.5" thickBot="1">
      <c r="A113" s="1013" t="s">
        <v>895</v>
      </c>
      <c r="B113" s="2413">
        <f>G3</f>
        <v>2.1800000000000002</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0.91300000000000003</v>
      </c>
      <c r="C115" s="1027">
        <f>B115</f>
        <v>0.91300000000000003</v>
      </c>
      <c r="D115" s="1027">
        <f>ROUND(0.8331-0.0109*B113,4)</f>
        <v>0.80930000000000002</v>
      </c>
      <c r="E115" s="1027">
        <f>D115</f>
        <v>0.80930000000000002</v>
      </c>
      <c r="F115" s="1027">
        <f>E115</f>
        <v>0.80930000000000002</v>
      </c>
      <c r="G115" s="1027">
        <f>F115</f>
        <v>0.80930000000000002</v>
      </c>
      <c r="H115" s="1027">
        <f>G115</f>
        <v>0.80930000000000002</v>
      </c>
      <c r="I115" s="1027">
        <f>ROUND(0.689-0.0155*B113,4)</f>
        <v>0.6552</v>
      </c>
      <c r="J115" s="1027">
        <f t="shared" ref="J115:M118" si="33">I115</f>
        <v>0.6552</v>
      </c>
      <c r="K115" s="1027">
        <f t="shared" si="33"/>
        <v>0.6552</v>
      </c>
      <c r="L115" s="1027">
        <f t="shared" si="33"/>
        <v>0.6552</v>
      </c>
      <c r="M115" s="1028">
        <f t="shared" si="33"/>
        <v>0.6552</v>
      </c>
    </row>
    <row r="116" spans="1:13" ht="12.75">
      <c r="A116" s="1026" t="s">
        <v>900</v>
      </c>
      <c r="B116" s="1027">
        <f>ROUND(0.949-0.012*B113,4)</f>
        <v>0.92279999999999995</v>
      </c>
      <c r="C116" s="1027">
        <f>B116</f>
        <v>0.92279999999999995</v>
      </c>
      <c r="D116" s="1027">
        <f>ROUND(0.8567-0.013*B113,4)</f>
        <v>0.82840000000000003</v>
      </c>
      <c r="E116" s="1027">
        <f t="shared" ref="E116:H117" si="34">D116</f>
        <v>0.82840000000000003</v>
      </c>
      <c r="F116" s="1027">
        <f t="shared" si="34"/>
        <v>0.82840000000000003</v>
      </c>
      <c r="G116" s="1027">
        <f t="shared" si="34"/>
        <v>0.82840000000000003</v>
      </c>
      <c r="H116" s="1027">
        <f t="shared" si="34"/>
        <v>0.82840000000000003</v>
      </c>
      <c r="I116" s="1027">
        <f>ROUND(0.7694-0.014*B113,4)</f>
        <v>0.7389</v>
      </c>
      <c r="J116" s="1027">
        <f t="shared" si="33"/>
        <v>0.7389</v>
      </c>
      <c r="K116" s="1027">
        <f t="shared" si="33"/>
        <v>0.7389</v>
      </c>
      <c r="L116" s="1027">
        <f t="shared" si="33"/>
        <v>0.7389</v>
      </c>
      <c r="M116" s="1028">
        <f t="shared" si="33"/>
        <v>0.7389</v>
      </c>
    </row>
    <row r="117" spans="1:13" ht="12.75">
      <c r="A117" s="1029" t="s">
        <v>901</v>
      </c>
      <c r="B117" s="1027">
        <f>ROUND(0.8808-0.006*B113,4)</f>
        <v>0.86770000000000003</v>
      </c>
      <c r="C117" s="1027">
        <f>B117</f>
        <v>0.86770000000000003</v>
      </c>
      <c r="D117" s="1027">
        <f>ROUND(0.8748-0.008*B113,4)</f>
        <v>0.85740000000000005</v>
      </c>
      <c r="E117" s="1027">
        <f t="shared" si="34"/>
        <v>0.85740000000000005</v>
      </c>
      <c r="F117" s="1027">
        <f t="shared" si="34"/>
        <v>0.85740000000000005</v>
      </c>
      <c r="G117" s="1027">
        <f t="shared" si="34"/>
        <v>0.85740000000000005</v>
      </c>
      <c r="H117" s="1027">
        <f t="shared" si="34"/>
        <v>0.85740000000000005</v>
      </c>
      <c r="I117" s="1027">
        <f>ROUND(0.7412-0.0095*B113,4)</f>
        <v>0.72050000000000003</v>
      </c>
      <c r="J117" s="1027">
        <f t="shared" si="33"/>
        <v>0.72050000000000003</v>
      </c>
      <c r="K117" s="1027">
        <f t="shared" si="33"/>
        <v>0.72050000000000003</v>
      </c>
      <c r="L117" s="1027">
        <f t="shared" si="33"/>
        <v>0.72050000000000003</v>
      </c>
      <c r="M117" s="1028">
        <f t="shared" si="33"/>
        <v>0.72050000000000003</v>
      </c>
    </row>
    <row r="118" spans="1:13" ht="13.5" thickBot="1">
      <c r="A118" s="1030" t="s">
        <v>902</v>
      </c>
      <c r="B118" s="1031">
        <f>ROUND(0.7275-0.01*B113,4)</f>
        <v>0.70569999999999999</v>
      </c>
      <c r="C118" s="1031">
        <f>B118</f>
        <v>0.70569999999999999</v>
      </c>
      <c r="D118" s="1031">
        <f>ROUND(0.7043-0.012*B113,4)</f>
        <v>0.67810000000000004</v>
      </c>
      <c r="E118" s="1031">
        <f>D118</f>
        <v>0.67810000000000004</v>
      </c>
      <c r="F118" s="1031">
        <f>E118</f>
        <v>0.67810000000000004</v>
      </c>
      <c r="G118" s="1031">
        <f>ROUND(0.6299-0.0122*B113,4)</f>
        <v>0.60329999999999995</v>
      </c>
      <c r="H118" s="1031">
        <f>G118</f>
        <v>0.60329999999999995</v>
      </c>
      <c r="I118" s="1031">
        <f>ROUND(0.5667-0.0136*B113,4)</f>
        <v>0.53710000000000002</v>
      </c>
      <c r="J118" s="1031">
        <f t="shared" si="33"/>
        <v>0.53710000000000002</v>
      </c>
      <c r="K118" s="1031">
        <f t="shared" si="33"/>
        <v>0.53710000000000002</v>
      </c>
      <c r="L118" s="1031">
        <f t="shared" si="33"/>
        <v>0.53710000000000002</v>
      </c>
      <c r="M118" s="1032">
        <f t="shared" si="33"/>
        <v>0.53710000000000002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9"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2" customFormat="1" ht="19.5" customHeight="1">
      <c r="A18" s="3433" t="s">
        <v>1006</v>
      </c>
      <c r="B18" s="1147" t="s">
        <v>1445</v>
      </c>
      <c r="C18" s="1124" t="s">
        <v>1446</v>
      </c>
      <c r="D18" s="1125"/>
      <c r="E18" s="1147">
        <v>1</v>
      </c>
      <c r="F18" s="1126" t="s">
        <v>1447</v>
      </c>
      <c r="G18" s="1127"/>
      <c r="H18" s="1098"/>
      <c r="I18" s="1098"/>
    </row>
    <row r="19" spans="1:9" s="1582" customFormat="1" ht="19.5" customHeight="1">
      <c r="A19" s="3433"/>
      <c r="B19" s="3433" t="s">
        <v>1448</v>
      </c>
      <c r="C19" s="1124" t="s">
        <v>1449</v>
      </c>
      <c r="D19" s="1125"/>
      <c r="E19" s="1147">
        <v>0.9</v>
      </c>
      <c r="F19" s="1126" t="s">
        <v>1450</v>
      </c>
      <c r="G19" s="1127"/>
      <c r="H19" s="1098"/>
      <c r="I19" s="1098"/>
    </row>
    <row r="20" spans="1:9" s="1582" customFormat="1" ht="19.5" customHeight="1">
      <c r="A20" s="3433"/>
      <c r="B20" s="3433"/>
      <c r="C20" s="1124" t="s">
        <v>1451</v>
      </c>
      <c r="D20" s="1125"/>
      <c r="E20" s="1147">
        <v>1.1000000000000001</v>
      </c>
      <c r="F20" s="1126" t="s">
        <v>1452</v>
      </c>
      <c r="G20" s="1127"/>
      <c r="H20" s="1098"/>
      <c r="I20" s="1098"/>
    </row>
    <row r="21" spans="1:9" s="1582" customFormat="1" ht="19.5" customHeight="1">
      <c r="A21" s="3433"/>
      <c r="B21" s="3433"/>
      <c r="C21" s="1124" t="s">
        <v>1453</v>
      </c>
      <c r="D21" s="1125"/>
      <c r="E21" s="1147">
        <v>0.8</v>
      </c>
      <c r="F21" s="1126" t="s">
        <v>1454</v>
      </c>
      <c r="G21" s="1127"/>
      <c r="H21" s="1098"/>
      <c r="I21" s="1098"/>
    </row>
    <row r="22" spans="1:9" s="1582" customFormat="1" ht="19.5" customHeight="1">
      <c r="A22" s="3433"/>
      <c r="B22" s="3433"/>
      <c r="C22" s="1124" t="s">
        <v>1455</v>
      </c>
      <c r="D22" s="1125"/>
      <c r="E22" s="1147">
        <v>0.5</v>
      </c>
      <c r="F22" s="1126"/>
      <c r="G22" s="1127"/>
      <c r="H22" s="1098"/>
      <c r="I22" s="1098"/>
    </row>
    <row r="23" spans="1:9" s="1582" customFormat="1" ht="19.5" customHeight="1">
      <c r="A23" s="3433" t="s">
        <v>1028</v>
      </c>
      <c r="B23" s="1147" t="s">
        <v>1445</v>
      </c>
      <c r="C23" s="1124" t="s">
        <v>1456</v>
      </c>
      <c r="D23" s="1125"/>
      <c r="E23" s="1147">
        <v>1</v>
      </c>
      <c r="F23" s="1126" t="s">
        <v>1457</v>
      </c>
      <c r="G23" s="1127"/>
      <c r="H23" s="1098"/>
      <c r="I23" s="1098"/>
    </row>
    <row r="24" spans="1:9" s="1582" customFormat="1" ht="19.5" customHeight="1">
      <c r="A24" s="3433"/>
      <c r="B24" s="3433" t="s">
        <v>1448</v>
      </c>
      <c r="C24" s="1124" t="s">
        <v>1458</v>
      </c>
      <c r="D24" s="1125"/>
      <c r="E24" s="1147">
        <v>0.5</v>
      </c>
      <c r="F24" s="1126"/>
      <c r="G24" s="1127"/>
      <c r="H24" s="1098"/>
      <c r="I24" s="1098"/>
    </row>
    <row r="25" spans="1:9" s="1582" customFormat="1" ht="19.5" customHeight="1">
      <c r="A25" s="3433"/>
      <c r="B25" s="3433"/>
      <c r="C25" s="1124" t="s">
        <v>1459</v>
      </c>
      <c r="D25" s="1125"/>
      <c r="E25" s="1147">
        <v>1.1000000000000001</v>
      </c>
      <c r="F25" s="1126"/>
      <c r="G25" s="1127"/>
      <c r="H25" s="1098"/>
      <c r="I25" s="1098"/>
    </row>
    <row r="26" spans="1:9" s="1582" customFormat="1" ht="19.5" customHeight="1">
      <c r="A26" s="3433"/>
      <c r="B26" s="3433"/>
      <c r="C26" s="1124" t="s">
        <v>1460</v>
      </c>
      <c r="D26" s="1125"/>
      <c r="E26" s="1147">
        <v>1.1000000000000001</v>
      </c>
      <c r="F26" s="1126"/>
      <c r="G26" s="1127"/>
      <c r="H26" s="1098"/>
      <c r="I26" s="1098"/>
    </row>
    <row r="27" spans="1:9" s="1582" customFormat="1" ht="19.5" customHeight="1">
      <c r="A27" s="3433"/>
      <c r="B27" s="3433"/>
      <c r="C27" s="1124" t="s">
        <v>1461</v>
      </c>
      <c r="D27" s="1125"/>
      <c r="E27" s="1147">
        <v>0.9</v>
      </c>
      <c r="F27" s="1126" t="s">
        <v>1462</v>
      </c>
      <c r="G27" s="1127"/>
      <c r="H27" s="1098"/>
      <c r="I27" s="1098"/>
    </row>
    <row r="28" spans="1:9" s="1582" customFormat="1" ht="19.5" customHeight="1">
      <c r="A28" s="3433"/>
      <c r="B28" s="3433"/>
      <c r="C28" s="1124" t="s">
        <v>1463</v>
      </c>
      <c r="D28" s="1125"/>
      <c r="E28" s="1147">
        <v>0.9</v>
      </c>
      <c r="F28" s="1126" t="s">
        <v>1464</v>
      </c>
      <c r="G28" s="1127"/>
      <c r="H28" s="1098"/>
      <c r="I28" s="1098"/>
    </row>
    <row r="29" spans="1:9" s="1582" customFormat="1" ht="19.5" customHeight="1">
      <c r="A29" s="3433"/>
      <c r="B29" s="3433"/>
      <c r="C29" s="1124" t="s">
        <v>1465</v>
      </c>
      <c r="D29" s="1125"/>
      <c r="E29" s="1147">
        <v>0.9</v>
      </c>
      <c r="F29" s="1126" t="s">
        <v>1466</v>
      </c>
      <c r="G29" s="1127"/>
      <c r="H29" s="1098"/>
      <c r="I29" s="1098"/>
    </row>
    <row r="30" spans="1:9" s="1582" customFormat="1" ht="19.5" customHeight="1">
      <c r="A30" s="3433"/>
      <c r="B30" s="3433"/>
      <c r="C30" s="1124" t="s">
        <v>1467</v>
      </c>
      <c r="D30" s="1125"/>
      <c r="E30" s="1147">
        <v>0.9</v>
      </c>
      <c r="F30" s="1126" t="s">
        <v>1468</v>
      </c>
      <c r="G30" s="1127"/>
      <c r="H30" s="1098"/>
      <c r="I30" s="1098"/>
    </row>
    <row r="31" spans="1:9" s="1582" customFormat="1" ht="19.5" customHeight="1">
      <c r="A31" s="3433"/>
      <c r="B31" s="3433"/>
      <c r="C31" s="1124" t="s">
        <v>1469</v>
      </c>
      <c r="D31" s="1125"/>
      <c r="E31" s="1147">
        <v>0.8</v>
      </c>
      <c r="F31" s="1126" t="s">
        <v>1470</v>
      </c>
      <c r="G31" s="1127"/>
      <c r="H31" s="1098"/>
      <c r="I31" s="1098"/>
    </row>
    <row r="32" spans="1:9" s="1582" customFormat="1" ht="19.5" customHeight="1">
      <c r="A32" s="3433"/>
      <c r="B32" s="3433"/>
      <c r="C32" s="1124" t="s">
        <v>1471</v>
      </c>
      <c r="D32" s="1125"/>
      <c r="E32" s="1147">
        <v>0.8</v>
      </c>
      <c r="F32" s="1126" t="s">
        <v>1472</v>
      </c>
      <c r="G32" s="1127"/>
      <c r="H32" s="1098"/>
      <c r="I32" s="1098"/>
    </row>
    <row r="33" spans="1:9" s="1582" customFormat="1" ht="19.5" customHeight="1">
      <c r="A33" s="3433" t="s">
        <v>1473</v>
      </c>
      <c r="B33" s="1147" t="s">
        <v>1445</v>
      </c>
      <c r="C33" s="1124" t="s">
        <v>1474</v>
      </c>
      <c r="D33" s="1125"/>
      <c r="E33" s="1147">
        <v>1</v>
      </c>
      <c r="F33" s="1126" t="s">
        <v>1475</v>
      </c>
      <c r="G33" s="1127"/>
      <c r="H33" s="1098"/>
      <c r="I33" s="1098"/>
    </row>
    <row r="34" spans="1:9" s="1582" customFormat="1" ht="19.5" customHeight="1">
      <c r="A34" s="3433"/>
      <c r="B34" s="1147" t="s">
        <v>1448</v>
      </c>
      <c r="C34" s="1124" t="s">
        <v>1476</v>
      </c>
      <c r="D34" s="1125"/>
      <c r="E34" s="1147">
        <v>1.5</v>
      </c>
      <c r="F34" s="1126" t="s">
        <v>1477</v>
      </c>
      <c r="G34" s="1127"/>
      <c r="H34" s="1098"/>
      <c r="I34" s="1098"/>
    </row>
    <row r="35" spans="1:9" s="1582" customFormat="1" ht="19.5" customHeight="1">
      <c r="A35" s="3433" t="s">
        <v>1431</v>
      </c>
      <c r="B35" s="1147" t="s">
        <v>1445</v>
      </c>
      <c r="C35" s="1124" t="s">
        <v>1478</v>
      </c>
      <c r="D35" s="1125"/>
      <c r="E35" s="1147">
        <v>1</v>
      </c>
      <c r="F35" s="1126" t="s">
        <v>1479</v>
      </c>
      <c r="G35" s="1127"/>
      <c r="H35" s="1098"/>
      <c r="I35" s="1098"/>
    </row>
    <row r="36" spans="1:9" s="1582" customFormat="1" ht="19.5" customHeight="1">
      <c r="A36" s="3433"/>
      <c r="B36" s="3433" t="s">
        <v>1448</v>
      </c>
      <c r="C36" s="1124" t="s">
        <v>1480</v>
      </c>
      <c r="D36" s="1125"/>
      <c r="E36" s="1147">
        <v>1</v>
      </c>
      <c r="F36" s="1126" t="s">
        <v>1481</v>
      </c>
      <c r="G36" s="1127"/>
      <c r="H36" s="1098"/>
      <c r="I36" s="1098"/>
    </row>
    <row r="37" spans="1:9" s="1582" customFormat="1" ht="19.5" customHeight="1">
      <c r="A37" s="3433"/>
      <c r="B37" s="3433"/>
      <c r="C37" s="1124" t="s">
        <v>1482</v>
      </c>
      <c r="D37" s="1125"/>
      <c r="E37" s="1147">
        <v>1.5</v>
      </c>
      <c r="F37" s="1126" t="s">
        <v>1483</v>
      </c>
      <c r="G37" s="1127"/>
      <c r="H37" s="1098"/>
      <c r="I37" s="1098"/>
    </row>
    <row r="38" spans="1:9" s="1582" customFormat="1" ht="19.5" customHeight="1">
      <c r="A38" s="3433"/>
      <c r="B38" s="3433"/>
      <c r="C38" s="1124" t="s">
        <v>1484</v>
      </c>
      <c r="D38" s="1125"/>
      <c r="E38" s="1147">
        <v>1</v>
      </c>
      <c r="F38" s="1126" t="s">
        <v>1485</v>
      </c>
      <c r="G38" s="1127"/>
      <c r="H38" s="1098"/>
      <c r="I38" s="1098"/>
    </row>
    <row r="39" spans="1:9" s="1582" customFormat="1" ht="19.5" customHeight="1">
      <c r="A39" s="3433"/>
      <c r="B39" s="3433"/>
      <c r="C39" s="1124" t="s">
        <v>1486</v>
      </c>
      <c r="D39" s="1125"/>
      <c r="E39" s="1147">
        <v>1</v>
      </c>
      <c r="F39" s="1126" t="s">
        <v>1487</v>
      </c>
      <c r="G39" s="1127"/>
      <c r="H39" s="1098"/>
      <c r="I39" s="1098"/>
    </row>
    <row r="40" spans="1:9" s="1582" customFormat="1" ht="19.5" customHeight="1">
      <c r="A40" s="1583" t="s">
        <v>1488</v>
      </c>
      <c r="B40" s="1583"/>
      <c r="C40" s="1583"/>
      <c r="D40" s="1583"/>
      <c r="E40" s="158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33" t="s">
        <v>1500</v>
      </c>
      <c r="C61" s="1061" t="s">
        <v>1501</v>
      </c>
      <c r="D61" s="1061" t="s">
        <v>1502</v>
      </c>
      <c r="E61" s="1132">
        <v>0.5</v>
      </c>
      <c r="F61" s="1147">
        <v>80</v>
      </c>
      <c r="H61" s="1098">
        <f>SUMIF(C59:C119,基准地价!C8,E59:E119)</f>
        <v>0</v>
      </c>
    </row>
    <row r="62" spans="1:8" s="1098" customFormat="1" ht="24">
      <c r="A62" s="1147">
        <v>2</v>
      </c>
      <c r="B62" s="3433"/>
      <c r="C62" s="1061" t="s">
        <v>1503</v>
      </c>
      <c r="D62" s="1061" t="s">
        <v>1504</v>
      </c>
      <c r="E62" s="1132">
        <v>0.5</v>
      </c>
      <c r="F62" s="1147">
        <v>80</v>
      </c>
    </row>
    <row r="63" spans="1:8" s="1098" customFormat="1" ht="36">
      <c r="A63" s="1147">
        <v>3</v>
      </c>
      <c r="B63" s="3433"/>
      <c r="C63" s="1061" t="s">
        <v>1505</v>
      </c>
      <c r="D63" s="1061" t="s">
        <v>1506</v>
      </c>
      <c r="E63" s="1132">
        <v>0.5</v>
      </c>
      <c r="F63" s="1147">
        <v>80</v>
      </c>
    </row>
    <row r="64" spans="1:8" s="1098" customFormat="1" ht="36">
      <c r="A64" s="1147">
        <v>4</v>
      </c>
      <c r="B64" s="3433"/>
      <c r="C64" s="1061" t="s">
        <v>1507</v>
      </c>
      <c r="D64" s="1061" t="s">
        <v>1508</v>
      </c>
      <c r="E64" s="1132">
        <v>0.4</v>
      </c>
      <c r="F64" s="1147">
        <v>60</v>
      </c>
    </row>
    <row r="65" spans="1:6" s="1098" customFormat="1" ht="36">
      <c r="A65" s="1147">
        <v>5</v>
      </c>
      <c r="B65" s="3433"/>
      <c r="C65" s="1061" t="s">
        <v>1509</v>
      </c>
      <c r="D65" s="1061" t="s">
        <v>1510</v>
      </c>
      <c r="E65" s="1132">
        <v>0.2</v>
      </c>
      <c r="F65" s="1147">
        <v>30</v>
      </c>
    </row>
    <row r="66" spans="1:6" s="1098" customFormat="1" ht="36">
      <c r="A66" s="1147">
        <v>6</v>
      </c>
      <c r="B66" s="3433"/>
      <c r="C66" s="1061" t="s">
        <v>1511</v>
      </c>
      <c r="D66" s="1061" t="s">
        <v>1512</v>
      </c>
      <c r="E66" s="1132">
        <v>0.3</v>
      </c>
      <c r="F66" s="1147">
        <v>50</v>
      </c>
    </row>
    <row r="67" spans="1:6" s="1098" customFormat="1" ht="36">
      <c r="A67" s="1147">
        <v>7</v>
      </c>
      <c r="B67" s="3433"/>
      <c r="C67" s="1061" t="s">
        <v>1513</v>
      </c>
      <c r="D67" s="1061" t="s">
        <v>1514</v>
      </c>
      <c r="E67" s="1132">
        <v>0.2</v>
      </c>
      <c r="F67" s="1147">
        <v>30</v>
      </c>
    </row>
    <row r="68" spans="1:6" s="1098" customFormat="1" ht="36">
      <c r="A68" s="1147">
        <v>8</v>
      </c>
      <c r="B68" s="3433"/>
      <c r="C68" s="1061" t="s">
        <v>1515</v>
      </c>
      <c r="D68" s="1061" t="s">
        <v>1516</v>
      </c>
      <c r="E68" s="1132">
        <v>0.2</v>
      </c>
      <c r="F68" s="1147">
        <v>30</v>
      </c>
    </row>
    <row r="69" spans="1:6" s="1098" customFormat="1" ht="36">
      <c r="A69" s="1147">
        <v>9</v>
      </c>
      <c r="B69" s="3433"/>
      <c r="C69" s="1061" t="s">
        <v>1517</v>
      </c>
      <c r="D69" s="1061" t="s">
        <v>1518</v>
      </c>
      <c r="E69" s="1132">
        <v>0.2</v>
      </c>
      <c r="F69" s="1147">
        <v>30</v>
      </c>
    </row>
    <row r="70" spans="1:6" s="1098" customFormat="1" ht="48">
      <c r="A70" s="1147">
        <v>10</v>
      </c>
      <c r="B70" s="3433"/>
      <c r="C70" s="1061" t="s">
        <v>1519</v>
      </c>
      <c r="D70" s="1061" t="s">
        <v>1520</v>
      </c>
      <c r="E70" s="1132">
        <v>0.2</v>
      </c>
      <c r="F70" s="1147">
        <v>30</v>
      </c>
    </row>
    <row r="71" spans="1:6" s="1098" customFormat="1" ht="48">
      <c r="A71" s="1147">
        <v>11</v>
      </c>
      <c r="B71" s="3433"/>
      <c r="C71" s="1061" t="s">
        <v>1521</v>
      </c>
      <c r="D71" s="1061" t="s">
        <v>1522</v>
      </c>
      <c r="E71" s="1132">
        <v>0.2</v>
      </c>
      <c r="F71" s="1147">
        <v>30</v>
      </c>
    </row>
    <row r="72" spans="1:6" s="1098" customFormat="1" ht="36">
      <c r="A72" s="1147">
        <v>12</v>
      </c>
      <c r="B72" s="3433"/>
      <c r="C72" s="1061" t="s">
        <v>1523</v>
      </c>
      <c r="D72" s="1061" t="s">
        <v>1524</v>
      </c>
      <c r="E72" s="1132">
        <v>0.5</v>
      </c>
      <c r="F72" s="1147">
        <v>80</v>
      </c>
    </row>
    <row r="73" spans="1:6" s="1098" customFormat="1" ht="24">
      <c r="A73" s="1147">
        <v>13</v>
      </c>
      <c r="B73" s="3433"/>
      <c r="C73" s="1061" t="s">
        <v>1525</v>
      </c>
      <c r="D73" s="1061" t="s">
        <v>1526</v>
      </c>
      <c r="E73" s="1132">
        <v>0.4</v>
      </c>
      <c r="F73" s="1147">
        <v>60</v>
      </c>
    </row>
    <row r="74" spans="1:6" s="1098" customFormat="1" ht="24">
      <c r="A74" s="1147">
        <v>14</v>
      </c>
      <c r="B74" s="3433"/>
      <c r="C74" s="1061" t="s">
        <v>1527</v>
      </c>
      <c r="D74" s="1061" t="s">
        <v>1528</v>
      </c>
      <c r="E74" s="1132">
        <v>0.2</v>
      </c>
      <c r="F74" s="1147">
        <v>30</v>
      </c>
    </row>
    <row r="75" spans="1:6" s="1098" customFormat="1" ht="24">
      <c r="A75" s="1147">
        <v>15</v>
      </c>
      <c r="B75" s="3433"/>
      <c r="C75" s="1061" t="s">
        <v>1529</v>
      </c>
      <c r="D75" s="1061" t="s">
        <v>1530</v>
      </c>
      <c r="E75" s="1132">
        <v>0.2</v>
      </c>
      <c r="F75" s="1147">
        <v>30</v>
      </c>
    </row>
    <row r="76" spans="1:6" s="1098" customFormat="1" ht="24">
      <c r="A76" s="1147">
        <v>16</v>
      </c>
      <c r="B76" s="3433" t="s">
        <v>1531</v>
      </c>
      <c r="C76" s="1061" t="s">
        <v>1532</v>
      </c>
      <c r="D76" s="1061" t="s">
        <v>1533</v>
      </c>
      <c r="E76" s="1132">
        <v>0.5</v>
      </c>
      <c r="F76" s="1147">
        <v>80</v>
      </c>
    </row>
    <row r="77" spans="1:6" s="1098" customFormat="1" ht="24">
      <c r="A77" s="1147">
        <v>17</v>
      </c>
      <c r="B77" s="3433"/>
      <c r="C77" s="1061" t="s">
        <v>1534</v>
      </c>
      <c r="D77" s="1061" t="s">
        <v>1535</v>
      </c>
      <c r="E77" s="1132">
        <v>0.5</v>
      </c>
      <c r="F77" s="1147">
        <v>80</v>
      </c>
    </row>
    <row r="78" spans="1:6" s="1098" customFormat="1" ht="24">
      <c r="A78" s="1147">
        <v>18</v>
      </c>
      <c r="B78" s="3433"/>
      <c r="C78" s="1061" t="s">
        <v>1536</v>
      </c>
      <c r="D78" s="1061" t="s">
        <v>1537</v>
      </c>
      <c r="E78" s="1132">
        <v>0.2</v>
      </c>
      <c r="F78" s="1147">
        <v>30</v>
      </c>
    </row>
    <row r="79" spans="1:6" s="1098" customFormat="1" ht="24">
      <c r="A79" s="1147">
        <v>19</v>
      </c>
      <c r="B79" s="3433"/>
      <c r="C79" s="1061" t="s">
        <v>1538</v>
      </c>
      <c r="D79" s="1061" t="s">
        <v>1539</v>
      </c>
      <c r="E79" s="1132">
        <v>0.5</v>
      </c>
      <c r="F79" s="1147">
        <v>80</v>
      </c>
    </row>
    <row r="80" spans="1:6" s="1098" customFormat="1" ht="36">
      <c r="A80" s="1147">
        <v>20</v>
      </c>
      <c r="B80" s="3433"/>
      <c r="C80" s="1061" t="s">
        <v>1540</v>
      </c>
      <c r="D80" s="1061" t="s">
        <v>1541</v>
      </c>
      <c r="E80" s="1132">
        <v>0.2</v>
      </c>
      <c r="F80" s="1147">
        <v>30</v>
      </c>
    </row>
    <row r="81" spans="1:6" s="1098" customFormat="1" ht="36">
      <c r="A81" s="1147">
        <v>21</v>
      </c>
      <c r="B81" s="3433"/>
      <c r="C81" s="1061" t="s">
        <v>1542</v>
      </c>
      <c r="D81" s="1061" t="s">
        <v>1543</v>
      </c>
      <c r="E81" s="1132">
        <v>0.2</v>
      </c>
      <c r="F81" s="1147">
        <v>30</v>
      </c>
    </row>
    <row r="82" spans="1:6" s="1098" customFormat="1" ht="48">
      <c r="A82" s="1147">
        <v>22</v>
      </c>
      <c r="B82" s="3433"/>
      <c r="C82" s="1061" t="s">
        <v>1544</v>
      </c>
      <c r="D82" s="1061" t="s">
        <v>1545</v>
      </c>
      <c r="E82" s="1132">
        <v>0.2</v>
      </c>
      <c r="F82" s="1147">
        <v>30</v>
      </c>
    </row>
    <row r="83" spans="1:6" s="1098" customFormat="1" ht="48">
      <c r="A83" s="1147">
        <v>23</v>
      </c>
      <c r="B83" s="3433"/>
      <c r="C83" s="1061" t="s">
        <v>1546</v>
      </c>
      <c r="D83" s="1061" t="s">
        <v>1547</v>
      </c>
      <c r="E83" s="1132">
        <v>0.2</v>
      </c>
      <c r="F83" s="1147">
        <v>30</v>
      </c>
    </row>
    <row r="84" spans="1:6" s="1098" customFormat="1" ht="36">
      <c r="A84" s="1147">
        <v>24</v>
      </c>
      <c r="B84" s="3433"/>
      <c r="C84" s="1061" t="s">
        <v>1548</v>
      </c>
      <c r="D84" s="1061" t="s">
        <v>1549</v>
      </c>
      <c r="E84" s="1132">
        <v>0.2</v>
      </c>
      <c r="F84" s="1147">
        <v>30</v>
      </c>
    </row>
    <row r="85" spans="1:6" s="1098" customFormat="1" ht="36">
      <c r="A85" s="1147">
        <v>25</v>
      </c>
      <c r="B85" s="3433"/>
      <c r="C85" s="1061" t="s">
        <v>1550</v>
      </c>
      <c r="D85" s="1061" t="s">
        <v>1551</v>
      </c>
      <c r="E85" s="1132">
        <v>0.5</v>
      </c>
      <c r="F85" s="1147">
        <v>80</v>
      </c>
    </row>
    <row r="86" spans="1:6" s="1098" customFormat="1" ht="36">
      <c r="A86" s="1147">
        <v>26</v>
      </c>
      <c r="B86" s="3433"/>
      <c r="C86" s="1061" t="s">
        <v>1552</v>
      </c>
      <c r="D86" s="1061" t="s">
        <v>1553</v>
      </c>
      <c r="E86" s="1132">
        <v>0.2</v>
      </c>
      <c r="F86" s="1147">
        <v>30</v>
      </c>
    </row>
    <row r="87" spans="1:6" s="1098" customFormat="1" ht="36">
      <c r="A87" s="1147">
        <v>27</v>
      </c>
      <c r="B87" s="3433"/>
      <c r="C87" s="1061" t="s">
        <v>1554</v>
      </c>
      <c r="D87" s="1061" t="s">
        <v>1555</v>
      </c>
      <c r="E87" s="1132">
        <v>0.2</v>
      </c>
      <c r="F87" s="1147">
        <v>30</v>
      </c>
    </row>
    <row r="88" spans="1:6" s="1098" customFormat="1" ht="36">
      <c r="A88" s="1147">
        <v>28</v>
      </c>
      <c r="B88" s="3433"/>
      <c r="C88" s="1061" t="s">
        <v>1556</v>
      </c>
      <c r="D88" s="1061" t="s">
        <v>1557</v>
      </c>
      <c r="E88" s="1132">
        <v>0.2</v>
      </c>
      <c r="F88" s="1147">
        <v>30</v>
      </c>
    </row>
    <row r="89" spans="1:6" s="1098" customFormat="1" ht="24">
      <c r="A89" s="1147">
        <v>29</v>
      </c>
      <c r="B89" s="3433"/>
      <c r="C89" s="1061" t="s">
        <v>1558</v>
      </c>
      <c r="D89" s="1061" t="s">
        <v>1559</v>
      </c>
      <c r="E89" s="1132">
        <v>0.2</v>
      </c>
      <c r="F89" s="1147">
        <v>30</v>
      </c>
    </row>
    <row r="90" spans="1:6" s="1098" customFormat="1" ht="24">
      <c r="A90" s="1147">
        <v>30</v>
      </c>
      <c r="B90" s="3433"/>
      <c r="C90" s="1061" t="s">
        <v>1560</v>
      </c>
      <c r="D90" s="1061" t="s">
        <v>1561</v>
      </c>
      <c r="E90" s="1132">
        <v>0.2</v>
      </c>
      <c r="F90" s="1147">
        <v>30</v>
      </c>
    </row>
    <row r="91" spans="1:6" s="1098" customFormat="1" ht="36">
      <c r="A91" s="1147">
        <v>31</v>
      </c>
      <c r="B91" s="3433"/>
      <c r="C91" s="1061" t="s">
        <v>1562</v>
      </c>
      <c r="D91" s="1061" t="s">
        <v>1563</v>
      </c>
      <c r="E91" s="1132">
        <v>0.2</v>
      </c>
      <c r="F91" s="1147">
        <v>30</v>
      </c>
    </row>
    <row r="92" spans="1:6" s="1098" customFormat="1" ht="24">
      <c r="A92" s="1147">
        <v>32</v>
      </c>
      <c r="B92" s="3433" t="s">
        <v>1564</v>
      </c>
      <c r="C92" s="1147" t="s">
        <v>1565</v>
      </c>
      <c r="D92" s="1061" t="s">
        <v>1566</v>
      </c>
      <c r="E92" s="1132">
        <v>0.2</v>
      </c>
      <c r="F92" s="1147">
        <v>30</v>
      </c>
    </row>
    <row r="93" spans="1:6" s="1098" customFormat="1" ht="36">
      <c r="A93" s="1147">
        <v>33</v>
      </c>
      <c r="B93" s="3433"/>
      <c r="C93" s="1147" t="s">
        <v>1567</v>
      </c>
      <c r="D93" s="1061" t="s">
        <v>1568</v>
      </c>
      <c r="E93" s="1132">
        <v>0.2</v>
      </c>
      <c r="F93" s="1147">
        <v>30</v>
      </c>
    </row>
    <row r="94" spans="1:6" s="1098" customFormat="1" ht="48">
      <c r="A94" s="1147">
        <v>34</v>
      </c>
      <c r="B94" s="3433"/>
      <c r="C94" s="1147" t="s">
        <v>1569</v>
      </c>
      <c r="D94" s="1061" t="s">
        <v>1570</v>
      </c>
      <c r="E94" s="1132">
        <v>0.2</v>
      </c>
      <c r="F94" s="1147">
        <v>30</v>
      </c>
    </row>
    <row r="95" spans="1:6" s="1098" customFormat="1" ht="36">
      <c r="A95" s="1147">
        <v>35</v>
      </c>
      <c r="B95" s="3433"/>
      <c r="C95" s="1147" t="s">
        <v>1571</v>
      </c>
      <c r="D95" s="1061" t="s">
        <v>1572</v>
      </c>
      <c r="E95" s="1132">
        <v>0.2</v>
      </c>
      <c r="F95" s="1147">
        <v>30</v>
      </c>
    </row>
    <row r="96" spans="1:6" s="1098" customFormat="1" ht="48">
      <c r="A96" s="1147">
        <v>36</v>
      </c>
      <c r="B96" s="3433"/>
      <c r="C96" s="1061" t="s">
        <v>1573</v>
      </c>
      <c r="D96" s="1061" t="s">
        <v>1574</v>
      </c>
      <c r="E96" s="1132">
        <v>0.2</v>
      </c>
      <c r="F96" s="1147">
        <v>30</v>
      </c>
    </row>
    <row r="97" spans="1:6" s="1098" customFormat="1" ht="36">
      <c r="A97" s="1147">
        <v>37</v>
      </c>
      <c r="B97" s="3433"/>
      <c r="C97" s="1147" t="s">
        <v>1575</v>
      </c>
      <c r="D97" s="1061" t="s">
        <v>1576</v>
      </c>
      <c r="E97" s="1132">
        <v>0.2</v>
      </c>
      <c r="F97" s="1147">
        <v>30</v>
      </c>
    </row>
    <row r="98" spans="1:6" s="1098" customFormat="1" ht="36">
      <c r="A98" s="1147">
        <v>38</v>
      </c>
      <c r="B98" s="3433"/>
      <c r="C98" s="1147" t="s">
        <v>1577</v>
      </c>
      <c r="D98" s="1061" t="s">
        <v>1578</v>
      </c>
      <c r="E98" s="1132">
        <v>0.2</v>
      </c>
      <c r="F98" s="1147">
        <v>30</v>
      </c>
    </row>
    <row r="99" spans="1:6" s="1098" customFormat="1" ht="36">
      <c r="A99" s="1147">
        <v>39</v>
      </c>
      <c r="B99" s="3433" t="s">
        <v>1579</v>
      </c>
      <c r="C99" s="1147" t="s">
        <v>1580</v>
      </c>
      <c r="D99" s="1061" t="s">
        <v>1581</v>
      </c>
      <c r="E99" s="1132">
        <v>0.3</v>
      </c>
      <c r="F99" s="1147">
        <v>50</v>
      </c>
    </row>
    <row r="100" spans="1:6" s="1098" customFormat="1" ht="24">
      <c r="A100" s="1147">
        <v>40</v>
      </c>
      <c r="B100" s="3433"/>
      <c r="C100" s="1147" t="s">
        <v>1582</v>
      </c>
      <c r="D100" s="1061" t="s">
        <v>1583</v>
      </c>
      <c r="E100" s="1132">
        <v>0.2</v>
      </c>
      <c r="F100" s="1147">
        <v>30</v>
      </c>
    </row>
    <row r="101" spans="1:6" s="1098" customFormat="1" ht="36">
      <c r="A101" s="1147">
        <v>41</v>
      </c>
      <c r="B101" s="3433"/>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33" t="s">
        <v>1594</v>
      </c>
      <c r="C105" s="1147" t="s">
        <v>1595</v>
      </c>
      <c r="D105" s="1061" t="s">
        <v>1596</v>
      </c>
      <c r="E105" s="1132">
        <v>0.2</v>
      </c>
      <c r="F105" s="1147">
        <v>30</v>
      </c>
    </row>
    <row r="106" spans="1:6" s="1098" customFormat="1" ht="36">
      <c r="A106" s="1147">
        <v>46</v>
      </c>
      <c r="B106" s="3433"/>
      <c r="C106" s="1147" t="s">
        <v>1597</v>
      </c>
      <c r="D106" s="1061" t="s">
        <v>1598</v>
      </c>
      <c r="E106" s="1132">
        <v>0.2</v>
      </c>
      <c r="F106" s="1147">
        <v>30</v>
      </c>
    </row>
    <row r="107" spans="1:6" s="1098" customFormat="1" ht="36">
      <c r="A107" s="1147">
        <v>47</v>
      </c>
      <c r="B107" s="3433" t="s">
        <v>1599</v>
      </c>
      <c r="C107" s="1147" t="s">
        <v>1600</v>
      </c>
      <c r="D107" s="1061" t="s">
        <v>1601</v>
      </c>
      <c r="E107" s="1132">
        <v>0.3</v>
      </c>
      <c r="F107" s="1147">
        <v>50</v>
      </c>
    </row>
    <row r="108" spans="1:6" s="1098" customFormat="1" ht="36">
      <c r="A108" s="1147">
        <v>48</v>
      </c>
      <c r="B108" s="3433"/>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33" t="s">
        <v>1610</v>
      </c>
      <c r="C111" s="1147" t="s">
        <v>1611</v>
      </c>
      <c r="D111" s="1061" t="s">
        <v>1612</v>
      </c>
      <c r="E111" s="1132">
        <v>0.2</v>
      </c>
      <c r="F111" s="1147">
        <v>30</v>
      </c>
    </row>
    <row r="112" spans="1:6" s="1098" customFormat="1" ht="24">
      <c r="A112" s="1147">
        <v>52</v>
      </c>
      <c r="B112" s="3433"/>
      <c r="C112" s="1147" t="s">
        <v>1613</v>
      </c>
      <c r="D112" s="1061" t="s">
        <v>1614</v>
      </c>
      <c r="E112" s="1132">
        <v>0.2</v>
      </c>
      <c r="F112" s="1147">
        <v>30</v>
      </c>
    </row>
    <row r="113" spans="1:14" s="1098" customFormat="1" ht="24">
      <c r="A113" s="1147">
        <v>53</v>
      </c>
      <c r="B113" s="3433"/>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33" t="s">
        <v>1623</v>
      </c>
      <c r="C116" s="1147" t="s">
        <v>1624</v>
      </c>
      <c r="D116" s="1061" t="s">
        <v>1625</v>
      </c>
      <c r="E116" s="1132">
        <v>0.2</v>
      </c>
      <c r="F116" s="1147">
        <v>30</v>
      </c>
    </row>
    <row r="117" spans="1:14" ht="36">
      <c r="A117" s="1147">
        <v>57</v>
      </c>
      <c r="B117" s="3433"/>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32" t="s">
        <v>1632</v>
      </c>
      <c r="B121" s="3432"/>
      <c r="C121" s="3432"/>
      <c r="D121" s="3432"/>
      <c r="E121" s="3432"/>
      <c r="F121" s="3432"/>
      <c r="G121" s="3432"/>
      <c r="H121" s="3432"/>
      <c r="I121" s="3432"/>
      <c r="J121" s="343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7" t="s">
        <v>1038</v>
      </c>
      <c r="B1" s="3447"/>
      <c r="C1" s="3447"/>
      <c r="D1" s="3447"/>
      <c r="E1" s="3447"/>
      <c r="F1" s="3447"/>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48" t="s">
        <v>1051</v>
      </c>
      <c r="B2" s="3448"/>
      <c r="C2" s="3448"/>
      <c r="D2" s="3448"/>
      <c r="E2" s="3448"/>
      <c r="F2" s="3448"/>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49"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0"/>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51" t="s">
        <v>2078</v>
      </c>
      <c r="B1" s="3451"/>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2092</v>
      </c>
      <c r="C72" s="1852"/>
      <c r="D72" s="1852"/>
      <c r="E72" s="1852"/>
      <c r="F72" s="1844">
        <v>0.05</v>
      </c>
    </row>
    <row r="73" spans="1:6" ht="14.25" thickBot="1">
      <c r="A73" s="1838" t="s">
        <v>924</v>
      </c>
      <c r="B73" s="1842" t="s">
        <v>2093</v>
      </c>
      <c r="C73" s="1852"/>
      <c r="D73" s="1852"/>
      <c r="E73" s="1852"/>
      <c r="F73" s="1844">
        <v>0.05</v>
      </c>
    </row>
    <row r="74" spans="1:6" ht="14.25" thickBot="1">
      <c r="A74" s="1838" t="s">
        <v>924</v>
      </c>
      <c r="B74" s="1842" t="s">
        <v>2094</v>
      </c>
      <c r="C74" s="1852"/>
      <c r="D74" s="1852"/>
      <c r="E74" s="1852"/>
      <c r="F74" s="1844">
        <v>0.05</v>
      </c>
    </row>
    <row r="75" spans="1:6" ht="14.2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14.2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4" t="s">
        <v>2575</v>
      </c>
      <c r="C1" s="3454"/>
      <c r="D1" s="3454"/>
      <c r="E1" s="3454"/>
      <c r="F1" s="3454"/>
      <c r="G1" s="3453" t="s">
        <v>2576</v>
      </c>
      <c r="H1" s="3453"/>
      <c r="I1" s="3453"/>
      <c r="J1" s="3453"/>
      <c r="K1" s="3453"/>
      <c r="L1" s="3453"/>
      <c r="N1" s="3453" t="s">
        <v>2577</v>
      </c>
      <c r="O1" s="3453"/>
      <c r="P1" s="3453"/>
      <c r="Q1" s="3453"/>
      <c r="R1" s="2616"/>
      <c r="S1" s="3453" t="s">
        <v>2578</v>
      </c>
      <c r="T1" s="3453"/>
      <c r="U1" s="3453"/>
      <c r="V1" s="3453"/>
      <c r="X1" s="3452" t="s">
        <v>2638</v>
      </c>
      <c r="Y1" s="3453"/>
      <c r="Z1" s="3453"/>
      <c r="AA1" s="3453"/>
      <c r="AB1" s="3453"/>
      <c r="AD1" s="3452" t="s">
        <v>2642</v>
      </c>
      <c r="AE1" s="3453"/>
      <c r="AF1" s="3453"/>
      <c r="AG1" s="3453"/>
      <c r="AH1" s="3453"/>
    </row>
    <row r="2" spans="1:34" s="2717" customFormat="1" ht="14.25" thickBot="1">
      <c r="B2" s="2725" t="s">
        <v>2579</v>
      </c>
      <c r="C2" s="2725" t="s">
        <v>2640</v>
      </c>
      <c r="D2" s="2718" t="s">
        <v>1643</v>
      </c>
      <c r="E2" s="2718" t="s">
        <v>1948</v>
      </c>
      <c r="F2" s="2725" t="s">
        <v>2641</v>
      </c>
      <c r="G2" s="2721"/>
      <c r="H2" s="2720"/>
      <c r="I2" s="2725" t="s">
        <v>2956</v>
      </c>
      <c r="J2" s="2718" t="s">
        <v>2958</v>
      </c>
      <c r="K2" s="2718" t="s">
        <v>2959</v>
      </c>
      <c r="L2" s="2725" t="s">
        <v>2960</v>
      </c>
      <c r="N2" s="2725" t="s">
        <v>2579</v>
      </c>
      <c r="O2" s="2718" t="s">
        <v>2957</v>
      </c>
      <c r="P2" s="2718" t="s">
        <v>1948</v>
      </c>
      <c r="Q2" s="2725" t="s">
        <v>2641</v>
      </c>
      <c r="R2" s="2719"/>
      <c r="S2" s="2725" t="s">
        <v>2579</v>
      </c>
      <c r="T2" s="2718" t="s">
        <v>2957</v>
      </c>
      <c r="U2" s="2718" t="s">
        <v>1948</v>
      </c>
      <c r="V2" s="2725" t="s">
        <v>2641</v>
      </c>
      <c r="X2" s="2725" t="s">
        <v>2579</v>
      </c>
      <c r="Y2" s="2725" t="s">
        <v>2640</v>
      </c>
      <c r="Z2" s="2718" t="s">
        <v>1643</v>
      </c>
      <c r="AA2" s="2718" t="s">
        <v>1948</v>
      </c>
      <c r="AB2" s="2725" t="s">
        <v>2641</v>
      </c>
      <c r="AD2" s="2725" t="s">
        <v>2579</v>
      </c>
      <c r="AE2" s="2725" t="s">
        <v>2640</v>
      </c>
      <c r="AF2" s="2718" t="s">
        <v>1643</v>
      </c>
      <c r="AG2" s="2718" t="s">
        <v>1948</v>
      </c>
      <c r="AH2" s="2725" t="s">
        <v>2641</v>
      </c>
    </row>
    <row r="3" spans="1:34" s="3081" customFormat="1" ht="14.25">
      <c r="A3" s="3093" t="s">
        <v>2969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2992</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2993</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9">
        <v>0.6</v>
      </c>
      <c r="J6" s="3149">
        <v>0.37</v>
      </c>
      <c r="K6" s="3149">
        <v>0.63</v>
      </c>
      <c r="L6" s="3150">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2989</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56">
        <v>2018</v>
      </c>
      <c r="H7" s="2620">
        <v>4</v>
      </c>
      <c r="I7" s="3149">
        <v>0.96</v>
      </c>
      <c r="J7" s="3149">
        <v>1.03</v>
      </c>
      <c r="K7" s="3149">
        <v>0.92</v>
      </c>
      <c r="L7" s="3150">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2979</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56"/>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2980</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56"/>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2976</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62"/>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2967</v>
      </c>
      <c r="B11" s="3095">
        <v>439</v>
      </c>
      <c r="C11" s="3095">
        <v>327</v>
      </c>
      <c r="D11" s="3095">
        <f t="shared" si="54"/>
        <v>327</v>
      </c>
      <c r="E11" s="3095">
        <v>627</v>
      </c>
      <c r="F11" s="3096">
        <v>283</v>
      </c>
      <c r="G11" s="3461">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2971</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56"/>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2580</v>
      </c>
      <c r="B13" s="2630">
        <f t="shared" si="66"/>
        <v>419.31181600000002</v>
      </c>
      <c r="C13" s="2630">
        <f t="shared" si="66"/>
        <v>313.95436800000004</v>
      </c>
      <c r="D13" s="2630">
        <f t="shared" si="54"/>
        <v>313.95436800000004</v>
      </c>
      <c r="E13" s="2630">
        <f t="shared" si="67"/>
        <v>596.63028431999999</v>
      </c>
      <c r="F13" s="2630">
        <f t="shared" si="67"/>
        <v>274.74220703999998</v>
      </c>
      <c r="G13" s="3456"/>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2581</v>
      </c>
      <c r="B14" s="2630">
        <f t="shared" si="66"/>
        <v>405.524</v>
      </c>
      <c r="C14" s="2630">
        <f t="shared" si="66"/>
        <v>307.79840000000002</v>
      </c>
      <c r="D14" s="2630">
        <f t="shared" si="54"/>
        <v>307.79840000000002</v>
      </c>
      <c r="E14" s="2630">
        <f t="shared" si="67"/>
        <v>574.67759999999998</v>
      </c>
      <c r="F14" s="2630">
        <f t="shared" si="67"/>
        <v>270.20280000000002</v>
      </c>
      <c r="G14" s="3462"/>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969</v>
      </c>
      <c r="B15" s="2622">
        <v>392</v>
      </c>
      <c r="C15" s="2622">
        <v>302</v>
      </c>
      <c r="D15" s="2622">
        <f t="shared" si="54"/>
        <v>302</v>
      </c>
      <c r="E15" s="2622">
        <v>553</v>
      </c>
      <c r="F15" s="2623">
        <v>266</v>
      </c>
      <c r="G15" s="3461">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968</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56"/>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958</v>
      </c>
      <c r="B17" s="2630">
        <f t="shared" si="75"/>
        <v>360.06949782209392</v>
      </c>
      <c r="C17" s="2630">
        <f t="shared" si="75"/>
        <v>289.84672674747821</v>
      </c>
      <c r="D17" s="2630">
        <f t="shared" si="76"/>
        <v>289.84672674747821</v>
      </c>
      <c r="E17" s="2630">
        <f t="shared" si="77"/>
        <v>501.06543001181495</v>
      </c>
      <c r="F17" s="2630">
        <f t="shared" si="77"/>
        <v>256.82882500744967</v>
      </c>
      <c r="G17" s="3456"/>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967</v>
      </c>
      <c r="B18" s="2630">
        <f t="shared" si="75"/>
        <v>346.720748986128</v>
      </c>
      <c r="C18" s="2630">
        <f t="shared" si="75"/>
        <v>284.30282172386285</v>
      </c>
      <c r="D18" s="2630">
        <f t="shared" si="76"/>
        <v>284.30282172386285</v>
      </c>
      <c r="E18" s="2630">
        <f t="shared" si="77"/>
        <v>479.58023546306947</v>
      </c>
      <c r="F18" s="2630">
        <f t="shared" si="77"/>
        <v>253.25788877571213</v>
      </c>
      <c r="G18" s="3457"/>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966</v>
      </c>
      <c r="B19" s="2622">
        <v>333</v>
      </c>
      <c r="C19" s="2622">
        <v>277</v>
      </c>
      <c r="D19" s="2622">
        <f t="shared" si="76"/>
        <v>277</v>
      </c>
      <c r="E19" s="2622">
        <v>459</v>
      </c>
      <c r="F19" s="2623">
        <v>249</v>
      </c>
      <c r="G19" s="3455">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965</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56"/>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964</v>
      </c>
      <c r="B21" s="2630">
        <f t="shared" si="79"/>
        <v>322.34053690220776</v>
      </c>
      <c r="C21" s="2630">
        <f t="shared" si="79"/>
        <v>271.46160770422546</v>
      </c>
      <c r="D21" s="2630">
        <f t="shared" si="76"/>
        <v>271.46160770422546</v>
      </c>
      <c r="E21" s="2630">
        <f t="shared" si="80"/>
        <v>442.69434542172456</v>
      </c>
      <c r="F21" s="2630">
        <f t="shared" si="80"/>
        <v>241.34030753190925</v>
      </c>
      <c r="G21" s="3456"/>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963</v>
      </c>
      <c r="B22" s="2630">
        <f t="shared" si="79"/>
        <v>319.87748030386797</v>
      </c>
      <c r="C22" s="2630">
        <f t="shared" si="79"/>
        <v>269.60135833173649</v>
      </c>
      <c r="D22" s="2630">
        <f t="shared" si="76"/>
        <v>269.60135833173649</v>
      </c>
      <c r="E22" s="2630">
        <f t="shared" si="80"/>
        <v>439.18089823583784</v>
      </c>
      <c r="F22" s="2630">
        <f t="shared" si="80"/>
        <v>239.23503918706311</v>
      </c>
      <c r="G22" s="3457"/>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962</v>
      </c>
      <c r="B23" s="2644">
        <v>318</v>
      </c>
      <c r="C23" s="2644">
        <v>268</v>
      </c>
      <c r="D23" s="2644">
        <f t="shared" si="76"/>
        <v>268</v>
      </c>
      <c r="E23" s="2644">
        <v>437</v>
      </c>
      <c r="F23" s="2645">
        <v>237</v>
      </c>
      <c r="G23" s="3455">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961</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56"/>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960</v>
      </c>
      <c r="B25" s="2630">
        <f t="shared" si="81"/>
        <v>314.72141172386546</v>
      </c>
      <c r="C25" s="2630">
        <f t="shared" si="81"/>
        <v>263.03901319069001</v>
      </c>
      <c r="D25" s="2630">
        <f t="shared" si="76"/>
        <v>263.03901319069001</v>
      </c>
      <c r="E25" s="2630">
        <f t="shared" si="82"/>
        <v>433.65745506782821</v>
      </c>
      <c r="F25" s="2630">
        <f t="shared" si="82"/>
        <v>233.23005080045735</v>
      </c>
      <c r="G25" s="3456"/>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959</v>
      </c>
      <c r="B26" s="2649">
        <f t="shared" si="81"/>
        <v>307.34512863658733</v>
      </c>
      <c r="C26" s="2649">
        <f t="shared" si="81"/>
        <v>257.80556031626975</v>
      </c>
      <c r="D26" s="2649">
        <f t="shared" si="76"/>
        <v>257.80556031626975</v>
      </c>
      <c r="E26" s="2649">
        <f t="shared" si="82"/>
        <v>422.70928459677179</v>
      </c>
      <c r="F26" s="2649">
        <f t="shared" si="82"/>
        <v>229.73803270336617</v>
      </c>
      <c r="G26" s="3457"/>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2639</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2582</v>
      </c>
      <c r="B27" s="2622">
        <v>299</v>
      </c>
      <c r="C27" s="2622">
        <v>252</v>
      </c>
      <c r="D27" s="2622">
        <f t="shared" si="76"/>
        <v>252</v>
      </c>
      <c r="E27" s="2622">
        <v>409</v>
      </c>
      <c r="F27" s="2623">
        <v>227</v>
      </c>
      <c r="G27" s="3458">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2583</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59"/>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2584</v>
      </c>
      <c r="B29" s="2630">
        <f t="shared" si="85"/>
        <v>288.2649053828776</v>
      </c>
      <c r="C29" s="2630">
        <f t="shared" si="85"/>
        <v>243.64564425013293</v>
      </c>
      <c r="D29" s="2630">
        <f t="shared" si="76"/>
        <v>243.64564425013293</v>
      </c>
      <c r="E29" s="2630">
        <f t="shared" si="86"/>
        <v>393.31080825986544</v>
      </c>
      <c r="F29" s="2630">
        <f t="shared" si="86"/>
        <v>223.07903790551154</v>
      </c>
      <c r="G29" s="3459"/>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2585</v>
      </c>
      <c r="B30" s="2630">
        <f t="shared" si="85"/>
        <v>282.50186729015837</v>
      </c>
      <c r="C30" s="2630">
        <f t="shared" si="85"/>
        <v>238.09796174155468</v>
      </c>
      <c r="D30" s="2630">
        <f t="shared" si="76"/>
        <v>238.09796174155468</v>
      </c>
      <c r="E30" s="2630">
        <f t="shared" si="86"/>
        <v>385.33438646014054</v>
      </c>
      <c r="F30" s="2630">
        <f t="shared" si="86"/>
        <v>221.55034055567739</v>
      </c>
      <c r="G30" s="3460"/>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2586</v>
      </c>
      <c r="B31" s="2660">
        <v>278</v>
      </c>
      <c r="C31" s="2660">
        <v>234</v>
      </c>
      <c r="D31" s="2660">
        <f t="shared" si="76"/>
        <v>234</v>
      </c>
      <c r="E31" s="2660">
        <v>379</v>
      </c>
      <c r="F31" s="2661">
        <v>220</v>
      </c>
      <c r="G31" s="3455">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2587</v>
      </c>
      <c r="B32" s="2630">
        <f>B31/(1+N31)</f>
        <v>275.49301357645425</v>
      </c>
      <c r="C32" s="2630">
        <f>C31/(1+O31)</f>
        <v>232.41954707985698</v>
      </c>
      <c r="D32" s="2630">
        <f t="shared" si="76"/>
        <v>232.41954707985698</v>
      </c>
      <c r="E32" s="2630">
        <f t="shared" ref="E32:F34" si="87">E31/(1+P31)</f>
        <v>375.32184591008121</v>
      </c>
      <c r="F32" s="2630">
        <f t="shared" si="87"/>
        <v>218.03766105054513</v>
      </c>
      <c r="G32" s="3456"/>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2588</v>
      </c>
      <c r="B33" s="2630">
        <f>B32/(1+N32)</f>
        <v>275.24529281292263</v>
      </c>
      <c r="C33" s="2630">
        <f>C32/(1+O32)</f>
        <v>231.74747938962707</v>
      </c>
      <c r="D33" s="2630">
        <f t="shared" si="76"/>
        <v>231.74747938962707</v>
      </c>
      <c r="E33" s="2630">
        <f t="shared" si="87"/>
        <v>375.35938184826603</v>
      </c>
      <c r="F33" s="2630">
        <f t="shared" si="87"/>
        <v>216.78033510692495</v>
      </c>
      <c r="G33" s="3456"/>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2589</v>
      </c>
      <c r="B34" s="2630">
        <f>B33/(1+N33)</f>
        <v>275.19025476197027</v>
      </c>
      <c r="C34" s="2662">
        <v>232</v>
      </c>
      <c r="D34" s="2662">
        <f t="shared" si="76"/>
        <v>232</v>
      </c>
      <c r="E34" s="2630">
        <f t="shared" si="87"/>
        <v>375.65990977608692</v>
      </c>
      <c r="F34" s="2630">
        <f t="shared" si="87"/>
        <v>214.12518283971252</v>
      </c>
      <c r="G34" s="3457"/>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2590</v>
      </c>
      <c r="B35" s="2622">
        <v>275</v>
      </c>
      <c r="C35" s="2622">
        <v>232</v>
      </c>
      <c r="D35" s="2622">
        <f t="shared" si="76"/>
        <v>232</v>
      </c>
      <c r="E35" s="2622">
        <v>376</v>
      </c>
      <c r="F35" s="2623">
        <v>213</v>
      </c>
      <c r="G35" s="3455">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2591</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56">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2592</v>
      </c>
      <c r="B37" s="2630">
        <f t="shared" si="88"/>
        <v>275.19335084830601</v>
      </c>
      <c r="C37" s="2630">
        <f t="shared" si="88"/>
        <v>230.18088050139744</v>
      </c>
      <c r="D37" s="2630">
        <f t="shared" si="76"/>
        <v>230.18088050139744</v>
      </c>
      <c r="E37" s="2630">
        <f t="shared" si="89"/>
        <v>377.58482925212331</v>
      </c>
      <c r="F37" s="2630">
        <f t="shared" si="89"/>
        <v>210.90687997847917</v>
      </c>
      <c r="G37" s="3456">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2593</v>
      </c>
      <c r="B38" s="2630">
        <f t="shared" si="88"/>
        <v>276.29854502841971</v>
      </c>
      <c r="C38" s="2630">
        <f t="shared" si="88"/>
        <v>229.79023709833027</v>
      </c>
      <c r="D38" s="2630">
        <f t="shared" si="76"/>
        <v>229.79023709833027</v>
      </c>
      <c r="E38" s="2630">
        <f t="shared" si="89"/>
        <v>379.78759731655936</v>
      </c>
      <c r="F38" s="2630">
        <f t="shared" si="89"/>
        <v>211.32953905659235</v>
      </c>
      <c r="G38" s="3457">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2594</v>
      </c>
      <c r="B39" s="2622">
        <v>269</v>
      </c>
      <c r="C39" s="2622">
        <v>221</v>
      </c>
      <c r="D39" s="2622">
        <f t="shared" si="76"/>
        <v>221</v>
      </c>
      <c r="E39" s="2622">
        <v>373</v>
      </c>
      <c r="F39" s="2623">
        <v>196</v>
      </c>
      <c r="G39" s="3455">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2595</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56">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2596</v>
      </c>
      <c r="B41" s="2630">
        <f t="shared" si="90"/>
        <v>242.95398227588385</v>
      </c>
      <c r="C41" s="2630">
        <f t="shared" si="90"/>
        <v>199.59137053614126</v>
      </c>
      <c r="D41" s="2630">
        <f t="shared" si="76"/>
        <v>199.59137053614126</v>
      </c>
      <c r="E41" s="2630">
        <f t="shared" si="91"/>
        <v>335.92189522342125</v>
      </c>
      <c r="F41" s="2630">
        <f t="shared" si="91"/>
        <v>183.10139991109489</v>
      </c>
      <c r="G41" s="3456">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2597</v>
      </c>
      <c r="B42" s="2630">
        <f t="shared" si="90"/>
        <v>232.06990378821649</v>
      </c>
      <c r="C42" s="2630">
        <f t="shared" si="90"/>
        <v>192.74878854286936</v>
      </c>
      <c r="D42" s="2630">
        <f t="shared" si="76"/>
        <v>192.74878854286936</v>
      </c>
      <c r="E42" s="2630">
        <f t="shared" si="91"/>
        <v>319.71247284992984</v>
      </c>
      <c r="F42" s="2630">
        <f t="shared" si="91"/>
        <v>175.67053622862409</v>
      </c>
      <c r="G42" s="3457">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2598</v>
      </c>
      <c r="B43" s="2622">
        <v>220</v>
      </c>
      <c r="C43" s="2622">
        <v>187</v>
      </c>
      <c r="D43" s="2622">
        <f t="shared" si="76"/>
        <v>187</v>
      </c>
      <c r="E43" s="2622">
        <v>301</v>
      </c>
      <c r="F43" s="2623">
        <v>168</v>
      </c>
      <c r="G43" s="3455">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2599</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56">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2600</v>
      </c>
      <c r="B45" s="2630">
        <f t="shared" si="92"/>
        <v>210.630522469011</v>
      </c>
      <c r="C45" s="2630">
        <f t="shared" si="92"/>
        <v>181.69567812247232</v>
      </c>
      <c r="D45" s="2630">
        <f t="shared" si="76"/>
        <v>181.69567812247232</v>
      </c>
      <c r="E45" s="2630">
        <f t="shared" si="93"/>
        <v>286.13517466736738</v>
      </c>
      <c r="F45" s="2630">
        <f t="shared" si="93"/>
        <v>165.47535084591149</v>
      </c>
      <c r="G45" s="3456">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2601</v>
      </c>
      <c r="B46" s="2630">
        <f t="shared" si="92"/>
        <v>208.83454537875372</v>
      </c>
      <c r="C46" s="2630">
        <f t="shared" si="92"/>
        <v>183.77230517090351</v>
      </c>
      <c r="D46" s="2630">
        <f t="shared" si="76"/>
        <v>183.77230517090351</v>
      </c>
      <c r="E46" s="2630">
        <f t="shared" si="93"/>
        <v>281.10342338870947</v>
      </c>
      <c r="F46" s="2630">
        <f t="shared" si="93"/>
        <v>168.97309388942256</v>
      </c>
      <c r="G46" s="3457">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2602</v>
      </c>
      <c r="B47" s="2660">
        <v>214</v>
      </c>
      <c r="C47" s="2660">
        <v>188</v>
      </c>
      <c r="D47" s="2660">
        <f t="shared" si="76"/>
        <v>188</v>
      </c>
      <c r="E47" s="2660">
        <v>289</v>
      </c>
      <c r="F47" s="2661">
        <v>166</v>
      </c>
      <c r="G47" s="3455">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2603</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56">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2604</v>
      </c>
      <c r="B49" s="2630">
        <f t="shared" si="94"/>
        <v>206.31694671589116</v>
      </c>
      <c r="C49" s="2630">
        <f t="shared" si="94"/>
        <v>183.61041121036101</v>
      </c>
      <c r="D49" s="2630">
        <f t="shared" si="76"/>
        <v>183.61041121036101</v>
      </c>
      <c r="E49" s="2630">
        <f t="shared" si="95"/>
        <v>276.66850301795557</v>
      </c>
      <c r="F49" s="2630">
        <f t="shared" si="95"/>
        <v>165.1360938278614</v>
      </c>
      <c r="G49" s="3456">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2605</v>
      </c>
      <c r="B50" s="2663">
        <f t="shared" si="94"/>
        <v>196.62341248059772</v>
      </c>
      <c r="C50" s="2663">
        <f t="shared" si="94"/>
        <v>170.99125648199012</v>
      </c>
      <c r="D50" s="2663">
        <f t="shared" si="76"/>
        <v>170.99125648199012</v>
      </c>
      <c r="E50" s="2663">
        <f t="shared" si="95"/>
        <v>266.07857570490052</v>
      </c>
      <c r="F50" s="2663">
        <f t="shared" si="95"/>
        <v>154.53499328828505</v>
      </c>
      <c r="G50" s="3457">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2606</v>
      </c>
      <c r="B51" s="2622">
        <v>188</v>
      </c>
      <c r="C51" s="2622">
        <v>165</v>
      </c>
      <c r="D51" s="2622">
        <f t="shared" si="76"/>
        <v>165</v>
      </c>
      <c r="E51" s="2622">
        <v>254</v>
      </c>
      <c r="F51" s="2623">
        <v>148</v>
      </c>
      <c r="G51" s="3455">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2607</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56">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2608</v>
      </c>
      <c r="B53" s="2630">
        <f t="shared" si="98"/>
        <v>168.82017748715555</v>
      </c>
      <c r="C53" s="2630">
        <f t="shared" si="98"/>
        <v>148.06267029972753</v>
      </c>
      <c r="D53" s="2630">
        <f t="shared" si="76"/>
        <v>148.06267029972753</v>
      </c>
      <c r="E53" s="2630">
        <f t="shared" si="99"/>
        <v>216.46288379323747</v>
      </c>
      <c r="F53" s="2630">
        <f t="shared" si="99"/>
        <v>134.23529411764704</v>
      </c>
      <c r="G53" s="3456">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2609</v>
      </c>
      <c r="B54" s="2630">
        <f t="shared" si="98"/>
        <v>163.84913591779542</v>
      </c>
      <c r="C54" s="2630">
        <f t="shared" si="98"/>
        <v>145.0283378746594</v>
      </c>
      <c r="D54" s="2630">
        <f t="shared" si="76"/>
        <v>145.0283378746594</v>
      </c>
      <c r="E54" s="2630">
        <f t="shared" si="99"/>
        <v>204.95180722891567</v>
      </c>
      <c r="F54" s="2630">
        <f t="shared" si="99"/>
        <v>125.95920303605313</v>
      </c>
      <c r="G54" s="3457">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2610</v>
      </c>
      <c r="B55" s="2644">
        <v>159</v>
      </c>
      <c r="C55" s="2644">
        <v>141</v>
      </c>
      <c r="D55" s="2644">
        <f t="shared" si="76"/>
        <v>141</v>
      </c>
      <c r="E55" s="2644">
        <v>195</v>
      </c>
      <c r="F55" s="2645">
        <v>122</v>
      </c>
      <c r="G55" s="3455">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2611</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56">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2612</v>
      </c>
      <c r="B57" s="2630">
        <f t="shared" si="102"/>
        <v>146.57412060301507</v>
      </c>
      <c r="C57" s="2630">
        <f t="shared" si="102"/>
        <v>136.46831955922866</v>
      </c>
      <c r="D57" s="2630">
        <f t="shared" si="76"/>
        <v>136.46831955922866</v>
      </c>
      <c r="E57" s="2630">
        <f t="shared" si="103"/>
        <v>166.73864894795128</v>
      </c>
      <c r="F57" s="2630">
        <f t="shared" si="103"/>
        <v>115.05882352941177</v>
      </c>
      <c r="G57" s="3456">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2613</v>
      </c>
      <c r="B58" s="2630">
        <f t="shared" si="102"/>
        <v>144.04145728643215</v>
      </c>
      <c r="C58" s="2630">
        <f t="shared" si="102"/>
        <v>136.12396694214877</v>
      </c>
      <c r="D58" s="2630">
        <f t="shared" si="76"/>
        <v>136.12396694214877</v>
      </c>
      <c r="E58" s="2630">
        <f t="shared" si="103"/>
        <v>158.32225913621264</v>
      </c>
      <c r="F58" s="2630">
        <f t="shared" si="103"/>
        <v>114.04278074866311</v>
      </c>
      <c r="G58" s="3457">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2614</v>
      </c>
      <c r="B59" s="2644">
        <v>138</v>
      </c>
      <c r="C59" s="2644">
        <v>131</v>
      </c>
      <c r="D59" s="2644">
        <f t="shared" si="76"/>
        <v>131</v>
      </c>
      <c r="E59" s="2644">
        <v>155</v>
      </c>
      <c r="F59" s="2645">
        <v>114</v>
      </c>
      <c r="G59" s="3455">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2615</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56">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2616</v>
      </c>
      <c r="B61" s="2630">
        <f t="shared" si="106"/>
        <v>124.29032258064517</v>
      </c>
      <c r="C61" s="2630">
        <f t="shared" si="106"/>
        <v>123.8968609865471</v>
      </c>
      <c r="D61" s="2630">
        <f t="shared" si="76"/>
        <v>123.8968609865471</v>
      </c>
      <c r="E61" s="2630">
        <f t="shared" si="107"/>
        <v>138.00507614213197</v>
      </c>
      <c r="F61" s="2630">
        <f t="shared" si="107"/>
        <v>107.96106557377048</v>
      </c>
      <c r="G61" s="3456">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2617</v>
      </c>
      <c r="B62" s="2630">
        <f t="shared" si="106"/>
        <v>122.57204301075269</v>
      </c>
      <c r="C62" s="2630">
        <f t="shared" si="106"/>
        <v>123.4932735426009</v>
      </c>
      <c r="D62" s="2630">
        <f t="shared" si="76"/>
        <v>123.4932735426009</v>
      </c>
      <c r="E62" s="2630">
        <f t="shared" si="107"/>
        <v>129.82233502538071</v>
      </c>
      <c r="F62" s="2630">
        <f t="shared" si="107"/>
        <v>107.39446721311475</v>
      </c>
      <c r="G62" s="3457">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2618</v>
      </c>
      <c r="B63" s="2660">
        <v>121</v>
      </c>
      <c r="C63" s="2660">
        <v>122</v>
      </c>
      <c r="D63" s="2660">
        <f t="shared" si="76"/>
        <v>122</v>
      </c>
      <c r="E63" s="2660">
        <v>124</v>
      </c>
      <c r="F63" s="2661">
        <v>107</v>
      </c>
      <c r="G63" s="3455">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2619</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56">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2620</v>
      </c>
      <c r="B65" s="2630">
        <f t="shared" si="110"/>
        <v>116.99099099099099</v>
      </c>
      <c r="C65" s="2630">
        <f t="shared" si="110"/>
        <v>118.84848484848486</v>
      </c>
      <c r="D65" s="2630">
        <f t="shared" si="76"/>
        <v>118.84848484848486</v>
      </c>
      <c r="E65" s="2630">
        <f t="shared" si="111"/>
        <v>117.60960960960961</v>
      </c>
      <c r="F65" s="2630">
        <f t="shared" si="111"/>
        <v>104</v>
      </c>
      <c r="G65" s="3456">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2621</v>
      </c>
      <c r="B66" s="2663">
        <f t="shared" si="110"/>
        <v>112.48648648648648</v>
      </c>
      <c r="C66" s="2663">
        <f t="shared" si="110"/>
        <v>115.21212121212122</v>
      </c>
      <c r="D66" s="2663">
        <f t="shared" si="76"/>
        <v>115.21212121212122</v>
      </c>
      <c r="E66" s="2663">
        <f t="shared" si="111"/>
        <v>110.4024024024024</v>
      </c>
      <c r="F66" s="2663">
        <f t="shared" si="111"/>
        <v>104</v>
      </c>
      <c r="G66" s="3457">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2622</v>
      </c>
      <c r="B67" s="2681">
        <v>111</v>
      </c>
      <c r="C67" s="2681">
        <v>114</v>
      </c>
      <c r="D67" s="2681">
        <f t="shared" si="76"/>
        <v>114</v>
      </c>
      <c r="E67" s="2681">
        <v>108</v>
      </c>
      <c r="F67" s="2682">
        <v>104</v>
      </c>
      <c r="G67" s="3455">
        <v>2003</v>
      </c>
      <c r="H67" s="2671">
        <v>4</v>
      </c>
      <c r="I67" s="2683"/>
      <c r="J67" s="2683"/>
      <c r="K67" s="2683"/>
      <c r="L67" s="2683"/>
      <c r="N67" s="2684"/>
      <c r="O67" s="2683"/>
      <c r="P67" s="2683"/>
      <c r="Q67" s="2683"/>
      <c r="S67" s="2684"/>
      <c r="T67" s="2683"/>
      <c r="U67" s="2683"/>
      <c r="V67" s="2683"/>
      <c r="X67" s="2675"/>
      <c r="Y67" s="2675"/>
      <c r="Z67" s="2675"/>
    </row>
    <row r="68" spans="1:26">
      <c r="A68" s="2617" t="s">
        <v>2623</v>
      </c>
      <c r="B68" s="2685">
        <f t="shared" ref="B68:C70" si="112">B69+(B$67-B$71)/4</f>
        <v>109.75</v>
      </c>
      <c r="C68" s="2685">
        <f t="shared" si="112"/>
        <v>112.25</v>
      </c>
      <c r="D68" s="2685">
        <f t="shared" si="76"/>
        <v>112.25</v>
      </c>
      <c r="E68" s="2685">
        <f t="shared" ref="E68:F70" si="113">E69+(E$67-E$71)/4</f>
        <v>107.25</v>
      </c>
      <c r="F68" s="2685">
        <f t="shared" si="113"/>
        <v>103.5</v>
      </c>
      <c r="G68" s="3456">
        <v>2003</v>
      </c>
      <c r="H68" s="2641">
        <v>3</v>
      </c>
      <c r="I68" s="2683"/>
      <c r="J68" s="2683"/>
      <c r="K68" s="2683"/>
      <c r="L68" s="2683"/>
      <c r="X68" s="2675"/>
      <c r="Y68" s="2675"/>
      <c r="Z68" s="2675"/>
    </row>
    <row r="69" spans="1:26">
      <c r="A69" s="2617" t="s">
        <v>2624</v>
      </c>
      <c r="B69" s="2685">
        <f t="shared" si="112"/>
        <v>108.5</v>
      </c>
      <c r="C69" s="2685">
        <f t="shared" si="112"/>
        <v>110.5</v>
      </c>
      <c r="D69" s="2685">
        <f t="shared" si="76"/>
        <v>110.5</v>
      </c>
      <c r="E69" s="2685">
        <f t="shared" si="113"/>
        <v>106.5</v>
      </c>
      <c r="F69" s="2685">
        <f t="shared" si="113"/>
        <v>103</v>
      </c>
      <c r="G69" s="3456">
        <v>2003</v>
      </c>
      <c r="H69" s="2621">
        <v>2</v>
      </c>
      <c r="I69" s="2683"/>
      <c r="J69" s="2683"/>
      <c r="K69" s="2683"/>
      <c r="L69" s="2683"/>
      <c r="X69" s="2675"/>
      <c r="Y69" s="2675"/>
      <c r="Z69" s="2675"/>
    </row>
    <row r="70" spans="1:26" ht="13.5" thickBot="1">
      <c r="A70" s="2617" t="s">
        <v>2625</v>
      </c>
      <c r="B70" s="2685">
        <f t="shared" si="112"/>
        <v>107.25</v>
      </c>
      <c r="C70" s="2685">
        <f t="shared" si="112"/>
        <v>108.75</v>
      </c>
      <c r="D70" s="2685">
        <f t="shared" si="76"/>
        <v>108.75</v>
      </c>
      <c r="E70" s="2685">
        <f t="shared" si="113"/>
        <v>105.75</v>
      </c>
      <c r="F70" s="2685">
        <f t="shared" si="113"/>
        <v>102.5</v>
      </c>
      <c r="G70" s="3457">
        <v>2003</v>
      </c>
      <c r="H70" s="2686">
        <v>1</v>
      </c>
      <c r="I70" s="2683"/>
      <c r="J70" s="2683"/>
      <c r="K70" s="2683"/>
      <c r="L70" s="2683"/>
      <c r="S70" s="2625"/>
      <c r="T70" s="2626"/>
      <c r="U70" s="2626"/>
      <c r="X70" s="2675"/>
      <c r="Y70" s="2675"/>
      <c r="Z70" s="2675"/>
    </row>
    <row r="71" spans="1:26" ht="13.5" thickBot="1">
      <c r="A71" s="2617" t="s">
        <v>2626</v>
      </c>
      <c r="B71" s="2687">
        <v>106</v>
      </c>
      <c r="C71" s="2687">
        <v>107</v>
      </c>
      <c r="D71" s="2687">
        <f t="shared" si="76"/>
        <v>107</v>
      </c>
      <c r="E71" s="2687">
        <v>105</v>
      </c>
      <c r="F71" s="2688">
        <v>102</v>
      </c>
      <c r="G71" s="3455">
        <v>2002</v>
      </c>
      <c r="H71" s="2636">
        <v>4</v>
      </c>
      <c r="I71" s="2683"/>
      <c r="J71" s="2683"/>
      <c r="K71" s="2683"/>
      <c r="L71" s="2683"/>
      <c r="N71" s="2684"/>
      <c r="O71" s="2683"/>
      <c r="P71" s="2683"/>
      <c r="Q71" s="2683"/>
      <c r="S71" s="2684"/>
      <c r="T71" s="2683"/>
      <c r="U71" s="2683"/>
      <c r="V71" s="2683"/>
      <c r="X71" s="2675"/>
      <c r="Y71" s="2675"/>
      <c r="Z71" s="2675"/>
    </row>
    <row r="72" spans="1:26">
      <c r="A72" s="2617" t="s">
        <v>2627</v>
      </c>
      <c r="B72" s="2685">
        <f t="shared" ref="B72:C74" si="114">B73+(B$71-B$75)/4</f>
        <v>105</v>
      </c>
      <c r="C72" s="2685">
        <f t="shared" si="114"/>
        <v>106</v>
      </c>
      <c r="D72" s="2685">
        <f t="shared" si="76"/>
        <v>106</v>
      </c>
      <c r="E72" s="2685">
        <f t="shared" ref="E72:F74" si="115">E73+(E$71-E$75)/4</f>
        <v>104.5</v>
      </c>
      <c r="F72" s="2685">
        <f t="shared" si="115"/>
        <v>101.5</v>
      </c>
      <c r="G72" s="3456">
        <v>2002</v>
      </c>
      <c r="H72" s="2641">
        <v>3</v>
      </c>
      <c r="I72" s="2683"/>
      <c r="J72" s="2683"/>
      <c r="K72" s="2683"/>
      <c r="L72" s="2683"/>
      <c r="X72" s="2675"/>
      <c r="Y72" s="2675"/>
      <c r="Z72" s="2675"/>
    </row>
    <row r="73" spans="1:26">
      <c r="A73" s="2617" t="s">
        <v>2628</v>
      </c>
      <c r="B73" s="2685">
        <f t="shared" si="114"/>
        <v>104</v>
      </c>
      <c r="C73" s="2685">
        <f t="shared" si="114"/>
        <v>105</v>
      </c>
      <c r="D73" s="2685">
        <f t="shared" si="76"/>
        <v>105</v>
      </c>
      <c r="E73" s="2685">
        <f t="shared" si="115"/>
        <v>104</v>
      </c>
      <c r="F73" s="2685">
        <f t="shared" si="115"/>
        <v>101</v>
      </c>
      <c r="G73" s="3456">
        <v>2002</v>
      </c>
      <c r="H73" s="2621">
        <v>2</v>
      </c>
      <c r="I73" s="2683"/>
      <c r="J73" s="2683"/>
      <c r="K73" s="2683"/>
      <c r="L73" s="2683"/>
      <c r="X73" s="2675"/>
      <c r="Y73" s="2675"/>
      <c r="Z73" s="2675"/>
    </row>
    <row r="74" spans="1:26" s="2652" customFormat="1" ht="13.5" thickBot="1">
      <c r="A74" s="2648" t="s">
        <v>2629</v>
      </c>
      <c r="B74" s="2689">
        <f t="shared" si="114"/>
        <v>103</v>
      </c>
      <c r="C74" s="2689">
        <f t="shared" si="114"/>
        <v>104</v>
      </c>
      <c r="D74" s="2689">
        <f t="shared" si="76"/>
        <v>104</v>
      </c>
      <c r="E74" s="2689">
        <f t="shared" si="115"/>
        <v>103.5</v>
      </c>
      <c r="F74" s="2689">
        <f t="shared" si="115"/>
        <v>100.5</v>
      </c>
      <c r="G74" s="3457">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2630</v>
      </c>
      <c r="G77" s="2699"/>
      <c r="N77" s="2699"/>
      <c r="S77" s="2699"/>
    </row>
    <row r="78" spans="1:26" s="2698" customFormat="1">
      <c r="A78" s="2698" t="s">
        <v>2631</v>
      </c>
      <c r="G78" s="2699"/>
      <c r="N78" s="2699"/>
      <c r="S78" s="2699"/>
    </row>
    <row r="79" spans="1:26" s="2698" customFormat="1">
      <c r="A79" s="2698" t="s">
        <v>2632</v>
      </c>
      <c r="G79" s="2699"/>
      <c r="I79" s="2700"/>
      <c r="J79" s="2700"/>
      <c r="K79" s="2700"/>
      <c r="L79" s="2700"/>
      <c r="N79" s="2701"/>
      <c r="O79" s="2700"/>
      <c r="P79" s="2700"/>
      <c r="Q79" s="2700"/>
      <c r="S79" s="2701"/>
      <c r="T79" s="2700"/>
      <c r="U79" s="2700"/>
      <c r="V79" s="2700"/>
    </row>
    <row r="80" spans="1:26" s="2698" customFormat="1">
      <c r="A80" s="2698" t="s">
        <v>2633</v>
      </c>
      <c r="G80" s="2699"/>
      <c r="N80" s="2699"/>
      <c r="S80" s="2699"/>
    </row>
    <row r="87" spans="7:22" ht="13.5" thickBot="1"/>
    <row r="88" spans="7:22">
      <c r="G88" s="2624"/>
      <c r="S88" s="2702" t="s">
        <v>2634</v>
      </c>
      <c r="T88" s="2703" t="s">
        <v>2635</v>
      </c>
      <c r="U88" s="2703" t="s">
        <v>2636</v>
      </c>
      <c r="V88" s="2703" t="s">
        <v>2637</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t="e">
        <f ca="1">SUMIF(B7:B14,"&lt;&gt;#ref!",B7:B14)</f>
        <v>#DIV/0!</v>
      </c>
      <c r="C2" s="3056" t="s">
        <v>2945</v>
      </c>
      <c r="D2" s="3055"/>
      <c r="E2" s="3055"/>
      <c r="F2" s="3055"/>
    </row>
    <row r="3" spans="1:6" ht="14.25">
      <c r="A3" s="3056" t="s">
        <v>2977</v>
      </c>
      <c r="B3" s="3057" t="e">
        <f ca="1">ROUND(B2*10000/E3,0)</f>
        <v>#DIV/0!</v>
      </c>
      <c r="C3" s="3056" t="s">
        <v>2077</v>
      </c>
      <c r="D3" s="3056" t="s">
        <v>2946</v>
      </c>
      <c r="E3" s="3057">
        <f ca="1">SUMIF(E7:E14,"&lt;&gt;#ref!",E7:E14)</f>
        <v>0</v>
      </c>
      <c r="F3" s="3055"/>
    </row>
    <row r="4" spans="1:6" ht="14.25">
      <c r="A4" s="3056" t="s">
        <v>2953</v>
      </c>
      <c r="B4" s="3057" t="e">
        <f ca="1">ROUND(B2*10000/E4,0)</f>
        <v>#DIV/0!</v>
      </c>
      <c r="C4" s="3056" t="s">
        <v>2077</v>
      </c>
      <c r="D4" s="3056" t="s">
        <v>2954</v>
      </c>
      <c r="E4" s="3057">
        <f ca="1">SUMIF(F7:F14,"&lt;&gt;#ref!",F7:F14)</f>
        <v>0</v>
      </c>
      <c r="F4" s="3055"/>
    </row>
    <row r="5" spans="1:6" ht="14.25">
      <c r="A5" s="3058"/>
      <c r="B5" s="1864"/>
      <c r="C5" s="1864"/>
      <c r="D5" s="1864"/>
      <c r="E5" s="1864"/>
      <c r="F5" s="3055"/>
    </row>
    <row r="6" spans="1:6" ht="28.5">
      <c r="A6" s="3059" t="s">
        <v>2950</v>
      </c>
      <c r="B6" s="3056" t="s">
        <v>2947</v>
      </c>
      <c r="C6" s="3057"/>
      <c r="D6" s="1864"/>
      <c r="E6" s="3056" t="s">
        <v>2948</v>
      </c>
      <c r="F6" s="3056" t="s">
        <v>2952</v>
      </c>
    </row>
    <row r="7" spans="1:6" ht="14.25">
      <c r="A7" s="259" t="s">
        <v>2951</v>
      </c>
      <c r="B7" s="3060" t="e">
        <f ca="1">SUMIF(INDIRECT("'"&amp;A7&amp;"'"&amp;"!A:A"),"总价",INDIRECT("'"&amp;A7&amp;"'"&amp;"!B:B"))</f>
        <v>#DIV/0!</v>
      </c>
      <c r="C7" s="3056" t="s">
        <v>2945</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2945</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2945</v>
      </c>
      <c r="D9" s="1864"/>
      <c r="E9" s="3061" t="e">
        <f t="shared" ca="1" si="1"/>
        <v>#REF!</v>
      </c>
      <c r="F9" s="3061" t="e">
        <f t="shared" ca="1" si="2"/>
        <v>#REF!</v>
      </c>
    </row>
    <row r="10" spans="1:6" ht="14.25">
      <c r="A10" s="259"/>
      <c r="B10" s="3060" t="e">
        <f t="shared" ca="1" si="0"/>
        <v>#REF!</v>
      </c>
      <c r="C10" s="3056" t="s">
        <v>2945</v>
      </c>
      <c r="D10" s="1864"/>
      <c r="E10" s="3061" t="e">
        <f t="shared" ca="1" si="1"/>
        <v>#REF!</v>
      </c>
      <c r="F10" s="3061" t="e">
        <f t="shared" ca="1" si="2"/>
        <v>#REF!</v>
      </c>
    </row>
    <row r="11" spans="1:6" ht="14.25">
      <c r="A11" s="259"/>
      <c r="B11" s="3060" t="e">
        <f t="shared" ca="1" si="0"/>
        <v>#REF!</v>
      </c>
      <c r="C11" s="3056" t="s">
        <v>2945</v>
      </c>
      <c r="D11" s="1864"/>
      <c r="E11" s="3061" t="e">
        <f t="shared" ca="1" si="1"/>
        <v>#REF!</v>
      </c>
      <c r="F11" s="3061" t="e">
        <f t="shared" ca="1" si="2"/>
        <v>#REF!</v>
      </c>
    </row>
    <row r="12" spans="1:6" ht="14.25">
      <c r="A12" s="259"/>
      <c r="B12" s="3060" t="e">
        <f t="shared" ca="1" si="0"/>
        <v>#REF!</v>
      </c>
      <c r="C12" s="3056" t="s">
        <v>2945</v>
      </c>
      <c r="D12" s="1864"/>
      <c r="E12" s="3061" t="e">
        <f t="shared" ca="1" si="1"/>
        <v>#REF!</v>
      </c>
      <c r="F12" s="3061" t="e">
        <f t="shared" ca="1" si="2"/>
        <v>#REF!</v>
      </c>
    </row>
    <row r="13" spans="1:6" ht="14.25">
      <c r="A13" s="259"/>
      <c r="B13" s="3060" t="e">
        <f t="shared" ca="1" si="0"/>
        <v>#REF!</v>
      </c>
      <c r="C13" s="3056" t="s">
        <v>2945</v>
      </c>
      <c r="D13" s="1864"/>
      <c r="E13" s="3061" t="e">
        <f t="shared" ca="1" si="1"/>
        <v>#REF!</v>
      </c>
      <c r="F13" s="3061" t="e">
        <f t="shared" ca="1" si="2"/>
        <v>#REF!</v>
      </c>
    </row>
    <row r="14" spans="1:6" ht="14.25">
      <c r="A14" s="3054"/>
      <c r="B14" s="3060" t="e">
        <f t="shared" ca="1" si="0"/>
        <v>#REF!</v>
      </c>
      <c r="C14" s="3056" t="s">
        <v>2945</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2373</v>
      </c>
      <c r="F1" s="2350">
        <f ca="1">J54</f>
        <v>-5</v>
      </c>
      <c r="G1" s="772">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4"/>
      <c r="D2" s="2038"/>
      <c r="E2" s="2039"/>
      <c r="F2" s="2039"/>
      <c r="G2" s="1574"/>
      <c r="H2" s="1356"/>
      <c r="I2" s="2040"/>
      <c r="J2" s="2040"/>
      <c r="K2" s="2041"/>
      <c r="L2" s="2040"/>
      <c r="M2" s="2040"/>
    </row>
    <row r="3" spans="1:25" ht="18" customHeight="1">
      <c r="A3" s="1628" t="s">
        <v>1685</v>
      </c>
      <c r="B3" s="1385">
        <f ca="1">ROUND(B2*10000/'数据-汇总表'!E3,0)</f>
        <v>0</v>
      </c>
      <c r="C3" s="1344"/>
      <c r="D3" s="2038"/>
      <c r="E3" s="2039"/>
      <c r="F3" s="2039"/>
      <c r="G3" s="1574"/>
      <c r="H3" s="774" t="s">
        <v>695</v>
      </c>
      <c r="I3" s="2040"/>
      <c r="J3" s="2040"/>
      <c r="K3" s="2041"/>
      <c r="L3" s="2040"/>
      <c r="M3" s="2040"/>
    </row>
    <row r="4" spans="1:25" ht="18" customHeight="1">
      <c r="A4" s="1629" t="s">
        <v>696</v>
      </c>
      <c r="B4" s="1345">
        <f ca="1">ROUND(B2*10000/'数据-汇总表'!D3,0)</f>
        <v>0</v>
      </c>
      <c r="C4" s="427"/>
      <c r="D4" s="2038"/>
      <c r="E4" s="2039"/>
      <c r="F4" s="2039"/>
      <c r="G4" s="1574"/>
      <c r="H4" s="774"/>
      <c r="I4" s="2040"/>
      <c r="J4" s="2040"/>
      <c r="K4" s="2041"/>
      <c r="L4" s="2040"/>
      <c r="M4" s="2040"/>
    </row>
    <row r="5" spans="1:25" ht="18" customHeight="1" thickBot="1">
      <c r="A5" s="1630"/>
      <c r="B5" s="429">
        <f ca="1">ROUND(B2/('数据-汇总表'!D3/666.67),0)</f>
        <v>0</v>
      </c>
      <c r="C5" s="430"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2457</v>
      </c>
      <c r="C7" s="52">
        <f ca="1">C8+C12+C14</f>
        <v>0</v>
      </c>
      <c r="D7" s="2458" t="s">
        <v>2460</v>
      </c>
      <c r="E7" s="2452"/>
      <c r="F7" s="2453"/>
      <c r="G7" s="1576"/>
      <c r="H7" s="779">
        <v>1</v>
      </c>
      <c r="I7" s="780" t="s">
        <v>2457</v>
      </c>
      <c r="J7" s="52">
        <f ca="1">J8+J12+J14</f>
        <v>0</v>
      </c>
      <c r="K7" s="2458" t="s">
        <v>2460</v>
      </c>
      <c r="L7" s="2452"/>
      <c r="M7" s="2453"/>
    </row>
    <row r="8" spans="1:25" ht="18" customHeight="1">
      <c r="A8" s="1813" t="s">
        <v>1823</v>
      </c>
      <c r="B8" s="3464" t="s">
        <v>2462</v>
      </c>
      <c r="C8" s="1808">
        <f ca="1">ROUND(F8*F10*F9*(1-F11)/10000,0)</f>
        <v>0</v>
      </c>
      <c r="D8" s="1805" t="s">
        <v>2533</v>
      </c>
      <c r="E8" s="60" t="s">
        <v>637</v>
      </c>
      <c r="F8" s="783">
        <f ca="1">INDIRECT("'数据-取费表'!u"&amp;$G$1)</f>
        <v>0</v>
      </c>
      <c r="G8" s="1576"/>
      <c r="H8" s="2466" t="s">
        <v>1823</v>
      </c>
      <c r="I8" s="3464" t="s">
        <v>2462</v>
      </c>
      <c r="J8" s="781">
        <f ca="1">ROUND(M8*M10*M9*(1-M11)/10000,0)</f>
        <v>0</v>
      </c>
      <c r="K8" s="340" t="s">
        <v>2533</v>
      </c>
      <c r="L8" s="782" t="s">
        <v>1737</v>
      </c>
      <c r="M8" s="783">
        <f ca="1">INDIRECT("'数据-取费表'!z"&amp;$G$1)</f>
        <v>0</v>
      </c>
    </row>
    <row r="9" spans="1:25" ht="18" customHeight="1">
      <c r="A9" s="2462"/>
      <c r="B9" s="3465"/>
      <c r="C9" s="1809"/>
      <c r="D9" s="1806"/>
      <c r="E9" s="60" t="s">
        <v>638</v>
      </c>
      <c r="F9" s="783">
        <f ca="1">IF(INDIRECT("'数据-取费表'!ah"&amp;$G$1)="",INDIRECT("'数据-取费表'!k"&amp;$G$1),INDIRECT("'数据-取费表'!ah"&amp;$G$1))</f>
        <v>0</v>
      </c>
      <c r="G9" s="1576"/>
      <c r="H9" s="2451"/>
      <c r="I9" s="3465"/>
      <c r="J9" s="786"/>
      <c r="K9" s="787"/>
      <c r="L9" s="782" t="s">
        <v>1738</v>
      </c>
      <c r="M9" s="783">
        <f ca="1">F9</f>
        <v>0</v>
      </c>
    </row>
    <row r="10" spans="1:25" ht="18" customHeight="1">
      <c r="A10" s="2455"/>
      <c r="B10" s="3466"/>
      <c r="C10" s="1809"/>
      <c r="D10" s="1806"/>
      <c r="E10" s="60" t="s">
        <v>639</v>
      </c>
      <c r="F10" s="783">
        <f ca="1">INDIRECT("'数据-取费表'!ai"&amp;$G$1)</f>
        <v>0</v>
      </c>
      <c r="G10" s="1576"/>
      <c r="H10" s="2451"/>
      <c r="I10" s="3466"/>
      <c r="J10" s="786"/>
      <c r="K10" s="787"/>
      <c r="L10" s="782" t="s">
        <v>1739</v>
      </c>
      <c r="M10" s="783">
        <f ca="1">INDIRECT("'数据-取费表'!ai"&amp;$G$1)</f>
        <v>0</v>
      </c>
    </row>
    <row r="11" spans="1:25" ht="18" customHeight="1">
      <c r="A11" s="784"/>
      <c r="B11" s="3467"/>
      <c r="C11" s="1809"/>
      <c r="D11" s="1806"/>
      <c r="E11" s="60" t="s">
        <v>640</v>
      </c>
      <c r="F11" s="792">
        <f ca="1">INDIRECT("'数据-取费表'!w"&amp;$G$1)</f>
        <v>0</v>
      </c>
      <c r="G11" s="1576"/>
      <c r="H11" s="2467"/>
      <c r="I11" s="3466"/>
      <c r="J11" s="786"/>
      <c r="K11" s="787"/>
      <c r="L11" s="793" t="s">
        <v>1740</v>
      </c>
      <c r="M11" s="794">
        <f ca="1">INDIRECT("'数据-取费表'!ab"&amp;$G$1)</f>
        <v>0</v>
      </c>
    </row>
    <row r="12" spans="1:25" ht="18" customHeight="1">
      <c r="A12" s="1813" t="s">
        <v>1824</v>
      </c>
      <c r="B12" s="2456" t="s">
        <v>2458</v>
      </c>
      <c r="C12" s="797">
        <f ca="1">ROUND(IF(F12="押一",C8/12*F13,IF(F12="押二",C8/12*2*F13,IF(F12="押三",C8/12*3*F13,C13*F13))),0)</f>
        <v>0</v>
      </c>
      <c r="D12" s="2463" t="s">
        <v>2974</v>
      </c>
      <c r="E12" s="2460" t="s">
        <v>2463</v>
      </c>
      <c r="F12" s="2583"/>
      <c r="G12" s="1576"/>
      <c r="H12" s="2523" t="s">
        <v>1824</v>
      </c>
      <c r="I12" s="2528" t="s">
        <v>2458</v>
      </c>
      <c r="J12" s="781">
        <f ca="1">ROUND(IF(M12="押一",J8/12*M13,IF(M12="押二",J8/12*2*M13,IF(M12="押三",J8/12*3*M13,J13*M13))),0)</f>
        <v>0</v>
      </c>
      <c r="K12" s="2463" t="s">
        <v>2974</v>
      </c>
      <c r="L12" s="2460" t="s">
        <v>2463</v>
      </c>
      <c r="M12" s="2583"/>
    </row>
    <row r="13" spans="1:25" ht="18" customHeight="1">
      <c r="A13" s="788"/>
      <c r="B13" s="2457" t="s">
        <v>2572</v>
      </c>
      <c r="C13" s="2461"/>
      <c r="D13" s="787"/>
      <c r="E13" s="2460" t="s">
        <v>2455</v>
      </c>
      <c r="F13" s="794">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1873</v>
      </c>
      <c r="B15" s="1810" t="s">
        <v>641</v>
      </c>
      <c r="C15" s="790">
        <f ca="1">ROUND(C31*F15,0)</f>
        <v>0</v>
      </c>
      <c r="D15" s="1817" t="s">
        <v>642</v>
      </c>
      <c r="E15" s="793" t="s">
        <v>643</v>
      </c>
      <c r="F15" s="798">
        <f ca="1">INDIRECT("'数据-取费表'!y"&amp;$G$1)</f>
        <v>0</v>
      </c>
      <c r="G15" s="1576"/>
      <c r="H15" s="1812" t="s">
        <v>1825</v>
      </c>
      <c r="I15" s="1810" t="s">
        <v>644</v>
      </c>
      <c r="J15" s="1802">
        <f ca="1">ROUND(J16*J17,0)</f>
        <v>0</v>
      </c>
      <c r="K15" s="1804" t="s">
        <v>642</v>
      </c>
      <c r="L15" s="799"/>
      <c r="M15" s="800"/>
    </row>
    <row r="16" spans="1:25" ht="18" customHeight="1">
      <c r="A16" s="801" t="s">
        <v>1874</v>
      </c>
      <c r="B16" s="782" t="s">
        <v>645</v>
      </c>
      <c r="C16" s="802">
        <f ca="1">INDIRECT("'数据-取费表'!m"&amp;$G$1)+INDIRECT("'数据-取费表'!t"&amp;$G$1)</f>
        <v>0</v>
      </c>
      <c r="D16" s="1962" t="s">
        <v>646</v>
      </c>
      <c r="E16" s="1963"/>
      <c r="F16" s="803"/>
      <c r="G16" s="1576"/>
      <c r="H16" s="801" t="s">
        <v>2068</v>
      </c>
      <c r="I16" s="2214" t="s">
        <v>2823</v>
      </c>
      <c r="J16" s="52">
        <f ca="1">C31</f>
        <v>0</v>
      </c>
      <c r="K16" s="25"/>
      <c r="L16" s="799"/>
      <c r="M16" s="800"/>
    </row>
    <row r="17" spans="1:25" s="2047" customFormat="1" ht="18" customHeight="1">
      <c r="A17" s="801" t="s">
        <v>1848</v>
      </c>
      <c r="B17" s="782" t="s">
        <v>647</v>
      </c>
      <c r="C17" s="52">
        <f ca="1">ROUND(C16*F17,0)</f>
        <v>0</v>
      </c>
      <c r="D17" s="804" t="s">
        <v>648</v>
      </c>
      <c r="E17" s="804" t="s">
        <v>649</v>
      </c>
      <c r="F17" s="805">
        <f>'数据-取费表'!B33</f>
        <v>0.03</v>
      </c>
      <c r="G17" s="1577"/>
      <c r="H17" s="801" t="s">
        <v>2069</v>
      </c>
      <c r="I17" s="782" t="s">
        <v>643</v>
      </c>
      <c r="J17" s="806">
        <f ca="1">INDIRECT("'数据-取费表'!ad"&amp;$G$1)</f>
        <v>0</v>
      </c>
      <c r="K17" s="25"/>
      <c r="L17" s="799"/>
      <c r="M17" s="800"/>
      <c r="N17" s="2046"/>
      <c r="O17" s="2046"/>
      <c r="P17" s="2046"/>
      <c r="Q17" s="2046"/>
      <c r="R17" s="2046"/>
      <c r="S17" s="2046"/>
      <c r="T17" s="2046"/>
      <c r="U17" s="2046"/>
      <c r="V17" s="2046"/>
      <c r="W17" s="2046"/>
      <c r="X17" s="2046"/>
      <c r="Y17" s="2046"/>
    </row>
    <row r="18" spans="1:25" ht="18" customHeight="1">
      <c r="A18" s="801" t="s">
        <v>1849</v>
      </c>
      <c r="B18" s="782" t="s">
        <v>650</v>
      </c>
      <c r="C18" s="52">
        <f ca="1">ROUND(INDIRECT("'数据-取费表'!m"&amp;$G$1)*F18,0)</f>
        <v>0</v>
      </c>
      <c r="D18" s="782" t="s">
        <v>648</v>
      </c>
      <c r="E18" s="782" t="s">
        <v>649</v>
      </c>
      <c r="F18" s="807">
        <f ca="1">IF(INDIRECT("'数据-取费表'!c"&amp;$G$1)="住宅",'数据-取费表'!B34,0)</f>
        <v>0</v>
      </c>
      <c r="G18" s="1576"/>
      <c r="H18" s="795" t="s">
        <v>1826</v>
      </c>
      <c r="I18" s="796" t="s">
        <v>651</v>
      </c>
      <c r="J18" s="797">
        <f ca="1">ROUND(J19+J24+J25+J26,0)</f>
        <v>0</v>
      </c>
      <c r="K18" s="25" t="s">
        <v>652</v>
      </c>
      <c r="L18" s="1965"/>
      <c r="M18" s="55"/>
    </row>
    <row r="19" spans="1:25" s="2047" customFormat="1" ht="18" customHeight="1">
      <c r="A19" s="801" t="s">
        <v>1850</v>
      </c>
      <c r="B19" s="782" t="s">
        <v>653</v>
      </c>
      <c r="C19" s="52">
        <f ca="1">ROUND(F19*(INDIRECT("'数据-取费表'!k"&amp;$G$1)+INDIRECT("'数据-取费表'!S"&amp;$G$1))/10000,0)</f>
        <v>0</v>
      </c>
      <c r="D19" s="782" t="s">
        <v>654</v>
      </c>
      <c r="E19" s="782" t="s">
        <v>655</v>
      </c>
      <c r="F19" s="55">
        <f>'数据-取费表'!B35</f>
        <v>250</v>
      </c>
      <c r="G19" s="1577"/>
      <c r="H19" s="801" t="s">
        <v>2068</v>
      </c>
      <c r="I19" s="782" t="s">
        <v>656</v>
      </c>
      <c r="J19" s="52">
        <f ca="1">ROUND(IF(项目基本情况!B11="自然人",J7*M19,J20+J21+J22),0)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1851</v>
      </c>
      <c r="B20" s="782" t="s">
        <v>659</v>
      </c>
      <c r="C20" s="52">
        <f ca="1">ROUND(C16*F20,0)</f>
        <v>0</v>
      </c>
      <c r="D20" s="782" t="s">
        <v>648</v>
      </c>
      <c r="E20" s="782" t="s">
        <v>649</v>
      </c>
      <c r="F20" s="807">
        <f>'数据-取费表'!B36</f>
        <v>1.4999999999999999E-2</v>
      </c>
      <c r="G20" s="1577"/>
      <c r="H20" s="801" t="s">
        <v>1830</v>
      </c>
      <c r="I20" s="782" t="s">
        <v>660</v>
      </c>
      <c r="J20" s="52">
        <f ca="1">ROUND(J7*M20/1.05,1)</f>
        <v>0</v>
      </c>
      <c r="K20" s="1960" t="s">
        <v>661</v>
      </c>
      <c r="L20" s="782" t="s">
        <v>649</v>
      </c>
      <c r="M20" s="807">
        <f>'数据-取费表'!B41</f>
        <v>5.6000000000000001E-2</v>
      </c>
      <c r="N20" s="2046"/>
      <c r="O20" s="2046"/>
      <c r="P20" s="2046"/>
      <c r="Q20" s="2046"/>
      <c r="R20" s="2046"/>
      <c r="S20" s="2046"/>
      <c r="T20" s="2046"/>
      <c r="U20" s="2046"/>
      <c r="V20" s="2046"/>
      <c r="W20" s="2046"/>
      <c r="X20" s="2046"/>
      <c r="Y20" s="2046"/>
    </row>
    <row r="21" spans="1:25" ht="18" customHeight="1">
      <c r="A21" s="801" t="s">
        <v>1875</v>
      </c>
      <c r="B21" s="782" t="s">
        <v>662</v>
      </c>
      <c r="C21" s="52">
        <f ca="1">SUM(C16:C20)</f>
        <v>0</v>
      </c>
      <c r="D21" s="260" t="s">
        <v>663</v>
      </c>
      <c r="E21" s="1965"/>
      <c r="F21" s="55"/>
      <c r="G21" s="1576"/>
      <c r="H21" s="1813" t="s">
        <v>1848</v>
      </c>
      <c r="I21" s="782" t="s">
        <v>664</v>
      </c>
      <c r="J21" s="52">
        <f ca="1">IF(K21="按租金收入计税",ROUND(J7*M21,1),ROUND(C31*F35*0.7,1))</f>
        <v>0</v>
      </c>
      <c r="K21" s="809" t="s">
        <v>665</v>
      </c>
      <c r="L21" s="782" t="s">
        <v>649</v>
      </c>
      <c r="M21" s="807">
        <f>IF(K21="按租金收入计税",'数据-取费表'!B51,'数据-取费表'!B50)</f>
        <v>1.2E-2</v>
      </c>
    </row>
    <row r="22" spans="1:25" s="2047" customFormat="1" ht="18" customHeight="1">
      <c r="A22" s="801" t="s">
        <v>1876</v>
      </c>
      <c r="B22" s="782" t="s">
        <v>666</v>
      </c>
      <c r="C22" s="52">
        <f ca="1">ROUND(C21*F22,0)</f>
        <v>0</v>
      </c>
      <c r="D22" s="810" t="s">
        <v>667</v>
      </c>
      <c r="E22" s="782" t="s">
        <v>649</v>
      </c>
      <c r="F22" s="807">
        <f>'数据-取费表'!B37</f>
        <v>0.02</v>
      </c>
      <c r="G22" s="1577"/>
      <c r="H22" s="1815" t="s">
        <v>1849</v>
      </c>
      <c r="I22" s="1805" t="s">
        <v>668</v>
      </c>
      <c r="J22" s="53">
        <f ca="1">ROUND(M22*M23/10000,0)</f>
        <v>0</v>
      </c>
      <c r="K22" s="812" t="s">
        <v>669</v>
      </c>
      <c r="L22" s="782" t="s">
        <v>670</v>
      </c>
      <c r="M22" s="638">
        <f>'数据-取费表'!B52</f>
        <v>12</v>
      </c>
      <c r="N22" s="2046"/>
      <c r="O22" s="2046"/>
      <c r="P22" s="2046"/>
      <c r="Q22" s="2046"/>
      <c r="R22" s="2046"/>
      <c r="S22" s="2046"/>
      <c r="T22" s="2046"/>
      <c r="U22" s="2046"/>
      <c r="V22" s="2046"/>
      <c r="W22" s="2046"/>
      <c r="X22" s="2046"/>
      <c r="Y22" s="2046"/>
    </row>
    <row r="23" spans="1:25" s="2047" customFormat="1" ht="18" customHeight="1">
      <c r="A23" s="801" t="s">
        <v>1877</v>
      </c>
      <c r="B23" s="782" t="s">
        <v>671</v>
      </c>
      <c r="C23" s="52" t="s">
        <v>1</v>
      </c>
      <c r="D23" s="810" t="s">
        <v>672</v>
      </c>
      <c r="E23" s="782" t="s">
        <v>673</v>
      </c>
      <c r="F23" s="807">
        <f>'数据-取费表'!B38</f>
        <v>0.02</v>
      </c>
      <c r="G23" s="1577"/>
      <c r="H23" s="1816"/>
      <c r="I23" s="1807"/>
      <c r="J23" s="68"/>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1878</v>
      </c>
      <c r="B24" s="782" t="s">
        <v>675</v>
      </c>
      <c r="C24" s="52"/>
      <c r="D24" s="2534" t="str">
        <f>IF(F25&lt;=1,"单利计息。","复利计息。")&amp;"建造成本、管理费用、销售费用产生的利息。"</f>
        <v>复利计息。建造成本、管理费用、销售费用产生的利息。</v>
      </c>
      <c r="E24" s="1965"/>
      <c r="F24" s="55"/>
      <c r="G24" s="1576"/>
      <c r="H24" s="1814" t="s">
        <v>2069</v>
      </c>
      <c r="I24" s="782" t="s">
        <v>676</v>
      </c>
      <c r="J24" s="52">
        <f ca="1">ROUND(J16*M24,0)</f>
        <v>0</v>
      </c>
      <c r="K24" s="1960" t="s">
        <v>677</v>
      </c>
      <c r="L24" s="782" t="s">
        <v>649</v>
      </c>
      <c r="M24" s="815">
        <f ca="1">INDIRECT("'数据-取费表'!Ak"&amp;$G$1)</f>
        <v>0</v>
      </c>
    </row>
    <row r="25" spans="1:25" s="2047" customFormat="1" ht="18" customHeight="1">
      <c r="A25" s="801" t="s">
        <v>1874</v>
      </c>
      <c r="B25" s="782" t="s">
        <v>2436</v>
      </c>
      <c r="C25" s="52">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5</v>
      </c>
      <c r="G25" s="1577"/>
      <c r="H25" s="801" t="s">
        <v>1877</v>
      </c>
      <c r="I25" s="782" t="s">
        <v>679</v>
      </c>
      <c r="J25" s="52">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1848</v>
      </c>
      <c r="B26" s="782" t="s">
        <v>681</v>
      </c>
      <c r="C26" s="52">
        <f ca="1">ROUND(IF('数据-取费表'!B22&lt;=1,F23*F26*F25/2,F23*(POWER((1+F26),F25/2)-1)),4)</f>
        <v>2.5000000000000001E-3</v>
      </c>
      <c r="D26" s="2533" t="str">
        <f>IF(F25&lt;=1,"销售费用×利率×(建设周期÷2)","销售费用×((1+利率)^(建设周期÷2)-1)")</f>
        <v>销售费用×((1+利率)^(建设周期÷2)-1)</v>
      </c>
      <c r="E26" s="782" t="s">
        <v>682</v>
      </c>
      <c r="F26" s="817">
        <f ca="1">'数据-取费表'!B40</f>
        <v>4.7500000000000001E-2</v>
      </c>
      <c r="G26" s="1577"/>
      <c r="H26" s="801" t="s">
        <v>1878</v>
      </c>
      <c r="I26" s="782" t="s">
        <v>666</v>
      </c>
      <c r="J26" s="52">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1880</v>
      </c>
      <c r="B27" s="782" t="s">
        <v>684</v>
      </c>
      <c r="C27" s="52"/>
      <c r="D27" s="260" t="s">
        <v>685</v>
      </c>
      <c r="E27" s="1965"/>
      <c r="F27" s="55"/>
      <c r="G27" s="1576"/>
      <c r="H27" s="795" t="s">
        <v>1827</v>
      </c>
      <c r="I27" s="2961" t="s">
        <v>2820</v>
      </c>
      <c r="J27" s="797">
        <f ca="1">J7-J18</f>
        <v>0</v>
      </c>
      <c r="K27" s="1962" t="s">
        <v>700</v>
      </c>
      <c r="L27" s="1964"/>
      <c r="M27" s="818"/>
    </row>
    <row r="28" spans="1:25" ht="18" customHeight="1">
      <c r="A28" s="801" t="s">
        <v>1874</v>
      </c>
      <c r="B28" s="782" t="s">
        <v>2437</v>
      </c>
      <c r="C28" s="52">
        <f ca="1">ROUND((C21+C22)*F28,0)</f>
        <v>0</v>
      </c>
      <c r="D28" s="810" t="s">
        <v>701</v>
      </c>
      <c r="E28" s="793" t="s">
        <v>702</v>
      </c>
      <c r="F28" s="792">
        <f ca="1">INDIRECT("'数据-取费表'!q"&amp;$G$1)</f>
        <v>0</v>
      </c>
      <c r="G28" s="1576"/>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2">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1881</v>
      </c>
      <c r="B30" s="782" t="s">
        <v>687</v>
      </c>
      <c r="C30" s="52">
        <f>ROUND(F30/(1+'数据-取费表'!C42),4)</f>
        <v>5.33E-2</v>
      </c>
      <c r="D30" s="810" t="s">
        <v>709</v>
      </c>
      <c r="E30" s="782" t="s">
        <v>649</v>
      </c>
      <c r="F30" s="807">
        <f>'数据-取费表'!B41</f>
        <v>5.6000000000000001E-2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7"/>
      <c r="H31" s="821" t="s">
        <v>1871</v>
      </c>
      <c r="I31" s="2962" t="s">
        <v>2822</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1875</v>
      </c>
      <c r="B33" s="782" t="s">
        <v>656</v>
      </c>
      <c r="C33" s="52">
        <f ca="1">ROUND(IF(项目基本情况!B11="自然人",C7*F33,C34+C35+C36),1)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1874</v>
      </c>
      <c r="B34" s="782" t="s">
        <v>660</v>
      </c>
      <c r="C34" s="52">
        <f ca="1">ROUND(C7*F34/1.05,1)</f>
        <v>0</v>
      </c>
      <c r="D34" s="1960" t="s">
        <v>661</v>
      </c>
      <c r="E34" s="782" t="s">
        <v>649</v>
      </c>
      <c r="F34" s="807">
        <f>'数据-取费表'!B41</f>
        <v>5.6000000000000001E-2</v>
      </c>
      <c r="G34" s="2045"/>
      <c r="H34" s="2054"/>
      <c r="I34" s="2055"/>
      <c r="J34" s="2056"/>
      <c r="K34" s="2057"/>
      <c r="L34" s="2058"/>
      <c r="M34" s="2059"/>
    </row>
    <row r="35" spans="1:18" ht="18" customHeight="1">
      <c r="A35" s="801" t="s">
        <v>1848</v>
      </c>
      <c r="B35" s="782" t="s">
        <v>664</v>
      </c>
      <c r="C35" s="52">
        <f ca="1">IF(D35="按租金收入计税",ROUND(C7*F35,1),IF(D35="按房产原值计税",ROUND(C31*F35*0.7,1),INDIRECT("'数据-取费表'!Aj"&amp;$G$1)))</f>
        <v>0</v>
      </c>
      <c r="D35" s="809" t="s">
        <v>1679</v>
      </c>
      <c r="E35" s="782" t="s">
        <v>649</v>
      </c>
      <c r="F35" s="807">
        <f>IF(D35="按租金收入计税",'数据-取费表'!B51,'数据-取费表'!B50)</f>
        <v>1.2E-2</v>
      </c>
      <c r="G35" s="2045"/>
      <c r="H35" s="2060"/>
      <c r="I35" s="2060"/>
      <c r="J35" s="2060"/>
      <c r="K35" s="2061"/>
      <c r="L35" s="2060"/>
      <c r="M35" s="2060"/>
    </row>
    <row r="36" spans="1:18" ht="18" customHeight="1">
      <c r="A36" s="811" t="s">
        <v>1879</v>
      </c>
      <c r="B36" s="340" t="s">
        <v>668</v>
      </c>
      <c r="C36" s="53">
        <f ca="1">ROUND(F36*F37/10000,1)</f>
        <v>0</v>
      </c>
      <c r="D36" s="812" t="s">
        <v>669</v>
      </c>
      <c r="E36" s="782" t="s">
        <v>670</v>
      </c>
      <c r="F36" s="638">
        <f>'数据-取费表'!B52</f>
        <v>12</v>
      </c>
      <c r="G36" s="2045"/>
      <c r="H36" s="2048"/>
      <c r="I36" s="3463"/>
      <c r="J36" s="2062"/>
      <c r="K36" s="2063"/>
      <c r="L36" s="2062"/>
      <c r="M36" s="2062"/>
    </row>
    <row r="37" spans="1:18" ht="18" customHeight="1">
      <c r="A37" s="813"/>
      <c r="B37" s="791"/>
      <c r="C37" s="68"/>
      <c r="D37" s="814"/>
      <c r="E37" s="782" t="s">
        <v>674</v>
      </c>
      <c r="F37" s="783">
        <f ca="1">INDIRECT("'数据-取费表'!r"&amp;$G$1)</f>
        <v>0</v>
      </c>
      <c r="G37" s="2045"/>
      <c r="H37" s="2048"/>
      <c r="I37" s="3463"/>
      <c r="J37" s="2060"/>
      <c r="K37" s="2061"/>
      <c r="L37" s="2060"/>
      <c r="M37" s="2060"/>
    </row>
    <row r="38" spans="1:18" ht="18" customHeight="1">
      <c r="A38" s="801" t="s">
        <v>1876</v>
      </c>
      <c r="B38" s="782" t="s">
        <v>676</v>
      </c>
      <c r="C38" s="52">
        <f ca="1">ROUND(C31*F38,1)</f>
        <v>0</v>
      </c>
      <c r="D38" s="1960" t="s">
        <v>691</v>
      </c>
      <c r="E38" s="782" t="s">
        <v>649</v>
      </c>
      <c r="F38" s="815">
        <f ca="1">INDIRECT("'数据-取费表'!Ak"&amp;$G$1)</f>
        <v>0</v>
      </c>
      <c r="G38" s="2045"/>
      <c r="H38" s="2060"/>
      <c r="I38" s="2064"/>
      <c r="J38" s="1971"/>
      <c r="K38" s="2065"/>
      <c r="L38" s="2060"/>
      <c r="M38" s="2060"/>
    </row>
    <row r="39" spans="1:18" ht="18" customHeight="1">
      <c r="A39" s="801" t="s">
        <v>1877</v>
      </c>
      <c r="B39" s="782" t="s">
        <v>679</v>
      </c>
      <c r="C39" s="52">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1" t="s">
        <v>1875</v>
      </c>
      <c r="B42" s="833" t="s">
        <v>693</v>
      </c>
      <c r="C42" s="827">
        <f ca="1">C7-C32</f>
        <v>0</v>
      </c>
      <c r="D42" s="1962" t="s">
        <v>694</v>
      </c>
      <c r="E42" s="1964"/>
      <c r="F42" s="818"/>
      <c r="G42" s="2045"/>
      <c r="H42" s="2045"/>
      <c r="I42" s="2045"/>
      <c r="J42" s="2045"/>
      <c r="K42" s="2066"/>
      <c r="L42" s="2045"/>
      <c r="M42" s="2045"/>
    </row>
    <row r="43" spans="1:18" ht="18" customHeight="1">
      <c r="A43" s="801" t="s">
        <v>1876</v>
      </c>
      <c r="B43" s="833" t="s">
        <v>711</v>
      </c>
      <c r="C43" s="834">
        <f ca="1">ROUND(C15*F43,0)</f>
        <v>0</v>
      </c>
      <c r="D43" s="1349" t="s">
        <v>712</v>
      </c>
      <c r="E43" s="3072" t="s">
        <v>2962</v>
      </c>
      <c r="F43" s="3073">
        <f ca="1">INDIRECT("'数据-取费表'!j"&amp;$G$1)</f>
        <v>0</v>
      </c>
      <c r="G43" s="2045"/>
      <c r="H43" s="2045"/>
      <c r="I43" s="2045"/>
      <c r="J43" s="2045"/>
      <c r="K43" s="2066"/>
      <c r="L43" s="2045"/>
      <c r="M43" s="2045"/>
    </row>
    <row r="44" spans="1:18" ht="18" customHeight="1">
      <c r="A44" s="801" t="s">
        <v>1877</v>
      </c>
      <c r="B44" s="833" t="s">
        <v>713</v>
      </c>
      <c r="C44" s="1350">
        <f ca="1">C42-C43</f>
        <v>0</v>
      </c>
      <c r="D44" s="462" t="s">
        <v>714</v>
      </c>
      <c r="E44" s="463"/>
      <c r="F44" s="464"/>
      <c r="G44" s="2045"/>
      <c r="H44" s="2045"/>
      <c r="I44" s="2045"/>
      <c r="J44" s="2045"/>
      <c r="K44" s="2066"/>
      <c r="L44" s="2045"/>
      <c r="M44" s="2045"/>
    </row>
    <row r="45" spans="1:18" ht="18" customHeight="1">
      <c r="A45" s="801" t="s">
        <v>1878</v>
      </c>
      <c r="B45" s="1349" t="s">
        <v>715</v>
      </c>
      <c r="C45" s="2988">
        <f ca="1">ROUND(-PV(F45,F46,C44,0),0)</f>
        <v>0</v>
      </c>
      <c r="D45" s="1351" t="s">
        <v>716</v>
      </c>
      <c r="E45" s="804" t="s">
        <v>717</v>
      </c>
      <c r="F45" s="828">
        <f ca="1">INDIRECT("'数据-取费表'!h"&amp;$G$1)</f>
        <v>0</v>
      </c>
      <c r="G45" s="2045"/>
      <c r="H45" s="2045"/>
      <c r="I45" s="2045"/>
      <c r="J45" s="2045"/>
      <c r="K45" s="2066"/>
      <c r="L45" s="2045"/>
      <c r="M45" s="2045"/>
    </row>
    <row r="46" spans="1:18" ht="18" customHeight="1" thickBot="1">
      <c r="A46" s="829"/>
      <c r="B46" s="1352"/>
      <c r="C46" s="1353"/>
      <c r="D46" s="1354"/>
      <c r="E46" s="3074" t="s">
        <v>2965</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7" t="str">
        <f ca="1">IF(M48="住宅",0,IF(L49&gt;J52,L61,J61))</f>
        <v>0</v>
      </c>
      <c r="O47" s="2356" t="s">
        <v>2409</v>
      </c>
      <c r="P47" s="1576"/>
      <c r="Q47" s="1587"/>
      <c r="R47" s="1576"/>
    </row>
    <row r="48" spans="1:18" s="2042" customFormat="1" ht="18" customHeight="1" thickBot="1">
      <c r="A48" s="2067"/>
      <c r="C48" s="2070"/>
      <c r="D48" s="2071"/>
      <c r="E48" s="2071"/>
      <c r="F48" s="2072"/>
      <c r="G48" s="2073"/>
      <c r="I48" s="3097" t="s">
        <v>2343</v>
      </c>
      <c r="J48" s="2343"/>
      <c r="K48" s="3104" t="s">
        <v>2348</v>
      </c>
      <c r="L48" s="3108">
        <f ca="1">INDIRECT("'数据-取费表'!d"&amp;$G$1)</f>
        <v>0</v>
      </c>
      <c r="M48" s="307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6" t="s">
        <v>2344</v>
      </c>
      <c r="J49" s="2344"/>
      <c r="K49" s="3105"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6" t="s">
        <v>2345</v>
      </c>
      <c r="J50" s="2345"/>
      <c r="K50" s="3106"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6" t="s">
        <v>2346</v>
      </c>
      <c r="J51" s="3101">
        <f>SUMPRODUCT((I64:I66=J48)*(J63:L63=J49)*(J64:L66))</f>
        <v>0</v>
      </c>
      <c r="K51" s="3106" t="s">
        <v>2352</v>
      </c>
      <c r="L51" s="2346"/>
      <c r="O51" s="2363" t="s">
        <v>2382</v>
      </c>
      <c r="P51" s="2361" t="s">
        <v>2406</v>
      </c>
      <c r="Q51" s="2362">
        <f ca="1">C31</f>
        <v>0</v>
      </c>
      <c r="R51" s="2361" t="s">
        <v>2379</v>
      </c>
    </row>
    <row r="52" spans="1:18" s="2042" customFormat="1" ht="18" customHeight="1" thickBot="1">
      <c r="A52" s="2079"/>
      <c r="F52" s="2068"/>
      <c r="I52" s="3098" t="s">
        <v>2347</v>
      </c>
      <c r="J52" s="3102">
        <f>IF(J50="",J51,J50+J51-YEAR('数据-取费表'!B3))</f>
        <v>0</v>
      </c>
      <c r="K52" s="3076" t="s">
        <v>2353</v>
      </c>
      <c r="L52" s="3109">
        <f ca="1">ROUND(-PV(INDIRECT("'数据-取费表'!h"&amp;$G$1),L49,(C40-C14*J36),0),0)</f>
        <v>0</v>
      </c>
      <c r="O52" s="2363" t="s">
        <v>2383</v>
      </c>
      <c r="P52" s="2361" t="s">
        <v>2384</v>
      </c>
      <c r="Q52" s="2364" t="e">
        <f ca="1">J59</f>
        <v>#VALUE!</v>
      </c>
      <c r="R52" s="2365"/>
    </row>
    <row r="53" spans="1:18" s="2042" customFormat="1" ht="18" customHeight="1" thickBot="1">
      <c r="A53" s="2079"/>
      <c r="F53" s="2068"/>
      <c r="I53" s="3099" t="s">
        <v>2420</v>
      </c>
      <c r="J53" s="2347"/>
      <c r="K53" s="3099" t="s">
        <v>2419</v>
      </c>
      <c r="L53" s="2347"/>
      <c r="O53" s="2363" t="s">
        <v>2385</v>
      </c>
      <c r="P53" s="2361" t="s">
        <v>2386</v>
      </c>
      <c r="Q53" s="2364">
        <f>J53</f>
        <v>0</v>
      </c>
      <c r="R53" s="2365"/>
    </row>
    <row r="54" spans="1:18" s="2042" customFormat="1" ht="29.25" thickBot="1">
      <c r="A54" s="2079"/>
      <c r="I54" s="3100" t="s">
        <v>2978</v>
      </c>
      <c r="J54" s="3103">
        <f ca="1">IF(M48="住宅",MAX(J52,L49-'数据-取费表'!B20),MIN(J52,L49-'数据-取费表'!B20))</f>
        <v>-5</v>
      </c>
      <c r="K54" s="3468"/>
      <c r="L54" s="3469"/>
      <c r="O54" s="2363" t="s">
        <v>2387</v>
      </c>
      <c r="P54" s="2361" t="s">
        <v>2388</v>
      </c>
      <c r="Q54" s="2362">
        <f ca="1">J54</f>
        <v>-5</v>
      </c>
      <c r="R54" s="2361" t="s">
        <v>2389</v>
      </c>
    </row>
    <row r="55" spans="1:18" s="2042" customFormat="1" ht="18" customHeight="1" thickBot="1">
      <c r="A55" s="2079"/>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2390</v>
      </c>
      <c r="P55" s="2361" t="s">
        <v>2407</v>
      </c>
      <c r="Q55" s="2362">
        <f ca="1">Q49+Q50</f>
        <v>0</v>
      </c>
      <c r="R55" s="2365" t="s">
        <v>2391</v>
      </c>
    </row>
    <row r="56" spans="1:18" s="2042" customFormat="1" ht="16.5" thickBot="1">
      <c r="A56" s="2079"/>
      <c r="B56" s="2080"/>
      <c r="C56" s="2080"/>
      <c r="I56" s="3112" t="s">
        <v>2354</v>
      </c>
      <c r="J56" s="3051" t="e">
        <f ca="1">ROUND(IF(J48="钢混",J58/J51,1-(1-2%)*(J51-J58)/J51),3)</f>
        <v>#VALUE!</v>
      </c>
      <c r="K56" s="3113" t="s">
        <v>2355</v>
      </c>
      <c r="L56" s="2348"/>
      <c r="O56" s="2366" t="s">
        <v>2410</v>
      </c>
      <c r="P56" s="1576"/>
      <c r="Q56" s="1587"/>
      <c r="R56" s="1576"/>
    </row>
    <row r="57" spans="1:18" s="2042" customFormat="1" ht="43.5" thickBot="1">
      <c r="A57" s="2079"/>
      <c r="B57" s="2080"/>
      <c r="C57" s="2080"/>
      <c r="I57" s="3114" t="s">
        <v>2356</v>
      </c>
      <c r="J57" s="3124" t="s">
        <v>1677</v>
      </c>
      <c r="K57" s="3076" t="s">
        <v>2361</v>
      </c>
      <c r="L57" s="1891">
        <f ca="1">IF(L49&lt;J52,"——",L49-J52)</f>
        <v>0</v>
      </c>
      <c r="O57" s="2357" t="s">
        <v>2374</v>
      </c>
      <c r="P57" s="2358" t="s">
        <v>2375</v>
      </c>
      <c r="Q57" s="2359" t="s">
        <v>2376</v>
      </c>
      <c r="R57" s="2358" t="s">
        <v>2377</v>
      </c>
    </row>
    <row r="58" spans="1:18" s="2042" customFormat="1" ht="29.25" thickBot="1">
      <c r="A58" s="2079"/>
      <c r="B58" s="2080"/>
      <c r="C58" s="2080"/>
      <c r="I58" s="3115" t="s">
        <v>2357</v>
      </c>
      <c r="J58" s="3116" t="str">
        <f ca="1">IF(OR(M48="住宅",J52&lt;L49,J57="是"),"——",J52-L49)</f>
        <v>——</v>
      </c>
      <c r="K58" s="307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15" t="s">
        <v>2358</v>
      </c>
      <c r="J59" s="3052" t="e">
        <f ca="1">IF(J56&lt;0.4,0.4,J56)</f>
        <v>#VALUE!</v>
      </c>
      <c r="K59" s="307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15" t="s">
        <v>2359</v>
      </c>
      <c r="J60" s="3116" t="str">
        <f ca="1">IF(OR(M48="住宅",J52&lt;L49,J57="是"),"——",ROUND(C30*J59,0))</f>
        <v>——</v>
      </c>
      <c r="K60" s="307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7" t="s">
        <v>2360</v>
      </c>
      <c r="J61" s="3118" t="str">
        <f ca="1">IF(OR(M48="住宅",J52&lt;L49,J57="是"),"0",ROUND(J60/(1+J53)^J54,0))</f>
        <v>0</v>
      </c>
      <c r="K61" s="3119" t="s">
        <v>2365</v>
      </c>
      <c r="L61" s="3118"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20" t="s">
        <v>2366</v>
      </c>
      <c r="J63" s="3121" t="s">
        <v>2367</v>
      </c>
      <c r="K63" s="3121" t="s">
        <v>2368</v>
      </c>
      <c r="L63" s="3121" t="s">
        <v>2349</v>
      </c>
      <c r="M63" s="3122" t="s">
        <v>2942</v>
      </c>
      <c r="O63" s="2363" t="s">
        <v>2387</v>
      </c>
      <c r="P63" s="2361" t="s">
        <v>2395</v>
      </c>
      <c r="Q63" s="2362">
        <f ca="1">L60</f>
        <v>0</v>
      </c>
      <c r="R63" s="2365" t="s">
        <v>2396</v>
      </c>
    </row>
    <row r="64" spans="1:18" s="2042" customFormat="1" ht="15.75" thickBot="1">
      <c r="A64" s="2079"/>
      <c r="B64" s="2080"/>
      <c r="C64" s="2080"/>
      <c r="I64" s="3120" t="s">
        <v>2369</v>
      </c>
      <c r="J64" s="3121">
        <v>70</v>
      </c>
      <c r="K64" s="3121">
        <v>50</v>
      </c>
      <c r="L64" s="3121">
        <v>80</v>
      </c>
      <c r="M64" s="3123">
        <v>0.02</v>
      </c>
      <c r="O64" s="2360" t="s">
        <v>2390</v>
      </c>
      <c r="P64" s="2361" t="s">
        <v>2407</v>
      </c>
      <c r="Q64" s="2362" t="e">
        <f ca="1">Q58+Q59</f>
        <v>#DIV/0!</v>
      </c>
      <c r="R64" s="2365" t="s">
        <v>2391</v>
      </c>
    </row>
    <row r="65" spans="1:18" s="2042" customFormat="1" ht="16.5" thickBot="1">
      <c r="A65" s="2079"/>
      <c r="B65" s="2080"/>
      <c r="C65" s="2080"/>
      <c r="I65" s="3120" t="s">
        <v>2370</v>
      </c>
      <c r="J65" s="3121">
        <v>50</v>
      </c>
      <c r="K65" s="3121">
        <v>35</v>
      </c>
      <c r="L65" s="3121">
        <v>60</v>
      </c>
      <c r="M65" s="844">
        <v>0</v>
      </c>
      <c r="O65" s="2366" t="s">
        <v>2414</v>
      </c>
      <c r="P65" s="1576"/>
      <c r="Q65" s="1587"/>
      <c r="R65" s="1576"/>
    </row>
    <row r="66" spans="1:18" s="2042" customFormat="1" ht="15.75" thickBot="1">
      <c r="A66" s="2079"/>
      <c r="B66" s="2080"/>
      <c r="C66" s="2080"/>
      <c r="I66" s="3120" t="s">
        <v>2371</v>
      </c>
      <c r="J66" s="3121">
        <v>40</v>
      </c>
      <c r="K66" s="3121">
        <v>30</v>
      </c>
      <c r="L66" s="3121">
        <v>50</v>
      </c>
      <c r="M66" s="3123">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光大兴陇有限责任公司：</v>
      </c>
    </row>
    <row r="4" spans="1:4" ht="37.5">
      <c r="A4" s="1774" t="str">
        <f>"受贵公司委托，我公司对"&amp;项目基本情况!K2&amp;项目基本情况!B9&amp;"进行了预评估。"</f>
        <v>受贵公司委托，我公司对四川省成都市天府新区华阳街道广福社区“恒大天府半岛”居住项目七期出让国有建设用地使用权市场价格进行了预评估。</v>
      </c>
    </row>
    <row r="5" spans="1:4" ht="18.75">
      <c r="A5" s="1777" t="s">
        <v>1904</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心怡房地产开发有限公司使用的、位于四川省成都市天府新区华阳街道广福社区“恒大天府半岛”居住项目七期出让国有建设用地使用权。根据《国有土地使用证》[]，估价对象（分摊）出让国有建设用地使用权面积为285760.2平方米。根据《建设工程规划许可证》[]、《出让合同》[]，估价对象规划建筑面积为939662.47平方米。</v>
      </c>
    </row>
    <row r="7" spans="1:4" ht="56.25">
      <c r="A7" s="1778" t="s">
        <v>2745</v>
      </c>
    </row>
    <row r="8" spans="1:4" ht="18.75">
      <c r="A8" s="1777" t="s">
        <v>1905</v>
      </c>
    </row>
    <row r="9" spans="1:4" ht="112.5">
      <c r="A9" s="1779" t="str">
        <f>IF(项目基本情况!B8="抵押",IF(项目基本情况!B5=项目基本情况!B6,定义!C51,定义!B51),定义!D51)</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2019年6月14日（评估专业人员勘察现场之日）</v>
      </c>
    </row>
    <row r="12" spans="1:4" ht="18.75">
      <c r="A12" s="1780" t="s">
        <v>2024</v>
      </c>
    </row>
    <row r="13" spans="1:4" ht="18.75">
      <c r="A13" s="1774" t="s">
        <v>2941</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根据《国有土地使用证》[]，估价对象（分摊）出让国有建设用地使用权面积为285760.2平方米。根据《建设工程规划许可证》[]、《出让合同》[]，估价对象规划建筑面积为939662.47平方米。</v>
      </c>
    </row>
    <row r="21" spans="1:1" ht="18.75">
      <c r="A21" s="1774" t="s">
        <v>2073</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1月26日、商业2043年1月26日车库2053年1月26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row>
    <row r="26" spans="1:1" ht="18.75">
      <c r="A26" s="1774" t="str">
        <f>IF(项目基本情况!B9="市场价格","——",IF(项目基本情况!E8="抵押价格",定义!C54,IF(项目基本情况!E8="已注销",定义!C55,定义!C56)))</f>
        <v>——</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4" t="str">
        <f>IF(项目基本情况!B9="市场价格","——",IF(项目基本情况!E9="——","",定义!C57))</f>
        <v>——</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K49"/>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5" t="s">
        <v>719</v>
      </c>
      <c r="C1" s="2586" t="s">
        <v>720</v>
      </c>
      <c r="D1" s="2587" t="s">
        <v>922</v>
      </c>
      <c r="E1" s="2588"/>
      <c r="F1" s="2760" t="s">
        <v>3007</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4">
        <f>ROUND(B3*D3/10000,0)</f>
        <v>548962</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49">
        <f>C49</f>
        <v>13194</v>
      </c>
      <c r="C3" s="850" t="s">
        <v>722</v>
      </c>
      <c r="D3" s="849">
        <f>SUMIF('数据-汇总表'!$C19:$C33,D1,'数据-汇总表'!$E19:$E33)</f>
        <v>416069.5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395" t="s">
        <v>522</v>
      </c>
      <c r="D4" s="3397"/>
      <c r="E4" s="3422" t="s">
        <v>523</v>
      </c>
      <c r="F4" s="3396"/>
      <c r="G4" s="3395" t="s">
        <v>524</v>
      </c>
      <c r="H4" s="3397"/>
      <c r="I4" s="3395" t="s">
        <v>525</v>
      </c>
      <c r="J4" s="3397"/>
      <c r="K4" s="851" t="s">
        <v>526</v>
      </c>
      <c r="L4" s="2116"/>
      <c r="M4" s="2117"/>
      <c r="N4" s="2117"/>
      <c r="O4" s="2117"/>
      <c r="P4" s="3398" t="s">
        <v>527</v>
      </c>
      <c r="Q4" s="3399"/>
      <c r="R4" s="3383" t="s">
        <v>523</v>
      </c>
      <c r="S4" s="3384"/>
      <c r="T4" s="3383" t="s">
        <v>524</v>
      </c>
      <c r="U4" s="3384"/>
      <c r="V4" s="3404" t="s">
        <v>525</v>
      </c>
      <c r="W4" s="3404"/>
      <c r="X4" s="1551"/>
      <c r="Y4" s="3383" t="s">
        <v>527</v>
      </c>
      <c r="Z4" s="3384"/>
      <c r="AA4" s="3378" t="s">
        <v>523</v>
      </c>
      <c r="AB4" s="3378" t="s">
        <v>524</v>
      </c>
      <c r="AC4" s="3378" t="s">
        <v>525</v>
      </c>
    </row>
    <row r="5" spans="1:29" ht="15">
      <c r="A5" s="514"/>
      <c r="B5" s="515"/>
      <c r="C5" s="3407" t="s">
        <v>2929</v>
      </c>
      <c r="D5" s="3408"/>
      <c r="E5" s="3423" t="str">
        <f>'[1]比较法-住宅'!$E$5:$F$5</f>
        <v>建发中央湾区</v>
      </c>
      <c r="F5" s="3409"/>
      <c r="G5" s="3407" t="str">
        <f>'[1]比较法-住宅'!$G$5:$H$5</f>
        <v>阳光城半山悦</v>
      </c>
      <c r="H5" s="3408"/>
      <c r="I5" s="3407" t="str">
        <f>'[1]比较法-住宅'!$I$5:$J$5</f>
        <v>远大中央公园</v>
      </c>
      <c r="J5" s="3408"/>
      <c r="K5" s="852"/>
      <c r="L5" s="2116"/>
      <c r="M5" s="2117"/>
      <c r="N5" s="2117"/>
      <c r="O5" s="2117"/>
      <c r="P5" s="3400"/>
      <c r="Q5" s="3401"/>
      <c r="R5" s="3385"/>
      <c r="S5" s="3386"/>
      <c r="T5" s="3385"/>
      <c r="U5" s="3386"/>
      <c r="V5" s="3404"/>
      <c r="W5" s="3404"/>
      <c r="X5" s="1551"/>
      <c r="Y5" s="3385"/>
      <c r="Z5" s="3386"/>
      <c r="AA5" s="3379"/>
      <c r="AB5" s="3379"/>
      <c r="AC5" s="3379"/>
    </row>
    <row r="6" spans="1:29" ht="15.75" thickBot="1">
      <c r="A6" s="516"/>
      <c r="B6" s="517"/>
      <c r="C6" s="3405" t="s">
        <v>2933</v>
      </c>
      <c r="D6" s="3406"/>
      <c r="E6" s="3424" t="str">
        <f>'[1]比较法-住宅'!$E$6:$F$6</f>
        <v>正公路88号</v>
      </c>
      <c r="F6" s="3425"/>
      <c r="G6" s="3405" t="str">
        <f>'[1]比较法-住宅'!$G$6:$H$6</f>
        <v>麓山大道381号</v>
      </c>
      <c r="H6" s="3406"/>
      <c r="I6" s="3405" t="str">
        <f>'[1]比较法-住宅'!$I$6:$J$6</f>
        <v>天府大道南段西侧</v>
      </c>
      <c r="J6" s="3406"/>
      <c r="K6" s="852" t="s">
        <v>528</v>
      </c>
      <c r="L6" s="2116"/>
      <c r="M6" s="2117"/>
      <c r="N6" s="2117"/>
      <c r="O6" s="2117"/>
      <c r="P6" s="3402"/>
      <c r="Q6" s="3403"/>
      <c r="R6" s="3385"/>
      <c r="S6" s="3386"/>
      <c r="T6" s="3387"/>
      <c r="U6" s="3388"/>
      <c r="V6" s="3404"/>
      <c r="W6" s="3404"/>
      <c r="X6" s="1551"/>
      <c r="Y6" s="3387"/>
      <c r="Z6" s="3388"/>
      <c r="AA6" s="3380"/>
      <c r="AB6" s="3380"/>
      <c r="AC6" s="3380"/>
    </row>
    <row r="7" spans="1:29" s="1213" customFormat="1" ht="15.75" thickBot="1">
      <c r="A7" s="2865"/>
      <c r="B7" s="2872" t="s">
        <v>529</v>
      </c>
      <c r="C7" s="518">
        <f>'数据-取费表'!B2</f>
        <v>43630</v>
      </c>
      <c r="D7" s="519">
        <v>100</v>
      </c>
      <c r="E7" s="520">
        <f>'[1]比较法-住宅'!$E$7</f>
        <v>43617</v>
      </c>
      <c r="F7" s="521">
        <f>SUMIF(58:58,YEAR(E7)&amp;"-"&amp;MONTH(E7),59:59)</f>
        <v>100</v>
      </c>
      <c r="G7" s="522">
        <f>'[1]比较法-住宅'!$G$7</f>
        <v>43497</v>
      </c>
      <c r="H7" s="519">
        <f>SUMIF(58:58,YEAR(G7)&amp;"-"&amp;MONTH(G7),59:59)</f>
        <v>100</v>
      </c>
      <c r="I7" s="522">
        <f>'[1]比较法-住宅'!$I$7</f>
        <v>43617</v>
      </c>
      <c r="J7" s="519">
        <f>SUMIF(58:58,YEAR(I7)&amp;"-"&amp;MONTH(I7),59:59)</f>
        <v>100</v>
      </c>
      <c r="K7" s="853"/>
      <c r="L7" s="2118"/>
      <c r="M7" s="2119"/>
      <c r="N7" s="2119"/>
      <c r="O7" s="2119"/>
      <c r="P7" s="3381" t="s">
        <v>530</v>
      </c>
      <c r="Q7" s="3390"/>
      <c r="R7" s="1552" t="s">
        <v>13</v>
      </c>
      <c r="S7" s="1553">
        <f t="shared" ref="S7:S15" si="0">F7</f>
        <v>100</v>
      </c>
      <c r="T7" s="1552" t="s">
        <v>13</v>
      </c>
      <c r="U7" s="1553">
        <f t="shared" ref="U7:U15" si="1">H7</f>
        <v>100</v>
      </c>
      <c r="V7" s="1552" t="s">
        <v>13</v>
      </c>
      <c r="W7" s="1553">
        <f t="shared" ref="W7:W15" si="2">J7</f>
        <v>100</v>
      </c>
      <c r="X7" s="1554"/>
      <c r="Y7" s="3381" t="s">
        <v>530</v>
      </c>
      <c r="Z7" s="3382"/>
      <c r="AA7" s="1555">
        <f>D7/F7</f>
        <v>1</v>
      </c>
      <c r="AB7" s="1555">
        <f>D7/H7</f>
        <v>1</v>
      </c>
      <c r="AC7" s="1555">
        <f>D7/J7</f>
        <v>1</v>
      </c>
    </row>
    <row r="8" spans="1:29" s="1213" customFormat="1" ht="15.75" thickBot="1">
      <c r="A8" s="2866"/>
      <c r="B8" s="2873" t="s">
        <v>531</v>
      </c>
      <c r="C8" s="524" t="s">
        <v>576</v>
      </c>
      <c r="D8" s="519">
        <v>100</v>
      </c>
      <c r="E8" s="854" t="s">
        <v>3010</v>
      </c>
      <c r="F8" s="521">
        <f>SUMIF(61:61,E8,62:62)-SUMIF(61:61,C8,62:62)+100</f>
        <v>100</v>
      </c>
      <c r="G8" s="854" t="s">
        <v>3010</v>
      </c>
      <c r="H8" s="519">
        <f>SUMIF(61:61,G8,62:62)-SUMIF(61:61,C8,62:62)+100</f>
        <v>100</v>
      </c>
      <c r="I8" s="854" t="s">
        <v>3010</v>
      </c>
      <c r="J8" s="519">
        <f>SUMIF(61:61,I8,62:62)-SUMIF(61:61,C8,62:62)+100</f>
        <v>100</v>
      </c>
      <c r="K8" s="853"/>
      <c r="L8" s="2118"/>
      <c r="M8" s="2119"/>
      <c r="N8" s="2119"/>
      <c r="O8" s="2119"/>
      <c r="P8" s="3381" t="s">
        <v>533</v>
      </c>
      <c r="Q8" s="3382"/>
      <c r="R8" s="1552" t="s">
        <v>13</v>
      </c>
      <c r="S8" s="1553">
        <f t="shared" si="0"/>
        <v>100</v>
      </c>
      <c r="T8" s="1552" t="s">
        <v>13</v>
      </c>
      <c r="U8" s="1553">
        <f t="shared" si="1"/>
        <v>100</v>
      </c>
      <c r="V8" s="1552" t="s">
        <v>13</v>
      </c>
      <c r="W8" s="1553">
        <f t="shared" si="2"/>
        <v>100</v>
      </c>
      <c r="X8" s="1554"/>
      <c r="Y8" s="3381" t="s">
        <v>533</v>
      </c>
      <c r="Z8" s="3382"/>
      <c r="AA8" s="1555">
        <f t="shared" ref="AA8:AA46" si="3">D8/F8</f>
        <v>1</v>
      </c>
      <c r="AB8" s="1555">
        <f t="shared" ref="AB8:AB46" si="4">D8/H8</f>
        <v>1</v>
      </c>
      <c r="AC8" s="1555">
        <f t="shared" ref="AC8:AC46" si="5">D8/J8</f>
        <v>1</v>
      </c>
    </row>
    <row r="9" spans="1:29" s="1213" customFormat="1" ht="15">
      <c r="A9" s="2867"/>
      <c r="B9" s="2874" t="s">
        <v>2754</v>
      </c>
      <c r="C9" s="3188" t="s">
        <v>3011</v>
      </c>
      <c r="D9" s="253">
        <v>100</v>
      </c>
      <c r="E9" s="856" t="s">
        <v>922</v>
      </c>
      <c r="F9" s="857">
        <f>SUMIF(63:63,E9,64:64)-SUMIF(63:63,C9,64:64)+100</f>
        <v>100</v>
      </c>
      <c r="G9" s="856" t="s">
        <v>922</v>
      </c>
      <c r="H9" s="253">
        <f>SUMIF(63:63,G9,64:64)-SUMIF(63:63,C9,64:64)+100</f>
        <v>100</v>
      </c>
      <c r="I9" s="856" t="s">
        <v>922</v>
      </c>
      <c r="J9" s="253">
        <f>SUMIF(63:63,I9,64:64)-SUMIF(63:63,C9,64:64)+100</f>
        <v>100</v>
      </c>
      <c r="K9" s="853"/>
      <c r="L9" s="2118"/>
      <c r="M9" s="2119"/>
      <c r="N9" s="2119"/>
      <c r="O9" s="2120"/>
      <c r="P9" s="3389" t="s">
        <v>535</v>
      </c>
      <c r="Q9" s="1144" t="str">
        <f t="shared" ref="Q9:Q15" si="6">B9</f>
        <v>用途</v>
      </c>
      <c r="R9" s="1552" t="s">
        <v>8</v>
      </c>
      <c r="S9" s="1553">
        <f t="shared" si="0"/>
        <v>100</v>
      </c>
      <c r="T9" s="1552" t="s">
        <v>8</v>
      </c>
      <c r="U9" s="1553">
        <f t="shared" si="1"/>
        <v>100</v>
      </c>
      <c r="V9" s="1552" t="s">
        <v>8</v>
      </c>
      <c r="W9" s="1553">
        <f t="shared" si="2"/>
        <v>100</v>
      </c>
      <c r="X9" s="1554"/>
      <c r="Y9" s="3346" t="s">
        <v>536</v>
      </c>
      <c r="Z9" s="1143" t="str">
        <f t="shared" ref="Z9:Z15" si="7">Q9</f>
        <v>用途</v>
      </c>
      <c r="AA9" s="1555">
        <f t="shared" si="3"/>
        <v>1</v>
      </c>
      <c r="AB9" s="1555">
        <f t="shared" si="4"/>
        <v>1</v>
      </c>
      <c r="AC9" s="1555">
        <f t="shared" si="5"/>
        <v>1</v>
      </c>
    </row>
    <row r="10" spans="1:29" s="1331" customFormat="1" ht="27">
      <c r="A10" s="2868"/>
      <c r="B10" s="2873" t="s">
        <v>2755</v>
      </c>
      <c r="C10" s="859" t="s">
        <v>3012</v>
      </c>
      <c r="D10" s="254">
        <v>100</v>
      </c>
      <c r="E10" s="860" t="s">
        <v>3013</v>
      </c>
      <c r="F10" s="861">
        <f>SUMIF(65:65,E10,66:66)-SUMIF(65:65,C10,66:66)+100</f>
        <v>101</v>
      </c>
      <c r="G10" s="860" t="s">
        <v>3013</v>
      </c>
      <c r="H10" s="254">
        <f>SUMIF(65:65,G10,66:66)-SUMIF(65:65,C10,66:66)+100</f>
        <v>101</v>
      </c>
      <c r="I10" s="860" t="s">
        <v>3013</v>
      </c>
      <c r="J10" s="254">
        <f>SUMIF(65:65,I10,66:66)-SUMIF(65:65,C10,66:66)+100</f>
        <v>101</v>
      </c>
      <c r="K10" s="862">
        <f>'[1]比较法-住宅'!$K$10</f>
        <v>1</v>
      </c>
      <c r="L10" s="2121"/>
      <c r="M10" s="2161"/>
      <c r="N10" s="2161"/>
      <c r="O10" s="2122"/>
      <c r="P10" s="3389"/>
      <c r="Q10" s="1144" t="str">
        <f t="shared" si="6"/>
        <v>土地使用年限（年）</v>
      </c>
      <c r="R10" s="1552" t="s">
        <v>8</v>
      </c>
      <c r="S10" s="1553">
        <f t="shared" si="0"/>
        <v>101</v>
      </c>
      <c r="T10" s="1552" t="s">
        <v>8</v>
      </c>
      <c r="U10" s="1553">
        <f t="shared" si="1"/>
        <v>101</v>
      </c>
      <c r="V10" s="1552" t="s">
        <v>8</v>
      </c>
      <c r="W10" s="1553">
        <f t="shared" si="2"/>
        <v>101</v>
      </c>
      <c r="X10" s="1554"/>
      <c r="Y10" s="3346"/>
      <c r="Z10" s="1143" t="str">
        <f t="shared" si="7"/>
        <v>土地使用年限（年）</v>
      </c>
      <c r="AA10" s="1555">
        <f t="shared" si="3"/>
        <v>0.99009900990099009</v>
      </c>
      <c r="AB10" s="1555">
        <f t="shared" si="4"/>
        <v>0.99009900990099009</v>
      </c>
      <c r="AC10" s="1555">
        <f t="shared" si="5"/>
        <v>0.99009900990099009</v>
      </c>
    </row>
    <row r="11" spans="1:29" ht="15.75" thickBot="1">
      <c r="A11" s="2869"/>
      <c r="B11" s="2873" t="s">
        <v>2756</v>
      </c>
      <c r="C11" s="532">
        <f>'数据-汇总表'!I6</f>
        <v>2.1800000000000002</v>
      </c>
      <c r="D11" s="254">
        <v>100</v>
      </c>
      <c r="E11" s="533">
        <f>'[1]比较法-住宅'!$E$11</f>
        <v>1.8</v>
      </c>
      <c r="F11" s="861">
        <f>LOOKUP(E11,68:68,69:69)-LOOKUP(C11,68:68,69:69)+100</f>
        <v>100</v>
      </c>
      <c r="G11" s="532">
        <f>'[1]比较法-住宅'!$G$11</f>
        <v>1.98</v>
      </c>
      <c r="H11" s="254">
        <f>LOOKUP(G11,68:68,69:69)-LOOKUP(C11,68:68,69:69)+100</f>
        <v>100</v>
      </c>
      <c r="I11" s="532">
        <f>'[1]比较法-住宅'!$I$11</f>
        <v>4.96</v>
      </c>
      <c r="J11" s="254">
        <f>LOOKUP(I11,68:68,69:69)-LOOKUP(C11,68:68,69:69)+100</f>
        <v>100</v>
      </c>
      <c r="K11" s="862">
        <f>'[1]比较法-住宅'!$K$11</f>
        <v>0</v>
      </c>
      <c r="L11" s="2123"/>
      <c r="M11" s="2117"/>
      <c r="N11" s="2117"/>
      <c r="O11" s="2124"/>
      <c r="P11" s="3389"/>
      <c r="Q11" s="1144" t="str">
        <f t="shared" si="6"/>
        <v>容积率</v>
      </c>
      <c r="R11" s="1552" t="s">
        <v>11</v>
      </c>
      <c r="S11" s="1553">
        <f t="shared" si="0"/>
        <v>100</v>
      </c>
      <c r="T11" s="1552" t="s">
        <v>11</v>
      </c>
      <c r="U11" s="1553">
        <f t="shared" si="1"/>
        <v>100</v>
      </c>
      <c r="V11" s="1552" t="s">
        <v>11</v>
      </c>
      <c r="W11" s="1553">
        <f t="shared" si="2"/>
        <v>100</v>
      </c>
      <c r="X11" s="1554"/>
      <c r="Y11" s="3346"/>
      <c r="Z11" s="1143" t="str">
        <f t="shared" si="7"/>
        <v>容积率</v>
      </c>
      <c r="AA11" s="1555">
        <f t="shared" si="3"/>
        <v>1</v>
      </c>
      <c r="AB11" s="1555">
        <f t="shared" si="4"/>
        <v>1</v>
      </c>
      <c r="AC11" s="1555">
        <f t="shared" si="5"/>
        <v>1</v>
      </c>
    </row>
    <row r="12" spans="1:29" s="1213" customFormat="1" ht="15" hidden="1">
      <c r="A12" s="2870"/>
      <c r="B12" s="2876"/>
      <c r="C12" s="527"/>
      <c r="D12" s="537">
        <v>100</v>
      </c>
      <c r="E12" s="527"/>
      <c r="F12" s="861">
        <f>SUMIF(70:70,E12,71:71)-SUMIF(70:70,C12,71:71)+100</f>
        <v>100</v>
      </c>
      <c r="G12" s="527"/>
      <c r="H12" s="254">
        <f>SUMIF(70:70,G12,71:71)-SUMIF(70:70,C12,71:71)+100</f>
        <v>100</v>
      </c>
      <c r="I12" s="527"/>
      <c r="J12" s="254">
        <f>SUMIF(70:70,I12,71:71)-SUMIF(70:70,C12,71:71)+100</f>
        <v>100</v>
      </c>
      <c r="K12" s="863"/>
      <c r="L12" s="2118"/>
      <c r="M12" s="2119"/>
      <c r="N12" s="2119"/>
      <c r="O12" s="2120"/>
      <c r="P12" s="3389"/>
      <c r="Q12" s="1144">
        <f t="shared" si="6"/>
        <v>0</v>
      </c>
      <c r="R12" s="1552" t="s">
        <v>11</v>
      </c>
      <c r="S12" s="1553">
        <f t="shared" si="0"/>
        <v>100</v>
      </c>
      <c r="T12" s="1552" t="s">
        <v>11</v>
      </c>
      <c r="U12" s="1553">
        <f t="shared" si="1"/>
        <v>100</v>
      </c>
      <c r="V12" s="1552" t="s">
        <v>11</v>
      </c>
      <c r="W12" s="1553">
        <f t="shared" si="2"/>
        <v>100</v>
      </c>
      <c r="X12" s="1554"/>
      <c r="Y12" s="3346"/>
      <c r="Z12" s="1143">
        <f t="shared" si="7"/>
        <v>0</v>
      </c>
      <c r="AA12" s="1555">
        <f>D12/F12</f>
        <v>1</v>
      </c>
      <c r="AB12" s="1555">
        <f>D12/H12</f>
        <v>1</v>
      </c>
      <c r="AC12" s="1555">
        <f>D12/J12</f>
        <v>1</v>
      </c>
    </row>
    <row r="13" spans="1:29" ht="15" hidden="1">
      <c r="A13" s="2870"/>
      <c r="B13" s="2876"/>
      <c r="C13" s="538"/>
      <c r="D13" s="539">
        <v>100</v>
      </c>
      <c r="E13" s="538"/>
      <c r="F13" s="861">
        <f>SUMIF(72:72,E13,73:73)-SUMIF(72:72,C13,73:73)+100</f>
        <v>100</v>
      </c>
      <c r="G13" s="538"/>
      <c r="H13" s="539">
        <f>SUMIF(72:72,G13,73:73)-SUMIF(72:72,C13,73:73)+100</f>
        <v>100</v>
      </c>
      <c r="I13" s="538"/>
      <c r="J13" s="539">
        <f>SUMIF(72:72,I13,73:73)-SUMIF(72:72,C13,73:73)+100</f>
        <v>100</v>
      </c>
      <c r="K13" s="863"/>
      <c r="L13" s="2125"/>
      <c r="M13" s="2117"/>
      <c r="N13" s="2117"/>
      <c r="O13" s="2124"/>
      <c r="P13" s="3389"/>
      <c r="Q13" s="1144">
        <f t="shared" si="6"/>
        <v>0</v>
      </c>
      <c r="R13" s="1552" t="s">
        <v>11</v>
      </c>
      <c r="S13" s="1553">
        <f t="shared" si="0"/>
        <v>100</v>
      </c>
      <c r="T13" s="1552" t="s">
        <v>11</v>
      </c>
      <c r="U13" s="1553">
        <f t="shared" si="1"/>
        <v>100</v>
      </c>
      <c r="V13" s="1552" t="s">
        <v>11</v>
      </c>
      <c r="W13" s="1553">
        <f t="shared" si="2"/>
        <v>100</v>
      </c>
      <c r="X13" s="1554"/>
      <c r="Y13" s="3346"/>
      <c r="Z13" s="1143">
        <f t="shared" si="7"/>
        <v>0</v>
      </c>
      <c r="AA13" s="1555">
        <f t="shared" si="3"/>
        <v>1</v>
      </c>
      <c r="AB13" s="1555">
        <f t="shared" si="4"/>
        <v>1</v>
      </c>
      <c r="AC13" s="1555">
        <f t="shared" si="5"/>
        <v>1</v>
      </c>
    </row>
    <row r="14" spans="1:29" ht="15.75" hidden="1" thickBot="1">
      <c r="A14" s="2871"/>
      <c r="B14" s="2877"/>
      <c r="C14" s="544"/>
      <c r="D14" s="545">
        <v>100</v>
      </c>
      <c r="E14" s="544"/>
      <c r="F14" s="864">
        <f>SUMIF(74:74,E14,75:75)-SUMIF(74:74,C14,75:75)+100</f>
        <v>100</v>
      </c>
      <c r="G14" s="544"/>
      <c r="H14" s="545">
        <f>SUMIF(74:74,G14,75:75)-SUMIF(74:74,C14,75:75)+100</f>
        <v>100</v>
      </c>
      <c r="I14" s="544"/>
      <c r="J14" s="545">
        <f>SUMIF(74:74,I14,75:75)-SUMIF(74:74,C14,75:75)+100</f>
        <v>100</v>
      </c>
      <c r="K14" s="863"/>
      <c r="L14" s="2125"/>
      <c r="M14" s="2117"/>
      <c r="N14" s="2117"/>
      <c r="O14" s="2124"/>
      <c r="P14" s="3389"/>
      <c r="Q14" s="1144">
        <f t="shared" si="6"/>
        <v>0</v>
      </c>
      <c r="R14" s="1552" t="s">
        <v>11</v>
      </c>
      <c r="S14" s="1553">
        <f t="shared" si="0"/>
        <v>100</v>
      </c>
      <c r="T14" s="1552" t="s">
        <v>11</v>
      </c>
      <c r="U14" s="1553">
        <f t="shared" si="1"/>
        <v>100</v>
      </c>
      <c r="V14" s="1552" t="s">
        <v>11</v>
      </c>
      <c r="W14" s="1553">
        <f t="shared" si="2"/>
        <v>100</v>
      </c>
      <c r="X14" s="1554"/>
      <c r="Y14" s="3346"/>
      <c r="Z14" s="1143">
        <f t="shared" si="7"/>
        <v>0</v>
      </c>
      <c r="AA14" s="1555">
        <f t="shared" si="3"/>
        <v>1</v>
      </c>
      <c r="AB14" s="1555">
        <f t="shared" si="4"/>
        <v>1</v>
      </c>
      <c r="AC14" s="1555">
        <f t="shared" si="5"/>
        <v>1</v>
      </c>
    </row>
    <row r="15" spans="1:29" ht="99.75">
      <c r="A15" s="2863" t="s">
        <v>2752</v>
      </c>
      <c r="B15" s="165" t="s">
        <v>295</v>
      </c>
      <c r="C15" s="865" t="str">
        <f>估价对象房地状况!C3</f>
        <v>估价对象周边居住用地比例、居住小区规模和社区发展完善程度，综合评价居住社区成熟度一般</v>
      </c>
      <c r="D15" s="548">
        <v>100</v>
      </c>
      <c r="E15" s="551"/>
      <c r="F15" s="550">
        <f>SUMIF(76:76,E16,77:77)-SUMIF(76:76,C16,77:77)+100</f>
        <v>95</v>
      </c>
      <c r="G15" s="549"/>
      <c r="H15" s="548">
        <f>SUMIF(76:76,G16,77:77)-SUMIF(76:76,C16,77:77)+100</f>
        <v>100</v>
      </c>
      <c r="I15" s="549"/>
      <c r="J15" s="548">
        <f>SUMIF(76:76,I16,77:77)-SUMIF(76:76,C16,77:77)+100</f>
        <v>105</v>
      </c>
      <c r="K15" s="866">
        <f>'[1]比较法-住宅'!$K$15</f>
        <v>5</v>
      </c>
      <c r="L15" s="2125"/>
      <c r="M15" s="2117"/>
      <c r="N15" s="2117"/>
      <c r="O15" s="2124"/>
      <c r="P15" s="3391" t="s">
        <v>540</v>
      </c>
      <c r="Q15" s="1556" t="str">
        <f t="shared" si="6"/>
        <v>居住社区成熟度</v>
      </c>
      <c r="R15" s="1557" t="s">
        <v>11</v>
      </c>
      <c r="S15" s="1558">
        <f t="shared" si="0"/>
        <v>95</v>
      </c>
      <c r="T15" s="1557" t="s">
        <v>11</v>
      </c>
      <c r="U15" s="1558">
        <f t="shared" si="1"/>
        <v>100</v>
      </c>
      <c r="V15" s="1557" t="s">
        <v>11</v>
      </c>
      <c r="W15" s="1558">
        <f t="shared" si="2"/>
        <v>105</v>
      </c>
      <c r="X15" s="1551"/>
      <c r="Y15" s="3391" t="s">
        <v>540</v>
      </c>
      <c r="Z15" s="1559" t="str">
        <f t="shared" si="7"/>
        <v>居住社区成熟度</v>
      </c>
      <c r="AA15" s="1560">
        <f t="shared" si="3"/>
        <v>1.0526315789473684</v>
      </c>
      <c r="AB15" s="1560">
        <f t="shared" si="4"/>
        <v>1</v>
      </c>
      <c r="AC15" s="1560">
        <f t="shared" si="5"/>
        <v>0.95238095238095233</v>
      </c>
    </row>
    <row r="16" spans="1:29" ht="15">
      <c r="A16" s="531"/>
      <c r="B16" s="867"/>
      <c r="C16" s="575" t="s">
        <v>3019</v>
      </c>
      <c r="D16" s="554"/>
      <c r="E16" s="557" t="s">
        <v>3021</v>
      </c>
      <c r="F16" s="556"/>
      <c r="G16" s="555" t="s">
        <v>3019</v>
      </c>
      <c r="H16" s="558"/>
      <c r="I16" s="555" t="s">
        <v>3022</v>
      </c>
      <c r="J16" s="554"/>
      <c r="K16" s="868"/>
      <c r="L16" s="2125"/>
      <c r="M16" s="2117"/>
      <c r="N16" s="2117"/>
      <c r="O16" s="2124"/>
      <c r="P16" s="3392"/>
      <c r="Q16" s="1556"/>
      <c r="R16" s="1557"/>
      <c r="S16" s="1558"/>
      <c r="T16" s="1557"/>
      <c r="U16" s="1558"/>
      <c r="V16" s="1557"/>
      <c r="W16" s="1558"/>
      <c r="X16" s="1551"/>
      <c r="Y16" s="3392"/>
      <c r="Z16" s="1559"/>
      <c r="AA16" s="1560">
        <v>1</v>
      </c>
      <c r="AB16" s="1560">
        <v>1</v>
      </c>
      <c r="AC16" s="1560">
        <v>1</v>
      </c>
    </row>
    <row r="17" spans="1:29" ht="85.5">
      <c r="A17" s="531"/>
      <c r="B17" s="869" t="s">
        <v>296</v>
      </c>
      <c r="C17" s="870" t="str">
        <f>估价对象房地状况!C6</f>
        <v>估价对象周边道路状况、公共交通通达情况、停车便捷程度，综合评价交通便捷度较好</v>
      </c>
      <c r="D17" s="558">
        <v>100</v>
      </c>
      <c r="E17" s="563"/>
      <c r="F17" s="562">
        <f>SUMIF(78:78,E18,79:79)-SUMIF(78:78,C18,79:79)+100</f>
        <v>100</v>
      </c>
      <c r="G17" s="561"/>
      <c r="H17" s="564">
        <f>SUMIF(78:78,G18,79:79)-SUMIF(78:78,C18,79:79)+100</f>
        <v>100</v>
      </c>
      <c r="I17" s="561"/>
      <c r="J17" s="564">
        <f>SUMIF(78:78,I18,79:79)-SUMIF(78:78,C18,79:79)+100</f>
        <v>100</v>
      </c>
      <c r="K17" s="866">
        <f>'[1]比较法-住宅'!$K$17</f>
        <v>2</v>
      </c>
      <c r="L17" s="2125"/>
      <c r="M17" s="2117"/>
      <c r="N17" s="2117"/>
      <c r="O17" s="2124"/>
      <c r="P17" s="3392"/>
      <c r="Q17" s="1556" t="str">
        <f>B17</f>
        <v>交通便捷度</v>
      </c>
      <c r="R17" s="1557" t="s">
        <v>11</v>
      </c>
      <c r="S17" s="1558">
        <f>F17</f>
        <v>100</v>
      </c>
      <c r="T17" s="1557" t="s">
        <v>11</v>
      </c>
      <c r="U17" s="1558">
        <f>H17</f>
        <v>100</v>
      </c>
      <c r="V17" s="1557" t="s">
        <v>11</v>
      </c>
      <c r="W17" s="1558">
        <f>J17</f>
        <v>100</v>
      </c>
      <c r="X17" s="1551"/>
      <c r="Y17" s="3392"/>
      <c r="Z17" s="1559" t="str">
        <f>Q17</f>
        <v>交通便捷度</v>
      </c>
      <c r="AA17" s="1560">
        <f t="shared" si="3"/>
        <v>1</v>
      </c>
      <c r="AB17" s="1560">
        <f t="shared" si="4"/>
        <v>1</v>
      </c>
      <c r="AC17" s="1560">
        <f t="shared" si="5"/>
        <v>1</v>
      </c>
    </row>
    <row r="18" spans="1:29" ht="15">
      <c r="A18" s="531"/>
      <c r="B18" s="594"/>
      <c r="C18" s="871" t="s">
        <v>3019</v>
      </c>
      <c r="D18" s="558"/>
      <c r="E18" s="568" t="s">
        <v>3019</v>
      </c>
      <c r="F18" s="562"/>
      <c r="G18" s="567" t="s">
        <v>3019</v>
      </c>
      <c r="H18" s="554"/>
      <c r="I18" s="567" t="s">
        <v>3019</v>
      </c>
      <c r="J18" s="554"/>
      <c r="K18" s="868"/>
      <c r="L18" s="2125"/>
      <c r="M18" s="2117"/>
      <c r="N18" s="2117"/>
      <c r="O18" s="2124"/>
      <c r="P18" s="3392"/>
      <c r="Q18" s="1556"/>
      <c r="R18" s="1557"/>
      <c r="S18" s="1558"/>
      <c r="T18" s="1557"/>
      <c r="U18" s="1558"/>
      <c r="V18" s="1557"/>
      <c r="W18" s="1558"/>
      <c r="X18" s="1551"/>
      <c r="Y18" s="3392"/>
      <c r="Z18" s="1559"/>
      <c r="AA18" s="1560">
        <v>1</v>
      </c>
      <c r="AB18" s="1560">
        <v>1</v>
      </c>
      <c r="AC18" s="1560">
        <v>1</v>
      </c>
    </row>
    <row r="19" spans="1:29" ht="42.75">
      <c r="A19" s="531"/>
      <c r="B19" s="2562" t="s">
        <v>2545</v>
      </c>
      <c r="C19" s="870" t="str">
        <f>估价对象房地状况!C7</f>
        <v>估价对象所在区域公共配套设施齐备情况</v>
      </c>
      <c r="D19" s="564">
        <v>100</v>
      </c>
      <c r="E19" s="571"/>
      <c r="F19" s="570">
        <f>SUMIF(80:80,E20,81:81)-SUMIF(80:80,C20,81:81)+100</f>
        <v>97</v>
      </c>
      <c r="G19" s="569"/>
      <c r="H19" s="558">
        <f>SUMIF(80:80,G20,81:81)-SUMIF(80:80,C20,81:81)+100</f>
        <v>100</v>
      </c>
      <c r="I19" s="569"/>
      <c r="J19" s="558">
        <f>SUMIF(80:80,I20,81:81)-SUMIF(80:80,C20,81:81)+100</f>
        <v>103</v>
      </c>
      <c r="K19" s="866">
        <f>'[1]比较法-住宅'!$K$19</f>
        <v>3</v>
      </c>
      <c r="L19" s="2125"/>
      <c r="M19" s="2117"/>
      <c r="N19" s="2117"/>
      <c r="O19" s="2124"/>
      <c r="P19" s="3392"/>
      <c r="Q19" s="1556" t="str">
        <f>B19</f>
        <v>公共配套设施</v>
      </c>
      <c r="R19" s="1557" t="s">
        <v>11</v>
      </c>
      <c r="S19" s="1558">
        <f>F19</f>
        <v>97</v>
      </c>
      <c r="T19" s="1557" t="s">
        <v>11</v>
      </c>
      <c r="U19" s="1558">
        <f>H19</f>
        <v>100</v>
      </c>
      <c r="V19" s="1557" t="s">
        <v>11</v>
      </c>
      <c r="W19" s="1558">
        <f>J19</f>
        <v>103</v>
      </c>
      <c r="X19" s="1551"/>
      <c r="Y19" s="3392"/>
      <c r="Z19" s="1559" t="str">
        <f>Q19</f>
        <v>公共配套设施</v>
      </c>
      <c r="AA19" s="1560">
        <f t="shared" si="3"/>
        <v>1.0309278350515463</v>
      </c>
      <c r="AB19" s="1560">
        <f t="shared" si="4"/>
        <v>1</v>
      </c>
      <c r="AC19" s="1560">
        <f t="shared" si="5"/>
        <v>0.970873786407767</v>
      </c>
    </row>
    <row r="20" spans="1:29" ht="15">
      <c r="A20" s="531"/>
      <c r="B20" s="594"/>
      <c r="C20" s="575" t="s">
        <v>3019</v>
      </c>
      <c r="D20" s="554"/>
      <c r="E20" s="575" t="s">
        <v>3021</v>
      </c>
      <c r="F20" s="556"/>
      <c r="G20" s="575" t="s">
        <v>3019</v>
      </c>
      <c r="H20" s="554"/>
      <c r="I20" s="575" t="s">
        <v>3022</v>
      </c>
      <c r="J20" s="554"/>
      <c r="K20" s="868"/>
      <c r="L20" s="2125"/>
      <c r="M20" s="2117"/>
      <c r="N20" s="2117"/>
      <c r="O20" s="2124"/>
      <c r="P20" s="3392"/>
      <c r="Q20" s="1556"/>
      <c r="R20" s="1557"/>
      <c r="S20" s="1558"/>
      <c r="T20" s="1557"/>
      <c r="U20" s="1558"/>
      <c r="V20" s="1557"/>
      <c r="W20" s="1558"/>
      <c r="X20" s="1551"/>
      <c r="Y20" s="3392"/>
      <c r="Z20" s="1559"/>
      <c r="AA20" s="1560">
        <v>1</v>
      </c>
      <c r="AB20" s="1560">
        <v>1</v>
      </c>
      <c r="AC20" s="1560">
        <v>1</v>
      </c>
    </row>
    <row r="21" spans="1:29" ht="28.5">
      <c r="A21" s="531"/>
      <c r="B21" s="2555" t="s">
        <v>2557</v>
      </c>
      <c r="C21" s="870" t="str">
        <f>估价对象房地状况!C8</f>
        <v>估价对象所在区域基础设施水平</v>
      </c>
      <c r="D21" s="564">
        <v>100</v>
      </c>
      <c r="E21" s="571"/>
      <c r="F21" s="570">
        <f>SUMIF(82:82,E22,83:83)-SUMIF(82:82,C22,83:83)+100</f>
        <v>100</v>
      </c>
      <c r="G21" s="569"/>
      <c r="H21" s="564">
        <f>SUMIF(82:82,G22,83:83)-SUMIF(82:82,C22,83:83)+100</f>
        <v>100</v>
      </c>
      <c r="I21" s="569"/>
      <c r="J21" s="564">
        <f>SUMIF(82:82,I22,83:83)-SUMIF(82:82,C22,83:83)+100</f>
        <v>100</v>
      </c>
      <c r="K21" s="866">
        <f>'[1]比较法-住宅'!$K$21</f>
        <v>2</v>
      </c>
      <c r="L21" s="2125"/>
      <c r="M21" s="2117"/>
      <c r="N21" s="2117"/>
      <c r="O21" s="2124"/>
      <c r="P21" s="3392"/>
      <c r="Q21" s="2541" t="str">
        <f>B21</f>
        <v>基础设施水平</v>
      </c>
      <c r="R21" s="1557" t="s">
        <v>11</v>
      </c>
      <c r="S21" s="1558">
        <f>F21</f>
        <v>100</v>
      </c>
      <c r="T21" s="1557" t="s">
        <v>11</v>
      </c>
      <c r="U21" s="1558">
        <f>H21</f>
        <v>100</v>
      </c>
      <c r="V21" s="1557" t="s">
        <v>11</v>
      </c>
      <c r="W21" s="1558">
        <f>J21</f>
        <v>100</v>
      </c>
      <c r="X21" s="2543"/>
      <c r="Y21" s="3392"/>
      <c r="Z21" s="2542" t="str">
        <f>Q21</f>
        <v>基础设施水平</v>
      </c>
      <c r="AA21" s="1560">
        <f t="shared" ref="AA21" si="8">D21/F21</f>
        <v>1</v>
      </c>
      <c r="AB21" s="1560">
        <f t="shared" ref="AB21" si="9">D21/H21</f>
        <v>1</v>
      </c>
      <c r="AC21" s="1560">
        <f t="shared" ref="AC21" si="10">D21/J21</f>
        <v>1</v>
      </c>
    </row>
    <row r="22" spans="1:29" ht="15">
      <c r="A22" s="531"/>
      <c r="B22" s="919"/>
      <c r="C22" s="871" t="s">
        <v>3017</v>
      </c>
      <c r="D22" s="554"/>
      <c r="E22" s="871" t="s">
        <v>3017</v>
      </c>
      <c r="F22" s="556"/>
      <c r="G22" s="871" t="s">
        <v>3017</v>
      </c>
      <c r="H22" s="554"/>
      <c r="I22" s="871" t="s">
        <v>3017</v>
      </c>
      <c r="J22" s="554"/>
      <c r="K22" s="2561"/>
      <c r="L22" s="2125"/>
      <c r="M22" s="2117"/>
      <c r="N22" s="2117"/>
      <c r="O22" s="2124"/>
      <c r="P22" s="3392"/>
      <c r="Q22" s="2541"/>
      <c r="R22" s="1557"/>
      <c r="S22" s="1558"/>
      <c r="T22" s="1557"/>
      <c r="U22" s="1558"/>
      <c r="V22" s="1557"/>
      <c r="W22" s="1558"/>
      <c r="X22" s="2543"/>
      <c r="Y22" s="3392"/>
      <c r="Z22" s="2542"/>
      <c r="AA22" s="1560">
        <v>1</v>
      </c>
      <c r="AB22" s="1560">
        <v>1</v>
      </c>
      <c r="AC22" s="1560">
        <v>1</v>
      </c>
    </row>
    <row r="23" spans="1:29" ht="57">
      <c r="A23" s="531"/>
      <c r="B23" s="869" t="s">
        <v>297</v>
      </c>
      <c r="C23" s="870" t="str">
        <f>估价对象房地状况!C9</f>
        <v>区域自然环境：；人文环境；综合评价环境状况一般</v>
      </c>
      <c r="D23" s="558">
        <v>100</v>
      </c>
      <c r="E23" s="563"/>
      <c r="F23" s="562">
        <f>SUMIF(84:84,E24,85:85)-SUMIF(84:84,C24,85:85)+100</f>
        <v>100</v>
      </c>
      <c r="G23" s="561"/>
      <c r="H23" s="558">
        <f>SUMIF(84:84,G24,85:85)-SUMIF(84:84,C24,85:85)+100</f>
        <v>100</v>
      </c>
      <c r="I23" s="561"/>
      <c r="J23" s="558">
        <f>SUMIF(84:84,I24,85:85)-SUMIF(84:84,C24,85:85)+100</f>
        <v>100</v>
      </c>
      <c r="K23" s="866">
        <f>'[1]比较法-住宅'!$K$23</f>
        <v>2</v>
      </c>
      <c r="L23" s="2125"/>
      <c r="M23" s="2117"/>
      <c r="N23" s="2117"/>
      <c r="O23" s="2124"/>
      <c r="P23" s="3392"/>
      <c r="Q23" s="1556" t="str">
        <f>B23</f>
        <v>自然及人文环境</v>
      </c>
      <c r="R23" s="1557" t="s">
        <v>11</v>
      </c>
      <c r="S23" s="1558">
        <f>F23</f>
        <v>100</v>
      </c>
      <c r="T23" s="1557" t="s">
        <v>11</v>
      </c>
      <c r="U23" s="1558">
        <f>H23</f>
        <v>100</v>
      </c>
      <c r="V23" s="1557" t="s">
        <v>11</v>
      </c>
      <c r="W23" s="1558">
        <f>J23</f>
        <v>100</v>
      </c>
      <c r="X23" s="1551"/>
      <c r="Y23" s="3392"/>
      <c r="Z23" s="1559" t="str">
        <f>Q23</f>
        <v>自然及人文环境</v>
      </c>
      <c r="AA23" s="1560">
        <f t="shared" si="3"/>
        <v>1</v>
      </c>
      <c r="AB23" s="1560">
        <f t="shared" si="4"/>
        <v>1</v>
      </c>
      <c r="AC23" s="1560">
        <f t="shared" si="5"/>
        <v>1</v>
      </c>
    </row>
    <row r="24" spans="1:29" ht="15.75" thickBot="1">
      <c r="A24" s="531"/>
      <c r="B24" s="594"/>
      <c r="C24" s="575" t="s">
        <v>3019</v>
      </c>
      <c r="D24" s="554"/>
      <c r="E24" s="575" t="s">
        <v>3019</v>
      </c>
      <c r="F24" s="556"/>
      <c r="G24" s="575" t="s">
        <v>3019</v>
      </c>
      <c r="H24" s="554"/>
      <c r="I24" s="575" t="s">
        <v>3019</v>
      </c>
      <c r="J24" s="554"/>
      <c r="K24" s="868"/>
      <c r="L24" s="2125"/>
      <c r="M24" s="2117"/>
      <c r="N24" s="2117"/>
      <c r="O24" s="2124"/>
      <c r="P24" s="3392"/>
      <c r="Q24" s="1556"/>
      <c r="R24" s="1557"/>
      <c r="S24" s="1558"/>
      <c r="T24" s="1557"/>
      <c r="U24" s="1558"/>
      <c r="V24" s="1557"/>
      <c r="W24" s="1558"/>
      <c r="X24" s="1551"/>
      <c r="Y24" s="3392"/>
      <c r="Z24" s="1559"/>
      <c r="AA24" s="1560">
        <v>1</v>
      </c>
      <c r="AB24" s="1560">
        <v>1</v>
      </c>
      <c r="AC24" s="1560">
        <v>1</v>
      </c>
    </row>
    <row r="25" spans="1:29" ht="15" hidden="1">
      <c r="A25" s="531"/>
      <c r="B25" s="1878" t="s">
        <v>2255</v>
      </c>
      <c r="C25" s="573"/>
      <c r="D25" s="539">
        <v>100</v>
      </c>
      <c r="E25" s="872"/>
      <c r="F25" s="574">
        <f>SUMIF(86:86,E25,87:87)-SUMIF(86:86,C25,87:87)+100</f>
        <v>100</v>
      </c>
      <c r="G25" s="598"/>
      <c r="H25" s="539">
        <f>SUMIF(86:86,G25,87:87)-SUMIF(86:86,C25,87:87)+100</f>
        <v>100</v>
      </c>
      <c r="I25" s="872"/>
      <c r="J25" s="539">
        <f>SUMIF(86:86,I25,87:87)-SUMIF(86:86,C25,87:87)+100</f>
        <v>100</v>
      </c>
      <c r="K25" s="862"/>
      <c r="L25" s="2125"/>
      <c r="M25" s="2117"/>
      <c r="N25" s="2117"/>
      <c r="O25" s="2124"/>
      <c r="P25" s="3392"/>
      <c r="Q25" s="1556" t="str">
        <f t="shared" ref="Q25:Q46" si="11">B25</f>
        <v>楼层-1</v>
      </c>
      <c r="R25" s="1557" t="s">
        <v>11</v>
      </c>
      <c r="S25" s="1558">
        <f>F25</f>
        <v>100</v>
      </c>
      <c r="T25" s="1557" t="s">
        <v>11</v>
      </c>
      <c r="U25" s="1558">
        <f>H25</f>
        <v>100</v>
      </c>
      <c r="V25" s="1557" t="s">
        <v>11</v>
      </c>
      <c r="W25" s="1558">
        <f>J25</f>
        <v>100</v>
      </c>
      <c r="X25" s="1551"/>
      <c r="Y25" s="3392"/>
      <c r="Z25" s="1559" t="str">
        <f>Q25</f>
        <v>楼层-1</v>
      </c>
      <c r="AA25" s="1560">
        <f t="shared" si="3"/>
        <v>1</v>
      </c>
      <c r="AB25" s="1560">
        <f t="shared" si="4"/>
        <v>1</v>
      </c>
      <c r="AC25" s="1560">
        <f t="shared" si="5"/>
        <v>1</v>
      </c>
    </row>
    <row r="26" spans="1:29" ht="15" hidden="1">
      <c r="A26" s="531"/>
      <c r="B26" s="526" t="s">
        <v>723</v>
      </c>
      <c r="C26" s="573"/>
      <c r="D26" s="539">
        <v>100</v>
      </c>
      <c r="E26" s="872"/>
      <c r="F26" s="574">
        <f>SUMIF(88:88,E26,89:89)-SUMIF(88:88,C26,89:89)+100</f>
        <v>100</v>
      </c>
      <c r="G26" s="598"/>
      <c r="H26" s="539">
        <f>SUMIF(88:88,G26,89:89)-SUMIF(88:88,C26,89:89)+100</f>
        <v>100</v>
      </c>
      <c r="I26" s="872"/>
      <c r="J26" s="539">
        <f>SUMIF(88:88,I26,89:89)-SUMIF(88:88,C26,89:89)+100</f>
        <v>100</v>
      </c>
      <c r="K26" s="862"/>
      <c r="L26" s="2125"/>
      <c r="M26" s="2117"/>
      <c r="N26" s="2117"/>
      <c r="O26" s="2124"/>
      <c r="P26" s="3392"/>
      <c r="Q26" s="1556" t="str">
        <f t="shared" si="11"/>
        <v>朝向</v>
      </c>
      <c r="R26" s="1557" t="s">
        <v>11</v>
      </c>
      <c r="S26" s="1558">
        <f>F26</f>
        <v>100</v>
      </c>
      <c r="T26" s="1557" t="s">
        <v>11</v>
      </c>
      <c r="U26" s="1558">
        <f>H26</f>
        <v>100</v>
      </c>
      <c r="V26" s="1557" t="s">
        <v>11</v>
      </c>
      <c r="W26" s="1558">
        <f>J26</f>
        <v>100</v>
      </c>
      <c r="X26" s="1551"/>
      <c r="Y26" s="3392"/>
      <c r="Z26" s="1559" t="str">
        <f>Q26</f>
        <v>朝向</v>
      </c>
      <c r="AA26" s="1560">
        <f t="shared" si="3"/>
        <v>1</v>
      </c>
      <c r="AB26" s="1560">
        <f t="shared" si="4"/>
        <v>1</v>
      </c>
      <c r="AC26" s="1560">
        <f t="shared" si="5"/>
        <v>1</v>
      </c>
    </row>
    <row r="27" spans="1:29" s="1213" customFormat="1" ht="15" hidden="1">
      <c r="A27" s="535"/>
      <c r="B27" s="536"/>
      <c r="C27" s="527"/>
      <c r="D27" s="873">
        <v>100</v>
      </c>
      <c r="E27" s="529"/>
      <c r="F27" s="874">
        <f>SUMIF(90:90,E27,91:91)-SUMIF(90:90,C27,91:91)+100</f>
        <v>100</v>
      </c>
      <c r="G27" s="528"/>
      <c r="H27" s="873">
        <f>SUMIF(90:90,G27,91:91)-SUMIF(90:90,C27,91:91)+100</f>
        <v>100</v>
      </c>
      <c r="I27" s="529"/>
      <c r="J27" s="873">
        <f>SUMIF(90:90,I27,91:91)-SUMIF(90:90,C27,91:91)+100</f>
        <v>100</v>
      </c>
      <c r="K27" s="863"/>
      <c r="L27" s="2118"/>
      <c r="M27" s="2119"/>
      <c r="N27" s="2119"/>
      <c r="O27" s="2120"/>
      <c r="P27" s="3392"/>
      <c r="Q27" s="1144">
        <f t="shared" si="11"/>
        <v>0</v>
      </c>
      <c r="R27" s="1552" t="s">
        <v>11</v>
      </c>
      <c r="S27" s="1553">
        <f>F27</f>
        <v>100</v>
      </c>
      <c r="T27" s="1552" t="s">
        <v>11</v>
      </c>
      <c r="U27" s="1553">
        <f>H27</f>
        <v>100</v>
      </c>
      <c r="V27" s="1552" t="s">
        <v>11</v>
      </c>
      <c r="W27" s="1553">
        <f>J27</f>
        <v>100</v>
      </c>
      <c r="X27" s="1554"/>
      <c r="Y27" s="3392"/>
      <c r="Z27" s="1143">
        <f>Q27</f>
        <v>0</v>
      </c>
      <c r="AA27" s="1560">
        <f>D27/F27</f>
        <v>1</v>
      </c>
      <c r="AB27" s="1560">
        <f>D27/H27</f>
        <v>1</v>
      </c>
      <c r="AC27" s="1560">
        <f>D27/J27</f>
        <v>1</v>
      </c>
    </row>
    <row r="28" spans="1:29" ht="15" hidden="1">
      <c r="A28" s="531"/>
      <c r="B28" s="875"/>
      <c r="C28" s="538"/>
      <c r="D28" s="539">
        <v>100</v>
      </c>
      <c r="E28" s="538"/>
      <c r="F28" s="574">
        <f>SUMIF(92:92,E28,93:93)-SUMIF(92:92,C28,93:93)+100</f>
        <v>100</v>
      </c>
      <c r="G28" s="538"/>
      <c r="H28" s="539">
        <f>SUMIF(92:92,G28,93:93)-SUMIF(92:92,C28,93:93)+100</f>
        <v>100</v>
      </c>
      <c r="I28" s="538"/>
      <c r="J28" s="539">
        <f>SUMIF(92:92,I28,93:93)-SUMIF(92:92,C28,93:93)+100</f>
        <v>100</v>
      </c>
      <c r="K28" s="863"/>
      <c r="L28" s="2125"/>
      <c r="M28" s="2117"/>
      <c r="N28" s="2117"/>
      <c r="O28" s="2124"/>
      <c r="P28" s="3392"/>
      <c r="Q28" s="1556">
        <f t="shared" si="11"/>
        <v>0</v>
      </c>
      <c r="R28" s="1557" t="s">
        <v>11</v>
      </c>
      <c r="S28" s="1558">
        <f t="shared" ref="S28:S46" si="12">F28</f>
        <v>100</v>
      </c>
      <c r="T28" s="1557" t="s">
        <v>11</v>
      </c>
      <c r="U28" s="1558">
        <f t="shared" ref="U28:U46" si="13">H28</f>
        <v>100</v>
      </c>
      <c r="V28" s="1557" t="s">
        <v>11</v>
      </c>
      <c r="W28" s="1558">
        <f t="shared" ref="W28:W46" si="14">J28</f>
        <v>100</v>
      </c>
      <c r="X28" s="1551"/>
      <c r="Y28" s="3392"/>
      <c r="Z28" s="1559">
        <f t="shared" ref="Z28:Z46" si="15">Q28</f>
        <v>0</v>
      </c>
      <c r="AA28" s="1560">
        <f t="shared" si="3"/>
        <v>1</v>
      </c>
      <c r="AB28" s="1560">
        <f t="shared" si="4"/>
        <v>1</v>
      </c>
      <c r="AC28" s="1560">
        <f t="shared" si="5"/>
        <v>1</v>
      </c>
    </row>
    <row r="29" spans="1:29" ht="15" hidden="1">
      <c r="A29" s="531"/>
      <c r="B29" s="875"/>
      <c r="C29" s="538"/>
      <c r="D29" s="539">
        <v>100</v>
      </c>
      <c r="E29" s="538"/>
      <c r="F29" s="574">
        <f>SUMIF(94:94,E29,95:95)-SUMIF(94:94,C29,95:95)+100</f>
        <v>100</v>
      </c>
      <c r="G29" s="538"/>
      <c r="H29" s="539">
        <f>SUMIF(94:94,G29,95:95)-SUMIF(94:94,C29,95:95)+100</f>
        <v>100</v>
      </c>
      <c r="I29" s="538"/>
      <c r="J29" s="539">
        <f>SUMIF(94:94,I29,95:95)-SUMIF(94:94,C29,95:95)+100</f>
        <v>100</v>
      </c>
      <c r="K29" s="863"/>
      <c r="L29" s="2125"/>
      <c r="M29" s="2117"/>
      <c r="N29" s="2117"/>
      <c r="O29" s="2124"/>
      <c r="P29" s="3392"/>
      <c r="Q29" s="1556">
        <f t="shared" si="11"/>
        <v>0</v>
      </c>
      <c r="R29" s="1557" t="s">
        <v>11</v>
      </c>
      <c r="S29" s="1558">
        <f t="shared" si="12"/>
        <v>100</v>
      </c>
      <c r="T29" s="1557" t="s">
        <v>11</v>
      </c>
      <c r="U29" s="1558">
        <f t="shared" si="13"/>
        <v>100</v>
      </c>
      <c r="V29" s="1557" t="s">
        <v>11</v>
      </c>
      <c r="W29" s="1558">
        <f t="shared" si="14"/>
        <v>100</v>
      </c>
      <c r="X29" s="1551"/>
      <c r="Y29" s="3392"/>
      <c r="Z29" s="1559">
        <f t="shared" si="15"/>
        <v>0</v>
      </c>
      <c r="AA29" s="1560">
        <f t="shared" si="3"/>
        <v>1</v>
      </c>
      <c r="AB29" s="1560">
        <f t="shared" si="4"/>
        <v>1</v>
      </c>
      <c r="AC29" s="1560">
        <f t="shared" si="5"/>
        <v>1</v>
      </c>
    </row>
    <row r="30" spans="1:29" ht="15" hidden="1">
      <c r="A30" s="531"/>
      <c r="B30" s="875"/>
      <c r="C30" s="538"/>
      <c r="D30" s="539">
        <v>100</v>
      </c>
      <c r="E30" s="538"/>
      <c r="F30" s="574">
        <f>SUMIF(96:96,E30,97:97)-SUMIF(96:96,C30,97:97)+100</f>
        <v>100</v>
      </c>
      <c r="G30" s="538"/>
      <c r="H30" s="539">
        <f>SUMIF(96:96,G30,97:97)-SUMIF(96:96,C30,97:97)+100</f>
        <v>100</v>
      </c>
      <c r="I30" s="538"/>
      <c r="J30" s="539">
        <f>SUMIF(96:96,I30,97:97)-SUMIF(96:96,C30,97:97)+100</f>
        <v>100</v>
      </c>
      <c r="K30" s="863"/>
      <c r="L30" s="2125"/>
      <c r="M30" s="2117"/>
      <c r="N30" s="2117"/>
      <c r="O30" s="2124"/>
      <c r="P30" s="3392"/>
      <c r="Q30" s="1556">
        <f t="shared" si="11"/>
        <v>0</v>
      </c>
      <c r="R30" s="1557" t="s">
        <v>11</v>
      </c>
      <c r="S30" s="1558">
        <f t="shared" si="12"/>
        <v>100</v>
      </c>
      <c r="T30" s="1557" t="s">
        <v>11</v>
      </c>
      <c r="U30" s="1558">
        <f t="shared" si="13"/>
        <v>100</v>
      </c>
      <c r="V30" s="1557" t="s">
        <v>11</v>
      </c>
      <c r="W30" s="1558">
        <f t="shared" si="14"/>
        <v>100</v>
      </c>
      <c r="X30" s="1551"/>
      <c r="Y30" s="3392"/>
      <c r="Z30" s="1559">
        <f t="shared" si="15"/>
        <v>0</v>
      </c>
      <c r="AA30" s="1560">
        <f t="shared" si="3"/>
        <v>1</v>
      </c>
      <c r="AB30" s="1560">
        <f t="shared" si="4"/>
        <v>1</v>
      </c>
      <c r="AC30" s="1560">
        <f t="shared" si="5"/>
        <v>1</v>
      </c>
    </row>
    <row r="31" spans="1:29" ht="15.75" hidden="1" thickBot="1">
      <c r="A31" s="542"/>
      <c r="B31" s="875"/>
      <c r="C31" s="544"/>
      <c r="D31" s="545">
        <v>100</v>
      </c>
      <c r="E31" s="544"/>
      <c r="F31" s="864">
        <f>SUMIF(98:98,E31,99:99)-SUMIF(98:98,C31,99:99)+100</f>
        <v>100</v>
      </c>
      <c r="G31" s="544"/>
      <c r="H31" s="545">
        <f>SUMIF(98:98,G31,99:99)-SUMIF(98:98,C31,99:99)+100</f>
        <v>100</v>
      </c>
      <c r="I31" s="544"/>
      <c r="J31" s="545">
        <f>SUMIF(98:98,I31,99:99)-SUMIF(98:98,C31,99:99)+100</f>
        <v>100</v>
      </c>
      <c r="K31" s="863"/>
      <c r="L31" s="2125"/>
      <c r="M31" s="2117"/>
      <c r="N31" s="2117"/>
      <c r="O31" s="2124"/>
      <c r="P31" s="3392"/>
      <c r="Q31" s="1556">
        <f t="shared" si="11"/>
        <v>0</v>
      </c>
      <c r="R31" s="1557" t="s">
        <v>11</v>
      </c>
      <c r="S31" s="1558">
        <f t="shared" si="12"/>
        <v>100</v>
      </c>
      <c r="T31" s="1557" t="s">
        <v>11</v>
      </c>
      <c r="U31" s="1558">
        <f t="shared" si="13"/>
        <v>100</v>
      </c>
      <c r="V31" s="1557" t="s">
        <v>11</v>
      </c>
      <c r="W31" s="1558">
        <f t="shared" si="14"/>
        <v>100</v>
      </c>
      <c r="X31" s="1551"/>
      <c r="Y31" s="3392"/>
      <c r="Z31" s="1559">
        <f t="shared" si="15"/>
        <v>0</v>
      </c>
      <c r="AA31" s="1560">
        <f t="shared" si="3"/>
        <v>1</v>
      </c>
      <c r="AB31" s="1560">
        <f t="shared" si="4"/>
        <v>1</v>
      </c>
      <c r="AC31" s="1560">
        <f t="shared" si="5"/>
        <v>1</v>
      </c>
    </row>
    <row r="32" spans="1:29" ht="15">
      <c r="A32" s="2860" t="s">
        <v>2753</v>
      </c>
      <c r="B32" s="171" t="s">
        <v>724</v>
      </c>
      <c r="C32" s="876" t="s">
        <v>3005</v>
      </c>
      <c r="D32" s="596">
        <v>100</v>
      </c>
      <c r="E32" s="876" t="s">
        <v>3005</v>
      </c>
      <c r="F32" s="574">
        <f>SUMIF(100:100,E32,101:101)-SUMIF(100:100,C32,101:101)+100</f>
        <v>100</v>
      </c>
      <c r="G32" s="876" t="s">
        <v>3005</v>
      </c>
      <c r="H32" s="596">
        <f>SUMIF(100:100,G32,101:101)-SUMIF(100:100,C32,101:101)+100</f>
        <v>100</v>
      </c>
      <c r="I32" s="876" t="s">
        <v>3005</v>
      </c>
      <c r="J32" s="539">
        <f>SUMIF(100:100,I32,101:101)-SUMIF(100:100,C32,101:101)+100</f>
        <v>100</v>
      </c>
      <c r="K32" s="862">
        <v>5</v>
      </c>
      <c r="L32" s="2125"/>
      <c r="M32" s="2117"/>
      <c r="N32" s="2117"/>
      <c r="O32" s="2124"/>
      <c r="P32" s="3393" t="s">
        <v>550</v>
      </c>
      <c r="Q32" s="1556" t="str">
        <f t="shared" si="11"/>
        <v>建筑类型</v>
      </c>
      <c r="R32" s="1557" t="s">
        <v>11</v>
      </c>
      <c r="S32" s="1558">
        <f t="shared" si="12"/>
        <v>100</v>
      </c>
      <c r="T32" s="1557" t="s">
        <v>11</v>
      </c>
      <c r="U32" s="1558">
        <f t="shared" si="13"/>
        <v>100</v>
      </c>
      <c r="V32" s="1557" t="s">
        <v>11</v>
      </c>
      <c r="W32" s="1558">
        <f t="shared" si="14"/>
        <v>100</v>
      </c>
      <c r="X32" s="1551"/>
      <c r="Y32" s="3394" t="s">
        <v>550</v>
      </c>
      <c r="Z32" s="1559" t="str">
        <f t="shared" si="15"/>
        <v>建筑类型</v>
      </c>
      <c r="AA32" s="1560">
        <f t="shared" si="3"/>
        <v>1</v>
      </c>
      <c r="AB32" s="1560">
        <f t="shared" si="4"/>
        <v>1</v>
      </c>
      <c r="AC32" s="1560">
        <f t="shared" si="5"/>
        <v>1</v>
      </c>
    </row>
    <row r="33" spans="1:29" s="1332" customFormat="1" ht="15">
      <c r="A33" s="602"/>
      <c r="B33" s="526" t="s">
        <v>725</v>
      </c>
      <c r="C33" s="877">
        <f>'数据-汇总表'!E3</f>
        <v>939662.47000000009</v>
      </c>
      <c r="D33" s="254">
        <v>100</v>
      </c>
      <c r="E33" s="877">
        <v>523810</v>
      </c>
      <c r="F33" s="861">
        <f>LOOKUP(E33,103:103,104:104)-LOOKUP(C33,103:103,104:104)+100</f>
        <v>100</v>
      </c>
      <c r="G33" s="877">
        <v>158574</v>
      </c>
      <c r="H33" s="254">
        <f>LOOKUP(G33,103:103,104:104)-LOOKUP(C33,103:103,104:104)+100</f>
        <v>100</v>
      </c>
      <c r="I33" s="877">
        <v>1105200</v>
      </c>
      <c r="J33" s="254">
        <f>LOOKUP(I33,103:103,104:104)-LOOKUP(C33,103:103,104:104)+100</f>
        <v>100</v>
      </c>
      <c r="K33" s="863"/>
      <c r="L33" s="2123"/>
      <c r="M33" s="2154"/>
      <c r="N33" s="2154"/>
      <c r="O33" s="2126"/>
      <c r="P33" s="3394"/>
      <c r="Q33" s="1588" t="str">
        <f t="shared" si="11"/>
        <v>项目建筑规模</v>
      </c>
      <c r="R33" s="1561" t="s">
        <v>11</v>
      </c>
      <c r="S33" s="1562">
        <f t="shared" si="12"/>
        <v>100</v>
      </c>
      <c r="T33" s="1561" t="s">
        <v>11</v>
      </c>
      <c r="U33" s="1562">
        <f t="shared" si="13"/>
        <v>100</v>
      </c>
      <c r="V33" s="1561" t="s">
        <v>11</v>
      </c>
      <c r="W33" s="1562">
        <f t="shared" si="14"/>
        <v>100</v>
      </c>
      <c r="X33" s="1563"/>
      <c r="Y33" s="3394"/>
      <c r="Z33" s="1564" t="str">
        <f t="shared" si="15"/>
        <v>项目建筑规模</v>
      </c>
      <c r="AA33" s="1560">
        <f t="shared" si="3"/>
        <v>1</v>
      </c>
      <c r="AB33" s="1560">
        <f t="shared" si="4"/>
        <v>1</v>
      </c>
      <c r="AC33" s="1560">
        <f t="shared" si="5"/>
        <v>1</v>
      </c>
    </row>
    <row r="34" spans="1:29" ht="15">
      <c r="A34" s="593"/>
      <c r="B34" s="526" t="s">
        <v>726</v>
      </c>
      <c r="C34" s="878" t="s">
        <v>3000</v>
      </c>
      <c r="D34" s="539">
        <v>100</v>
      </c>
      <c r="E34" s="878" t="s">
        <v>3000</v>
      </c>
      <c r="F34" s="574">
        <f>SUMIF(105:105,E34,106:106)-SUMIF(105:105,C34,106:106)+100</f>
        <v>100</v>
      </c>
      <c r="G34" s="878" t="s">
        <v>3000</v>
      </c>
      <c r="H34" s="539">
        <f>SUMIF(105:105,G34,106:106)-SUMIF(105:105,C34,106:106)+100</f>
        <v>100</v>
      </c>
      <c r="I34" s="878" t="s">
        <v>3000</v>
      </c>
      <c r="J34" s="539">
        <f>SUMIF(105:105,I34,106:106)-SUMIF(105:105,C34,106:106)+100</f>
        <v>100</v>
      </c>
      <c r="K34" s="862">
        <v>2</v>
      </c>
      <c r="L34" s="2125"/>
      <c r="M34" s="2117"/>
      <c r="N34" s="2117"/>
      <c r="O34" s="2124"/>
      <c r="P34" s="3394"/>
      <c r="Q34" s="1556" t="str">
        <f t="shared" si="11"/>
        <v>建筑结构</v>
      </c>
      <c r="R34" s="1557" t="s">
        <v>11</v>
      </c>
      <c r="S34" s="1558">
        <f t="shared" si="12"/>
        <v>100</v>
      </c>
      <c r="T34" s="1557" t="s">
        <v>11</v>
      </c>
      <c r="U34" s="1558">
        <f t="shared" si="13"/>
        <v>100</v>
      </c>
      <c r="V34" s="1557" t="s">
        <v>11</v>
      </c>
      <c r="W34" s="1558">
        <f t="shared" si="14"/>
        <v>100</v>
      </c>
      <c r="X34" s="1551"/>
      <c r="Y34" s="3394"/>
      <c r="Z34" s="1559" t="str">
        <f t="shared" si="15"/>
        <v>建筑结构</v>
      </c>
      <c r="AA34" s="1560">
        <f t="shared" si="3"/>
        <v>1</v>
      </c>
      <c r="AB34" s="1560">
        <f t="shared" si="4"/>
        <v>1</v>
      </c>
      <c r="AC34" s="1560">
        <f t="shared" si="5"/>
        <v>1</v>
      </c>
    </row>
    <row r="35" spans="1:29" ht="15">
      <c r="A35" s="593"/>
      <c r="B35" s="526" t="s">
        <v>727</v>
      </c>
      <c r="C35" s="598" t="s">
        <v>3014</v>
      </c>
      <c r="D35" s="539">
        <v>100</v>
      </c>
      <c r="E35" s="598" t="s">
        <v>3014</v>
      </c>
      <c r="F35" s="574">
        <f>SUMIF(107:107,E35,108:108)-SUMIF(107:107,C35,108:108)+100</f>
        <v>100</v>
      </c>
      <c r="G35" s="598" t="s">
        <v>3014</v>
      </c>
      <c r="H35" s="539">
        <f>SUMIF(107:107,G35,108:108)-SUMIF(107:107,C35,108:108)+100</f>
        <v>100</v>
      </c>
      <c r="I35" s="598" t="s">
        <v>3014</v>
      </c>
      <c r="J35" s="539">
        <f>SUMIF(107:107,I35,108:108)-SUMIF(107:107,C35,108:108)+100</f>
        <v>100</v>
      </c>
      <c r="K35" s="862">
        <v>2</v>
      </c>
      <c r="L35" s="2125"/>
      <c r="M35" s="2117"/>
      <c r="N35" s="2117"/>
      <c r="O35" s="2124"/>
      <c r="P35" s="3394"/>
      <c r="Q35" s="1556" t="str">
        <f t="shared" si="11"/>
        <v>建筑品质</v>
      </c>
      <c r="R35" s="1557" t="s">
        <v>11</v>
      </c>
      <c r="S35" s="1558">
        <f t="shared" si="12"/>
        <v>100</v>
      </c>
      <c r="T35" s="1557" t="s">
        <v>11</v>
      </c>
      <c r="U35" s="1558">
        <f t="shared" si="13"/>
        <v>100</v>
      </c>
      <c r="V35" s="1557" t="s">
        <v>11</v>
      </c>
      <c r="W35" s="1558">
        <f t="shared" si="14"/>
        <v>100</v>
      </c>
      <c r="X35" s="1551"/>
      <c r="Y35" s="3394"/>
      <c r="Z35" s="1559" t="str">
        <f t="shared" si="15"/>
        <v>建筑品质</v>
      </c>
      <c r="AA35" s="1560">
        <f t="shared" si="3"/>
        <v>1</v>
      </c>
      <c r="AB35" s="1560">
        <f t="shared" si="4"/>
        <v>1</v>
      </c>
      <c r="AC35" s="1560">
        <f t="shared" si="5"/>
        <v>1</v>
      </c>
    </row>
    <row r="36" spans="1:29" ht="15">
      <c r="A36" s="593"/>
      <c r="B36" s="526" t="s">
        <v>728</v>
      </c>
      <c r="C36" s="598" t="s">
        <v>3015</v>
      </c>
      <c r="D36" s="539">
        <v>100</v>
      </c>
      <c r="E36" s="598" t="s">
        <v>3015</v>
      </c>
      <c r="F36" s="574">
        <f>SUMIF(109:109,E36,110:110)-SUMIF(109:109,C36,110:110)+100</f>
        <v>100</v>
      </c>
      <c r="G36" s="598" t="s">
        <v>3015</v>
      </c>
      <c r="H36" s="539">
        <f>SUMIF(109:109,G36,110:110)-SUMIF(109:109,C36,110:110)+100</f>
        <v>100</v>
      </c>
      <c r="I36" s="598" t="s">
        <v>3015</v>
      </c>
      <c r="J36" s="539">
        <f>SUMIF(109:109,I36,110:110)-SUMIF(109:109,C36,110:110)+100</f>
        <v>100</v>
      </c>
      <c r="K36" s="862">
        <v>2</v>
      </c>
      <c r="L36" s="2125"/>
      <c r="M36" s="2117"/>
      <c r="N36" s="2117"/>
      <c r="O36" s="2124"/>
      <c r="P36" s="3394"/>
      <c r="Q36" s="1556" t="str">
        <f t="shared" si="11"/>
        <v>公共部分装修</v>
      </c>
      <c r="R36" s="1557" t="s">
        <v>11</v>
      </c>
      <c r="S36" s="1558">
        <f t="shared" si="12"/>
        <v>100</v>
      </c>
      <c r="T36" s="1557" t="s">
        <v>11</v>
      </c>
      <c r="U36" s="1558">
        <f t="shared" si="13"/>
        <v>100</v>
      </c>
      <c r="V36" s="1557" t="s">
        <v>11</v>
      </c>
      <c r="W36" s="1558">
        <f t="shared" si="14"/>
        <v>100</v>
      </c>
      <c r="X36" s="1551"/>
      <c r="Y36" s="3394"/>
      <c r="Z36" s="1559" t="str">
        <f t="shared" si="15"/>
        <v>公共部分装修</v>
      </c>
      <c r="AA36" s="1560">
        <f t="shared" si="3"/>
        <v>1</v>
      </c>
      <c r="AB36" s="1560">
        <f t="shared" si="4"/>
        <v>1</v>
      </c>
      <c r="AC36" s="1560">
        <f t="shared" si="5"/>
        <v>1</v>
      </c>
    </row>
    <row r="37" spans="1:29" s="1213" customFormat="1" ht="15">
      <c r="A37" s="599"/>
      <c r="B37" s="526" t="s">
        <v>729</v>
      </c>
      <c r="C37" s="880">
        <v>1</v>
      </c>
      <c r="D37" s="254">
        <v>100</v>
      </c>
      <c r="E37" s="880">
        <v>1</v>
      </c>
      <c r="F37" s="861">
        <f>LOOKUP(E37,112:112,113:113)-LOOKUP(C37,112:112,113:113)+100</f>
        <v>100</v>
      </c>
      <c r="G37" s="880">
        <v>1</v>
      </c>
      <c r="H37" s="254">
        <f>LOOKUP(G37,112:112,113:113)-LOOKUP(C37,112:112,113:113)+100</f>
        <v>100</v>
      </c>
      <c r="I37" s="880">
        <v>1</v>
      </c>
      <c r="J37" s="254">
        <f>LOOKUP(I37,112:112,113:113)-LOOKUP(C37,112:112,113:113)+100</f>
        <v>100</v>
      </c>
      <c r="K37" s="862">
        <v>2</v>
      </c>
      <c r="L37" s="2118"/>
      <c r="M37" s="2119"/>
      <c r="N37" s="2119"/>
      <c r="O37" s="2120"/>
      <c r="P37" s="3394"/>
      <c r="Q37" s="1144" t="str">
        <f t="shared" si="11"/>
        <v>成新度</v>
      </c>
      <c r="R37" s="1552" t="s">
        <v>11</v>
      </c>
      <c r="S37" s="1553">
        <f t="shared" si="12"/>
        <v>100</v>
      </c>
      <c r="T37" s="1552" t="s">
        <v>11</v>
      </c>
      <c r="U37" s="1553">
        <f t="shared" si="13"/>
        <v>100</v>
      </c>
      <c r="V37" s="1552" t="s">
        <v>11</v>
      </c>
      <c r="W37" s="1553">
        <f t="shared" si="14"/>
        <v>100</v>
      </c>
      <c r="X37" s="1554"/>
      <c r="Y37" s="3394"/>
      <c r="Z37" s="1143" t="str">
        <f t="shared" si="15"/>
        <v>成新度</v>
      </c>
      <c r="AA37" s="1555">
        <f t="shared" si="3"/>
        <v>1</v>
      </c>
      <c r="AB37" s="1555">
        <f t="shared" si="4"/>
        <v>1</v>
      </c>
      <c r="AC37" s="1555">
        <f t="shared" si="5"/>
        <v>1</v>
      </c>
    </row>
    <row r="38" spans="1:29" ht="15">
      <c r="A38" s="593"/>
      <c r="B38" s="526" t="s">
        <v>730</v>
      </c>
      <c r="C38" s="598" t="s">
        <v>3016</v>
      </c>
      <c r="D38" s="539">
        <v>100</v>
      </c>
      <c r="E38" s="598" t="s">
        <v>3016</v>
      </c>
      <c r="F38" s="574">
        <f>SUMIF(114:114,E38,115:115)-SUMIF(114:114,C38,115:115)+100</f>
        <v>100</v>
      </c>
      <c r="G38" s="598" t="s">
        <v>3016</v>
      </c>
      <c r="H38" s="539">
        <f>SUMIF(114:114,G38,115:115)-SUMIF(114:114,C38,115:115)+100</f>
        <v>100</v>
      </c>
      <c r="I38" s="598" t="s">
        <v>3016</v>
      </c>
      <c r="J38" s="539">
        <f>SUMIF(114:114,I38,115:115)-SUMIF(114:114,C38,115:115)+100</f>
        <v>100</v>
      </c>
      <c r="K38" s="862">
        <v>2</v>
      </c>
      <c r="L38" s="2125"/>
      <c r="M38" s="2117"/>
      <c r="N38" s="2117"/>
      <c r="O38" s="2124"/>
      <c r="P38" s="3394" t="s">
        <v>550</v>
      </c>
      <c r="Q38" s="1556" t="str">
        <f t="shared" si="11"/>
        <v>物业管理</v>
      </c>
      <c r="R38" s="1557" t="s">
        <v>11</v>
      </c>
      <c r="S38" s="1558">
        <f t="shared" si="12"/>
        <v>100</v>
      </c>
      <c r="T38" s="1557" t="s">
        <v>11</v>
      </c>
      <c r="U38" s="1558">
        <f t="shared" si="13"/>
        <v>100</v>
      </c>
      <c r="V38" s="1557" t="s">
        <v>11</v>
      </c>
      <c r="W38" s="1558">
        <f t="shared" si="14"/>
        <v>100</v>
      </c>
      <c r="X38" s="1551"/>
      <c r="Y38" s="3394" t="s">
        <v>550</v>
      </c>
      <c r="Z38" s="1559" t="str">
        <f t="shared" si="15"/>
        <v>物业管理</v>
      </c>
      <c r="AA38" s="1560">
        <f t="shared" si="3"/>
        <v>1</v>
      </c>
      <c r="AB38" s="1560">
        <f t="shared" si="4"/>
        <v>1</v>
      </c>
      <c r="AC38" s="1560">
        <f t="shared" si="5"/>
        <v>1</v>
      </c>
    </row>
    <row r="39" spans="1:29" ht="15">
      <c r="A39" s="593"/>
      <c r="B39" s="1878" t="s">
        <v>2563</v>
      </c>
      <c r="C39" s="598" t="s">
        <v>3017</v>
      </c>
      <c r="D39" s="539">
        <v>100</v>
      </c>
      <c r="E39" s="598" t="s">
        <v>3017</v>
      </c>
      <c r="F39" s="574">
        <f>SUMIF(116:116,E39,117:117)-SUMIF(116:116,C39,117:117)+100</f>
        <v>100</v>
      </c>
      <c r="G39" s="598" t="s">
        <v>3017</v>
      </c>
      <c r="H39" s="539">
        <f>SUMIF(116:116,G39,117:117)-SUMIF(116:116,C39,117:117)+100</f>
        <v>100</v>
      </c>
      <c r="I39" s="598" t="s">
        <v>3017</v>
      </c>
      <c r="J39" s="539">
        <f>SUMIF(116:116,I39,117:117)-SUMIF(116:116,C39,117:117)+100</f>
        <v>100</v>
      </c>
      <c r="K39" s="862">
        <v>2</v>
      </c>
      <c r="L39" s="2125"/>
      <c r="M39" s="2117"/>
      <c r="N39" s="2117"/>
      <c r="O39" s="2124"/>
      <c r="P39" s="3394"/>
      <c r="Q39" s="1556" t="str">
        <f t="shared" si="11"/>
        <v>市政基础设施</v>
      </c>
      <c r="R39" s="1557" t="s">
        <v>11</v>
      </c>
      <c r="S39" s="1558">
        <f t="shared" si="12"/>
        <v>100</v>
      </c>
      <c r="T39" s="1557" t="s">
        <v>11</v>
      </c>
      <c r="U39" s="1558">
        <f t="shared" si="13"/>
        <v>100</v>
      </c>
      <c r="V39" s="1557" t="s">
        <v>11</v>
      </c>
      <c r="W39" s="1558">
        <f t="shared" si="14"/>
        <v>100</v>
      </c>
      <c r="X39" s="1551"/>
      <c r="Y39" s="3394"/>
      <c r="Z39" s="1559" t="str">
        <f t="shared" si="15"/>
        <v>市政基础设施</v>
      </c>
      <c r="AA39" s="1560">
        <f t="shared" si="3"/>
        <v>1</v>
      </c>
      <c r="AB39" s="1560">
        <f t="shared" si="4"/>
        <v>1</v>
      </c>
      <c r="AC39" s="1560">
        <f t="shared" si="5"/>
        <v>1</v>
      </c>
    </row>
    <row r="40" spans="1:29" ht="15">
      <c r="A40" s="593"/>
      <c r="B40" s="526" t="s">
        <v>731</v>
      </c>
      <c r="C40" s="598" t="s">
        <v>3018</v>
      </c>
      <c r="D40" s="539">
        <v>100</v>
      </c>
      <c r="E40" s="598" t="s">
        <v>3018</v>
      </c>
      <c r="F40" s="574">
        <f>SUMIF(118:118,E40,119:119)-SUMIF(118:118,C40,119:119)+100</f>
        <v>100</v>
      </c>
      <c r="G40" s="598" t="s">
        <v>3018</v>
      </c>
      <c r="H40" s="539">
        <f>SUMIF(118:118,G40,119:119)-SUMIF(118:118,C40,119:119)+100</f>
        <v>100</v>
      </c>
      <c r="I40" s="598" t="s">
        <v>3018</v>
      </c>
      <c r="J40" s="539">
        <f>SUMIF(118:118,I40,119:119)-SUMIF(118:118,C40,119:119)+100</f>
        <v>100</v>
      </c>
      <c r="K40" s="862">
        <v>2</v>
      </c>
      <c r="L40" s="2125"/>
      <c r="M40" s="2117"/>
      <c r="N40" s="2117"/>
      <c r="O40" s="2124"/>
      <c r="P40" s="3394"/>
      <c r="Q40" s="1556" t="str">
        <f t="shared" si="11"/>
        <v>房型</v>
      </c>
      <c r="R40" s="1557" t="s">
        <v>11</v>
      </c>
      <c r="S40" s="1558">
        <f t="shared" si="12"/>
        <v>100</v>
      </c>
      <c r="T40" s="1557" t="s">
        <v>11</v>
      </c>
      <c r="U40" s="1558">
        <f t="shared" si="13"/>
        <v>100</v>
      </c>
      <c r="V40" s="1557" t="s">
        <v>11</v>
      </c>
      <c r="W40" s="1558">
        <f t="shared" si="14"/>
        <v>100</v>
      </c>
      <c r="X40" s="1551"/>
      <c r="Y40" s="3394"/>
      <c r="Z40" s="1559" t="str">
        <f t="shared" si="15"/>
        <v>房型</v>
      </c>
      <c r="AA40" s="1560">
        <f t="shared" si="3"/>
        <v>1</v>
      </c>
      <c r="AB40" s="1560">
        <f t="shared" si="4"/>
        <v>1</v>
      </c>
      <c r="AC40" s="1560">
        <f t="shared" si="5"/>
        <v>1</v>
      </c>
    </row>
    <row r="41" spans="1:29" s="1332" customFormat="1" ht="28.5">
      <c r="A41" s="602"/>
      <c r="B41" s="526" t="s">
        <v>732</v>
      </c>
      <c r="C41" s="877"/>
      <c r="D41" s="254">
        <v>100</v>
      </c>
      <c r="E41" s="533"/>
      <c r="F41" s="861">
        <f>SUMIF(120:120,E41,121:121)-SUMIF(120:120,C41,121:121)+100</f>
        <v>100</v>
      </c>
      <c r="G41" s="532"/>
      <c r="H41" s="254">
        <f>SUMIF(120:120,G41,121:121)-SUMIF(120:120,C41,121:121)+100</f>
        <v>100</v>
      </c>
      <c r="I41" s="585"/>
      <c r="J41" s="539">
        <f>SUMIF(120:120,I41,121:121)-SUMIF(120:120,C41,121:121)+100</f>
        <v>100</v>
      </c>
      <c r="K41" s="863"/>
      <c r="L41" s="2123"/>
      <c r="M41" s="2154"/>
      <c r="N41" s="2154"/>
      <c r="O41" s="2126"/>
      <c r="P41" s="3394"/>
      <c r="Q41" s="1588" t="str">
        <f t="shared" si="11"/>
        <v>单套/主力户型建筑面积</v>
      </c>
      <c r="R41" s="1561" t="s">
        <v>11</v>
      </c>
      <c r="S41" s="1562">
        <f t="shared" si="12"/>
        <v>100</v>
      </c>
      <c r="T41" s="1561" t="s">
        <v>11</v>
      </c>
      <c r="U41" s="1562">
        <f t="shared" si="13"/>
        <v>100</v>
      </c>
      <c r="V41" s="1561" t="s">
        <v>11</v>
      </c>
      <c r="W41" s="1562">
        <f t="shared" si="14"/>
        <v>100</v>
      </c>
      <c r="X41" s="1563"/>
      <c r="Y41" s="3394"/>
      <c r="Z41" s="1564" t="str">
        <f t="shared" si="15"/>
        <v>单套/主力户型建筑面积</v>
      </c>
      <c r="AA41" s="1560">
        <f t="shared" si="3"/>
        <v>1</v>
      </c>
      <c r="AB41" s="1560">
        <f t="shared" si="4"/>
        <v>1</v>
      </c>
      <c r="AC41" s="1560">
        <f t="shared" si="5"/>
        <v>1</v>
      </c>
    </row>
    <row r="42" spans="1:29" ht="15">
      <c r="A42" s="593"/>
      <c r="B42" s="526" t="s">
        <v>733</v>
      </c>
      <c r="C42" s="598" t="s">
        <v>3015</v>
      </c>
      <c r="D42" s="539">
        <v>100</v>
      </c>
      <c r="E42" s="872" t="s">
        <v>3020</v>
      </c>
      <c r="F42" s="574">
        <f>SUMIF(122:122,E42,123:123)-SUMIF(122:122,C42,123:123)+100</f>
        <v>92</v>
      </c>
      <c r="G42" s="598" t="s">
        <v>3015</v>
      </c>
      <c r="H42" s="539">
        <f>SUMIF(122:122,G42,123:123)-SUMIF(122:122,C42,123:123)+100</f>
        <v>100</v>
      </c>
      <c r="I42" s="872" t="s">
        <v>3015</v>
      </c>
      <c r="J42" s="539">
        <f>SUMIF(122:122,I42,123:123)-SUMIF(122:122,C42,123:123)+100</f>
        <v>100</v>
      </c>
      <c r="K42" s="862">
        <f>'[1]比较法-住宅'!$K$42</f>
        <v>4</v>
      </c>
      <c r="L42" s="2125"/>
      <c r="M42" s="2117"/>
      <c r="N42" s="2117"/>
      <c r="O42" s="2124"/>
      <c r="P42" s="3394"/>
      <c r="Q42" s="1556" t="str">
        <f t="shared" si="11"/>
        <v>内部装修</v>
      </c>
      <c r="R42" s="1557" t="s">
        <v>11</v>
      </c>
      <c r="S42" s="1558">
        <f t="shared" si="12"/>
        <v>92</v>
      </c>
      <c r="T42" s="1557" t="s">
        <v>11</v>
      </c>
      <c r="U42" s="1558">
        <f t="shared" si="13"/>
        <v>100</v>
      </c>
      <c r="V42" s="1557" t="s">
        <v>11</v>
      </c>
      <c r="W42" s="1558">
        <f t="shared" si="14"/>
        <v>100</v>
      </c>
      <c r="X42" s="1551"/>
      <c r="Y42" s="3394"/>
      <c r="Z42" s="1559" t="str">
        <f t="shared" si="15"/>
        <v>内部装修</v>
      </c>
      <c r="AA42" s="1560">
        <f t="shared" si="3"/>
        <v>1.0869565217391304</v>
      </c>
      <c r="AB42" s="1560">
        <f t="shared" si="4"/>
        <v>1</v>
      </c>
      <c r="AC42" s="1560">
        <f t="shared" si="5"/>
        <v>1</v>
      </c>
    </row>
    <row r="43" spans="1:29" ht="27.75" thickBot="1">
      <c r="A43" s="593"/>
      <c r="B43" s="526" t="s">
        <v>734</v>
      </c>
      <c r="C43" s="598" t="s">
        <v>3019</v>
      </c>
      <c r="D43" s="539">
        <v>100</v>
      </c>
      <c r="E43" s="598" t="s">
        <v>3019</v>
      </c>
      <c r="F43" s="574">
        <f>SUMIF(124:124,E43,125:125)-SUMIF(124:124,C43,125:125)+100</f>
        <v>100</v>
      </c>
      <c r="G43" s="598" t="s">
        <v>3019</v>
      </c>
      <c r="H43" s="539">
        <f>SUMIF(124:124,G43,125:125)-SUMIF(124:124,C43,125:125)+100</f>
        <v>100</v>
      </c>
      <c r="I43" s="598" t="s">
        <v>3019</v>
      </c>
      <c r="J43" s="539">
        <f>SUMIF(124:124,I43,125:125)-SUMIF(124:124,C43,125:125)+100</f>
        <v>100</v>
      </c>
      <c r="K43" s="862"/>
      <c r="L43" s="2125"/>
      <c r="M43" s="2117"/>
      <c r="N43" s="2117"/>
      <c r="O43" s="2124"/>
      <c r="P43" s="3394"/>
      <c r="Q43" s="1556" t="str">
        <f t="shared" si="11"/>
        <v>内部装修维护情况</v>
      </c>
      <c r="R43" s="1557" t="s">
        <v>11</v>
      </c>
      <c r="S43" s="1558">
        <f t="shared" si="12"/>
        <v>100</v>
      </c>
      <c r="T43" s="1557" t="s">
        <v>11</v>
      </c>
      <c r="U43" s="1558">
        <f t="shared" si="13"/>
        <v>100</v>
      </c>
      <c r="V43" s="1557" t="s">
        <v>11</v>
      </c>
      <c r="W43" s="1558">
        <f t="shared" si="14"/>
        <v>100</v>
      </c>
      <c r="X43" s="1551"/>
      <c r="Y43" s="3394"/>
      <c r="Z43" s="1559" t="str">
        <f t="shared" si="15"/>
        <v>内部装修维护情况</v>
      </c>
      <c r="AA43" s="1560">
        <f t="shared" si="3"/>
        <v>1</v>
      </c>
      <c r="AB43" s="1560">
        <f t="shared" si="4"/>
        <v>1</v>
      </c>
      <c r="AC43" s="1560">
        <f t="shared" si="5"/>
        <v>1</v>
      </c>
    </row>
    <row r="44" spans="1:29" s="1213" customFormat="1" ht="15" hidden="1">
      <c r="A44" s="599"/>
      <c r="B44" s="875"/>
      <c r="C44" s="877"/>
      <c r="D44" s="254">
        <v>100</v>
      </c>
      <c r="E44" s="877"/>
      <c r="F44" s="861">
        <f>SUMIF(126:126,E44,127:127)-SUMIF(126:126,C44,127:127)+100</f>
        <v>100</v>
      </c>
      <c r="G44" s="877"/>
      <c r="H44" s="254">
        <f>SUMIF(126:126,G44,127:127)-SUMIF(126:126,C44,127:127)+100</f>
        <v>100</v>
      </c>
      <c r="I44" s="877"/>
      <c r="J44" s="254">
        <f>SUMIF(126:126,I44,127:127)-SUMIF(126:126,C44,127:127)+100</f>
        <v>100</v>
      </c>
      <c r="K44" s="863"/>
      <c r="L44" s="2118"/>
      <c r="M44" s="2119"/>
      <c r="N44" s="2119"/>
      <c r="O44" s="2120"/>
      <c r="P44" s="3394"/>
      <c r="Q44" s="1144">
        <f t="shared" si="11"/>
        <v>0</v>
      </c>
      <c r="R44" s="1552" t="s">
        <v>11</v>
      </c>
      <c r="S44" s="1553">
        <f t="shared" si="12"/>
        <v>100</v>
      </c>
      <c r="T44" s="1552" t="s">
        <v>11</v>
      </c>
      <c r="U44" s="1553">
        <f t="shared" si="13"/>
        <v>100</v>
      </c>
      <c r="V44" s="1552" t="s">
        <v>11</v>
      </c>
      <c r="W44" s="1553">
        <f t="shared" si="14"/>
        <v>100</v>
      </c>
      <c r="X44" s="1554"/>
      <c r="Y44" s="3394"/>
      <c r="Z44" s="1143">
        <f t="shared" si="15"/>
        <v>0</v>
      </c>
      <c r="AA44" s="1555">
        <f t="shared" si="3"/>
        <v>1</v>
      </c>
      <c r="AB44" s="1555">
        <f t="shared" si="4"/>
        <v>1</v>
      </c>
      <c r="AC44" s="1555">
        <f t="shared" si="5"/>
        <v>1</v>
      </c>
    </row>
    <row r="45" spans="1:29" ht="15" hidden="1">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3"/>
      <c r="L45" s="2125"/>
      <c r="M45" s="2117"/>
      <c r="N45" s="2117"/>
      <c r="O45" s="2124"/>
      <c r="P45" s="3394"/>
      <c r="Q45" s="1556">
        <f t="shared" si="11"/>
        <v>0</v>
      </c>
      <c r="R45" s="1557" t="s">
        <v>11</v>
      </c>
      <c r="S45" s="1558">
        <f t="shared" si="12"/>
        <v>100</v>
      </c>
      <c r="T45" s="1557" t="s">
        <v>11</v>
      </c>
      <c r="U45" s="1558">
        <f t="shared" si="13"/>
        <v>100</v>
      </c>
      <c r="V45" s="1557" t="s">
        <v>11</v>
      </c>
      <c r="W45" s="1558">
        <f t="shared" si="14"/>
        <v>100</v>
      </c>
      <c r="X45" s="1551"/>
      <c r="Y45" s="3394"/>
      <c r="Z45" s="1559">
        <f t="shared" si="15"/>
        <v>0</v>
      </c>
      <c r="AA45" s="1560">
        <f t="shared" si="3"/>
        <v>1</v>
      </c>
      <c r="AB45" s="1560">
        <f t="shared" si="4"/>
        <v>1</v>
      </c>
      <c r="AC45" s="1560">
        <f t="shared" si="5"/>
        <v>1</v>
      </c>
    </row>
    <row r="46" spans="1:29" ht="15.75" hidden="1" thickBot="1">
      <c r="A46" s="883"/>
      <c r="B46" s="543"/>
      <c r="C46" s="544"/>
      <c r="D46" s="545">
        <v>100</v>
      </c>
      <c r="E46" s="544"/>
      <c r="F46" s="864">
        <f>SUMIF(130:130,E46,131:131)-SUMIF(130:130,C46,131:131)+100</f>
        <v>100</v>
      </c>
      <c r="G46" s="544"/>
      <c r="H46" s="545">
        <f>SUMIF(130:130,G46,131:131)-SUMIF(130:130,C46,131:131)+100</f>
        <v>100</v>
      </c>
      <c r="I46" s="544"/>
      <c r="J46" s="545">
        <f>SUMIF(130:130,I46,131:131)-SUMIF(130:130,C46,131:131)+100</f>
        <v>100</v>
      </c>
      <c r="K46" s="863"/>
      <c r="L46" s="2125"/>
      <c r="M46" s="2117"/>
      <c r="N46" s="2117"/>
      <c r="O46" s="2124"/>
      <c r="P46" s="3472"/>
      <c r="Q46" s="1556">
        <f t="shared" si="11"/>
        <v>0</v>
      </c>
      <c r="R46" s="1557" t="s">
        <v>10</v>
      </c>
      <c r="S46" s="1558">
        <f t="shared" si="12"/>
        <v>100</v>
      </c>
      <c r="T46" s="1557" t="s">
        <v>10</v>
      </c>
      <c r="U46" s="1558">
        <f t="shared" si="13"/>
        <v>100</v>
      </c>
      <c r="V46" s="1557" t="s">
        <v>10</v>
      </c>
      <c r="W46" s="1558">
        <f t="shared" si="14"/>
        <v>100</v>
      </c>
      <c r="X46" s="1551"/>
      <c r="Y46" s="3472"/>
      <c r="Z46" s="1559">
        <f t="shared" si="15"/>
        <v>0</v>
      </c>
      <c r="AA46" s="1560">
        <f t="shared" si="3"/>
        <v>1</v>
      </c>
      <c r="AB46" s="1560">
        <f t="shared" si="4"/>
        <v>1</v>
      </c>
      <c r="AC46" s="1560">
        <f t="shared" si="5"/>
        <v>1</v>
      </c>
    </row>
    <row r="47" spans="1:29" ht="15">
      <c r="A47" s="605" t="s">
        <v>735</v>
      </c>
      <c r="B47" s="884"/>
      <c r="C47" s="2589" t="s">
        <v>9</v>
      </c>
      <c r="D47" s="2590"/>
      <c r="E47" s="3189">
        <f>'[1]比较法-住宅'!$E$47</f>
        <v>11896.262052714277</v>
      </c>
      <c r="F47" s="2592"/>
      <c r="G47" s="2593">
        <f>'[1]比较法-住宅'!$G$47</f>
        <v>13000</v>
      </c>
      <c r="H47" s="2594"/>
      <c r="I47" s="2591">
        <f>'[1]比较法-住宅'!$I$47</f>
        <v>14000</v>
      </c>
      <c r="J47" s="2594"/>
      <c r="K47" s="1589"/>
      <c r="L47" s="2127"/>
      <c r="M47" s="2128"/>
      <c r="N47" s="2117"/>
      <c r="O47" s="2128"/>
      <c r="P47" s="3389" t="str">
        <f>A47</f>
        <v>成交单价（元/平方米）</v>
      </c>
      <c r="Q47" s="3389"/>
      <c r="R47" s="3471">
        <f>E47</f>
        <v>11896.262052714277</v>
      </c>
      <c r="S47" s="3471"/>
      <c r="T47" s="3471">
        <f>G47</f>
        <v>13000</v>
      </c>
      <c r="U47" s="3471"/>
      <c r="V47" s="3471">
        <f>I47</f>
        <v>14000</v>
      </c>
      <c r="W47" s="3471"/>
      <c r="X47" s="1543"/>
      <c r="Y47" s="1565"/>
      <c r="Z47" s="1543"/>
      <c r="AA47" s="1543"/>
      <c r="AB47" s="1543"/>
      <c r="AC47" s="1543"/>
    </row>
    <row r="48" spans="1:29" ht="15.75" thickBot="1">
      <c r="A48" s="613" t="s">
        <v>2758</v>
      </c>
      <c r="B48" s="885"/>
      <c r="C48" s="2595">
        <f>R49</f>
        <v>13194</v>
      </c>
      <c r="D48" s="2596"/>
      <c r="E48" s="2597">
        <f>R48</f>
        <v>13893</v>
      </c>
      <c r="F48" s="2597"/>
      <c r="G48" s="2595">
        <f>T48</f>
        <v>12871</v>
      </c>
      <c r="H48" s="2596"/>
      <c r="I48" s="2597">
        <f>V48</f>
        <v>12817</v>
      </c>
      <c r="J48" s="2596"/>
      <c r="K48" s="1590"/>
      <c r="L48" s="2127"/>
      <c r="M48" s="2128"/>
      <c r="N48" s="2128"/>
      <c r="O48" s="2128"/>
      <c r="P48" s="3389" t="str">
        <f>A48</f>
        <v>比较价格（元/平方米）</v>
      </c>
      <c r="Q48" s="3389"/>
      <c r="R48" s="3471">
        <f>IF(F1="售价",ROUND(PRODUCT(R47,AA7:AA46),0),ROUND(PRODUCT(R47,AA7:AA46),1))</f>
        <v>13893</v>
      </c>
      <c r="S48" s="3471"/>
      <c r="T48" s="3471">
        <f>IF(F1="售价",ROUND(PRODUCT(T47,AB7:AB46),0),ROUND(PRODUCT(T47,AB7:AB46),1))</f>
        <v>12871</v>
      </c>
      <c r="U48" s="3471"/>
      <c r="V48" s="3471">
        <f>IF(F1="售价",ROUND(PRODUCT(V47,AC7:AC46),0),ROUND(PRODUCT(V47,AC7:AC46),1))</f>
        <v>12817</v>
      </c>
      <c r="W48" s="3471"/>
      <c r="X48" s="1543"/>
      <c r="Y48" s="1543"/>
      <c r="Z48" s="1543"/>
      <c r="AA48" s="1543"/>
      <c r="AB48" s="1543"/>
      <c r="AC48" s="1543"/>
    </row>
    <row r="49" spans="1:29" ht="15.75" thickBot="1">
      <c r="A49" s="619" t="s">
        <v>2935</v>
      </c>
      <c r="B49" s="620"/>
      <c r="C49" s="2598">
        <f>R49</f>
        <v>13194</v>
      </c>
      <c r="D49" s="2598"/>
      <c r="E49" s="2598"/>
      <c r="F49" s="2598"/>
      <c r="G49" s="2598"/>
      <c r="H49" s="2598"/>
      <c r="I49" s="2598"/>
      <c r="J49" s="2598"/>
      <c r="K49" s="1591"/>
      <c r="L49" s="2127"/>
      <c r="M49" s="2128"/>
      <c r="N49" s="2128"/>
      <c r="O49" s="2128"/>
      <c r="P49" s="3413" t="str">
        <f>A49</f>
        <v>估价对象XX用房的比较价格（楼面单价，元/平方米）</v>
      </c>
      <c r="Q49" s="3414"/>
      <c r="R49" s="3470">
        <f>IF(F1="售价",ROUND(AVERAGE(R48:V48),0),ROUND(AVERAGE(R48:V48),1))</f>
        <v>13194</v>
      </c>
      <c r="S49" s="3470"/>
      <c r="T49" s="3470"/>
      <c r="U49" s="3470"/>
      <c r="V49" s="3470"/>
      <c r="W49" s="347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0.16784582740678133</v>
      </c>
      <c r="F52" s="625" t="str">
        <f>IF(OR(E52&gt;=0.3,E52&lt;=-0.3),"超过30%","")</f>
        <v/>
      </c>
      <c r="G52" s="624">
        <f>IF(G47&lt;G48,G48/G47-1,G47/G48-1)</f>
        <v>1.0022531271851376E-2</v>
      </c>
      <c r="H52" s="625" t="str">
        <f>IF(OR(G52&gt;=0.3,G52&lt;=-0.3),"超过30%","")</f>
        <v/>
      </c>
      <c r="I52" s="624">
        <f>IF(I47&lt;I48,I48/I47-1,I47/I48-1)</f>
        <v>9.2299290005461554E-2</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7.940330976614085E-2</v>
      </c>
      <c r="F53" s="625" t="str">
        <f>IF(OR(E53&gt;=0.2,E53&lt;=-0.2),"超过20%","")</f>
        <v/>
      </c>
      <c r="G53" s="624">
        <f>IF(G48&lt;I48,I48/G48-1,G48/I48-1)</f>
        <v>4.213154404306696E-3</v>
      </c>
      <c r="H53" s="625" t="str">
        <f>IF(OR(G53&gt;=0.2,G53&lt;=-0.2),"超过20%","")</f>
        <v/>
      </c>
      <c r="I53" s="624">
        <f>IF(I48&lt;E48,E48/I48-1,I48/E48-1)</f>
        <v>8.3951002574705447E-2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2" t="s">
        <v>559</v>
      </c>
      <c r="D54" s="626"/>
      <c r="E54" s="624">
        <f>IF(E47&lt;G47,G47/E47-1,E47/G47-1)</f>
        <v>9.2780231504222099E-2</v>
      </c>
      <c r="F54" s="625" t="str">
        <f>IF(OR(E54&gt;=0.3,E54&lt;=-0.3),"超过30%","")</f>
        <v/>
      </c>
      <c r="G54" s="624">
        <f>IF(G47&lt;I47,I47/G47-1,G47/I47-1)</f>
        <v>7.6923076923076872E-2</v>
      </c>
      <c r="H54" s="625" t="str">
        <f>IF(OR(G54&gt;=0.3,G54&lt;=-0.3),"超过30%","")</f>
        <v/>
      </c>
      <c r="I54" s="624">
        <f>IF(I47&lt;E47,E47/I47-1,I47/E47-1)</f>
        <v>0.17684024931223918</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3" t="s">
        <v>529</v>
      </c>
      <c r="B58" s="644"/>
      <c r="C58" s="2757"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3"/>
      <c r="Q58" s="2144"/>
      <c r="R58" s="2144"/>
      <c r="S58" s="2144"/>
      <c r="T58" s="2144"/>
      <c r="U58" s="2144"/>
      <c r="V58" s="2144"/>
      <c r="W58" s="2144"/>
      <c r="X58" s="2144"/>
      <c r="Y58" s="2144"/>
      <c r="Z58" s="2144"/>
      <c r="AA58" s="2144"/>
      <c r="AB58" s="2144"/>
      <c r="AC58" s="2144"/>
    </row>
    <row r="59" spans="1:29" s="1213" customFormat="1" ht="15">
      <c r="A59" s="645"/>
      <c r="B59" s="646"/>
      <c r="C59" s="647">
        <v>100</v>
      </c>
      <c r="D59" s="648"/>
      <c r="E59" s="648"/>
      <c r="F59" s="648"/>
      <c r="G59" s="648">
        <v>100</v>
      </c>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3"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3"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7"/>
      <c r="B62" s="646"/>
      <c r="C62" s="886">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7"/>
      <c r="E63" s="597"/>
      <c r="F63" s="597"/>
      <c r="G63" s="597"/>
      <c r="H63" s="597"/>
      <c r="I63" s="597"/>
      <c r="J63" s="597"/>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0（含）-2</v>
      </c>
      <c r="D67" s="680" t="str">
        <f t="shared" ref="D67:L67" si="18">D68&amp;"（含）"&amp;"-"&amp;E68</f>
        <v>2（含）-4</v>
      </c>
      <c r="E67" s="680" t="str">
        <f t="shared" si="18"/>
        <v>4（含）-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40">
        <f>'[1]比较法-住宅'!$C$68</f>
        <v>0</v>
      </c>
      <c r="D68" s="540">
        <f>'[1]比较法-住宅'!$D$68</f>
        <v>2</v>
      </c>
      <c r="E68" s="540">
        <f>'[1]比较法-住宅'!$E$68</f>
        <v>4</v>
      </c>
      <c r="F68" s="540"/>
      <c r="G68" s="540"/>
      <c r="H68" s="540"/>
      <c r="I68" s="540"/>
      <c r="J68" s="540"/>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5"/>
      <c r="B70" s="671">
        <f>B12</f>
        <v>0</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5"/>
      <c r="B72" s="671">
        <f>B13</f>
        <v>0</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5"/>
      <c r="B74" s="679">
        <f>B14</f>
        <v>0</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95</v>
      </c>
      <c r="E77" s="677">
        <f>D77-$K15</f>
        <v>90</v>
      </c>
      <c r="F77" s="677">
        <f>E77-$K15</f>
        <v>85</v>
      </c>
      <c r="G77" s="677">
        <f>F77-$K15</f>
        <v>80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97</v>
      </c>
      <c r="E81" s="677">
        <f>D81-$K19</f>
        <v>94</v>
      </c>
      <c r="F81" s="677">
        <f>E81-$K19</f>
        <v>91</v>
      </c>
      <c r="G81" s="677">
        <f>F81-$K19</f>
        <v>88</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743</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7"/>
      <c r="B86" s="1879" t="s">
        <v>2256</v>
      </c>
      <c r="C86" s="686"/>
      <c r="D86" s="686"/>
      <c r="E86" s="686"/>
      <c r="F86" s="686"/>
      <c r="G86" s="686"/>
      <c r="H86" s="686"/>
      <c r="I86" s="686"/>
      <c r="J86" s="686"/>
      <c r="K86" s="686"/>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7"/>
      <c r="B88" s="671" t="s">
        <v>745</v>
      </c>
      <c r="C88" s="686"/>
      <c r="D88" s="686"/>
      <c r="E88" s="686"/>
      <c r="F88" s="889"/>
      <c r="G88" s="686"/>
      <c r="H88" s="686"/>
      <c r="I88" s="686"/>
      <c r="J88" s="686"/>
      <c r="K88" s="686"/>
      <c r="L88" s="686"/>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5"/>
      <c r="B90" s="671">
        <f>B27</f>
        <v>0</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5"/>
      <c r="B91" s="676"/>
      <c r="C91" s="690"/>
      <c r="D91" s="690"/>
      <c r="E91" s="690"/>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0</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0</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0</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0</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0"/>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746</v>
      </c>
      <c r="C100" s="3190" t="s">
        <v>3023</v>
      </c>
      <c r="D100" s="597"/>
      <c r="E100" s="597"/>
      <c r="F100" s="597"/>
      <c r="G100" s="597"/>
      <c r="H100" s="597"/>
      <c r="I100" s="597"/>
      <c r="J100" s="597"/>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747</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6"/>
      <c r="B103" s="727"/>
      <c r="C103" s="728">
        <v>0</v>
      </c>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5"/>
      <c r="B104" s="676"/>
      <c r="C104" s="690"/>
      <c r="D104" s="669"/>
      <c r="E104" s="669"/>
      <c r="F104" s="669"/>
      <c r="G104" s="669"/>
      <c r="H104" s="669"/>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748</v>
      </c>
      <c r="C105" s="3191" t="s">
        <v>3025</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749</v>
      </c>
      <c r="C107" s="3192" t="s">
        <v>3024</v>
      </c>
      <c r="D107" s="716"/>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750</v>
      </c>
      <c r="C109" s="3191" t="s">
        <v>3026</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6"/>
      <c r="B112" s="679"/>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752</v>
      </c>
      <c r="C114" s="3191" t="s">
        <v>3027</v>
      </c>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2555</v>
      </c>
      <c r="C116" s="3191" t="s">
        <v>3028</v>
      </c>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753</v>
      </c>
      <c r="C118" s="3192" t="s">
        <v>3029</v>
      </c>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6"/>
      <c r="B120" s="671" t="s">
        <v>732</v>
      </c>
      <c r="C120" s="686"/>
      <c r="D120" s="686"/>
      <c r="E120" s="686"/>
      <c r="F120" s="686"/>
      <c r="G120" s="686"/>
      <c r="H120" s="686"/>
      <c r="I120" s="686"/>
      <c r="J120" s="686"/>
      <c r="K120" s="686"/>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754</v>
      </c>
      <c r="C122" s="686" t="s">
        <v>3015</v>
      </c>
      <c r="D122" s="686" t="s">
        <v>3030</v>
      </c>
      <c r="E122" s="686" t="s">
        <v>3020</v>
      </c>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96</v>
      </c>
      <c r="E123" s="677">
        <f t="shared" si="29"/>
        <v>92</v>
      </c>
      <c r="F123" s="677">
        <f t="shared" si="29"/>
        <v>88</v>
      </c>
      <c r="G123" s="677">
        <f t="shared" si="29"/>
        <v>84</v>
      </c>
      <c r="H123" s="677">
        <f t="shared" si="29"/>
        <v>80</v>
      </c>
      <c r="I123" s="677">
        <f t="shared" si="29"/>
        <v>76</v>
      </c>
      <c r="J123" s="677">
        <f t="shared" si="29"/>
        <v>72</v>
      </c>
      <c r="K123" s="677">
        <f t="shared" si="29"/>
        <v>68</v>
      </c>
      <c r="L123" s="677">
        <f t="shared" si="29"/>
        <v>64</v>
      </c>
      <c r="M123" s="677">
        <f t="shared" si="29"/>
        <v>60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6"/>
      <c r="B126" s="671">
        <f>B44</f>
        <v>0</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0</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0</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1724</v>
      </c>
      <c r="B1" s="736"/>
      <c r="C1" s="771" t="s">
        <v>2998</v>
      </c>
      <c r="D1" s="3075" t="s">
        <v>3002</v>
      </c>
      <c r="E1" s="2349" t="s">
        <v>2373</v>
      </c>
      <c r="F1" s="2350">
        <f ca="1">J53</f>
        <v>18.63</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3">
        <f ca="1">C40+J29+L46</f>
        <v>250580</v>
      </c>
      <c r="C2" s="2040"/>
      <c r="D2" s="2038"/>
      <c r="E2" s="2039"/>
      <c r="F2" s="2039"/>
      <c r="G2" s="1574"/>
      <c r="H2" s="2040"/>
      <c r="I2" s="2040"/>
      <c r="J2" s="2040"/>
      <c r="K2" s="2041"/>
      <c r="L2" s="2040"/>
      <c r="M2" s="2040"/>
    </row>
    <row r="3" spans="1:33" ht="18" customHeight="1" thickBot="1">
      <c r="A3" s="831" t="s">
        <v>1726</v>
      </c>
      <c r="B3" s="832">
        <f ca="1">IF(ISERROR(B2*10000/F43),0,ROUND(B2*10000/F43,0))</f>
        <v>13332</v>
      </c>
      <c r="C3" s="2040"/>
      <c r="D3" s="2038"/>
      <c r="E3" s="2039"/>
      <c r="F3" s="2039"/>
      <c r="G3" s="1574"/>
      <c r="H3" s="774" t="s">
        <v>695</v>
      </c>
      <c r="I3" s="1356"/>
      <c r="J3" s="1356"/>
      <c r="K3" s="1575"/>
      <c r="L3" s="1356"/>
      <c r="M3" s="1356"/>
    </row>
    <row r="4" spans="1:33" ht="18" customHeight="1">
      <c r="A4" s="775" t="s">
        <v>1727</v>
      </c>
      <c r="B4" s="776" t="s">
        <v>1728</v>
      </c>
      <c r="C4" s="776" t="s">
        <v>1729</v>
      </c>
      <c r="D4" s="776" t="s">
        <v>633</v>
      </c>
      <c r="E4" s="777" t="s">
        <v>1730</v>
      </c>
      <c r="F4" s="778"/>
      <c r="G4" s="1576"/>
      <c r="H4" s="775" t="s">
        <v>1731</v>
      </c>
      <c r="I4" s="776" t="s">
        <v>1732</v>
      </c>
      <c r="J4" s="776" t="s">
        <v>1733</v>
      </c>
      <c r="K4" s="776" t="s">
        <v>1734</v>
      </c>
      <c r="L4" s="777" t="s">
        <v>1735</v>
      </c>
      <c r="M4" s="778"/>
    </row>
    <row r="5" spans="1:33" ht="18" customHeight="1">
      <c r="A5" s="779">
        <v>1</v>
      </c>
      <c r="B5" s="780" t="s">
        <v>2457</v>
      </c>
      <c r="C5" s="54">
        <f ca="1">C6+C10+C12</f>
        <v>23521</v>
      </c>
      <c r="D5" s="2458" t="s">
        <v>2460</v>
      </c>
      <c r="E5" s="2452"/>
      <c r="F5" s="2453"/>
      <c r="G5" s="1576"/>
      <c r="H5" s="779">
        <v>1</v>
      </c>
      <c r="I5" s="780" t="s">
        <v>2457</v>
      </c>
      <c r="J5" s="54">
        <f ca="1">J6+J10+J12</f>
        <v>0</v>
      </c>
      <c r="K5" s="2458" t="s">
        <v>2460</v>
      </c>
      <c r="L5" s="2452"/>
      <c r="M5" s="2453"/>
    </row>
    <row r="6" spans="1:33" ht="18" customHeight="1">
      <c r="A6" s="1813" t="s">
        <v>1823</v>
      </c>
      <c r="B6" s="3464" t="s">
        <v>2462</v>
      </c>
      <c r="C6" s="781">
        <f ca="1">ROUND(F6*F8*F7*(1-F9)/10000,0)</f>
        <v>23462</v>
      </c>
      <c r="D6" s="2459" t="s">
        <v>2461</v>
      </c>
      <c r="E6" s="782" t="s">
        <v>1737</v>
      </c>
      <c r="F6" s="783">
        <f ca="1">INDIRECT("'数据-取费表'!u"&amp;$G$1)</f>
        <v>3.8</v>
      </c>
      <c r="G6" s="1576"/>
      <c r="H6" s="2466" t="s">
        <v>2467</v>
      </c>
      <c r="I6" s="3464" t="s">
        <v>2462</v>
      </c>
      <c r="J6" s="781">
        <f ca="1">ROUND(M6*M8*M7*(1-M9)/10000,0)</f>
        <v>0</v>
      </c>
      <c r="K6" s="340" t="s">
        <v>1736</v>
      </c>
      <c r="L6" s="782" t="s">
        <v>1737</v>
      </c>
      <c r="M6" s="783">
        <f ca="1">INDIRECT("'数据-取费表'!z"&amp;$G$1)</f>
        <v>0</v>
      </c>
    </row>
    <row r="7" spans="1:33" ht="18" customHeight="1">
      <c r="A7" s="2462"/>
      <c r="B7" s="3465"/>
      <c r="C7" s="786"/>
      <c r="D7" s="787"/>
      <c r="E7" s="782" t="s">
        <v>1738</v>
      </c>
      <c r="F7" s="783">
        <f ca="1">IF(INDIRECT("'数据-取费表'!ah"&amp;$G$1)="",INDIRECT("'数据-取费表'!k"&amp;$G$1),INDIRECT("'数据-取费表'!ah"&amp;$G$1))</f>
        <v>187952.32</v>
      </c>
      <c r="G7" s="1576"/>
      <c r="H7" s="2451"/>
      <c r="I7" s="3465"/>
      <c r="J7" s="786"/>
      <c r="K7" s="787"/>
      <c r="L7" s="782" t="s">
        <v>1738</v>
      </c>
      <c r="M7" s="783">
        <f ca="1">F7</f>
        <v>187952.32</v>
      </c>
    </row>
    <row r="8" spans="1:33" ht="18" customHeight="1">
      <c r="A8" s="2455"/>
      <c r="B8" s="3466"/>
      <c r="C8" s="786"/>
      <c r="D8" s="787"/>
      <c r="E8" s="782" t="s">
        <v>1739</v>
      </c>
      <c r="F8" s="783">
        <f ca="1">INDIRECT("'数据-取费表'!ai"&amp;$G$1)</f>
        <v>365</v>
      </c>
      <c r="G8" s="1576"/>
      <c r="H8" s="2451"/>
      <c r="I8" s="3466"/>
      <c r="J8" s="786"/>
      <c r="K8" s="787"/>
      <c r="L8" s="782" t="s">
        <v>1739</v>
      </c>
      <c r="M8" s="783">
        <f ca="1">INDIRECT("'数据-取费表'!ai"&amp;$G$1)</f>
        <v>365</v>
      </c>
    </row>
    <row r="9" spans="1:33" ht="18" customHeight="1">
      <c r="A9" s="784"/>
      <c r="B9" s="3467"/>
      <c r="C9" s="786"/>
      <c r="D9" s="787"/>
      <c r="E9" s="782" t="s">
        <v>1740</v>
      </c>
      <c r="F9" s="792">
        <f ca="1">INDIRECT("'数据-取费表'!w"&amp;$G$1)</f>
        <v>0.1</v>
      </c>
      <c r="G9" s="1576"/>
      <c r="H9" s="2467"/>
      <c r="I9" s="3466"/>
      <c r="J9" s="786"/>
      <c r="K9" s="787"/>
      <c r="L9" s="793" t="s">
        <v>1740</v>
      </c>
      <c r="M9" s="794">
        <f ca="1">INDIRECT("'数据-取费表'!ab"&amp;$G$1)</f>
        <v>0</v>
      </c>
    </row>
    <row r="10" spans="1:33" ht="18" customHeight="1">
      <c r="A10" s="1813" t="s">
        <v>2465</v>
      </c>
      <c r="B10" s="2456" t="s">
        <v>2458</v>
      </c>
      <c r="C10" s="797">
        <f ca="1">ROUND(IF(F10="押一",C6/12*F11,IF(F10="押二",C6/12*2*F11,IF(F10="押三",C6/12*3*F11,C11*F11))),0)</f>
        <v>59</v>
      </c>
      <c r="D10" s="2463" t="s">
        <v>2974</v>
      </c>
      <c r="E10" s="2460" t="s">
        <v>2463</v>
      </c>
      <c r="F10" s="3207" t="s">
        <v>3057</v>
      </c>
      <c r="G10" s="1576"/>
      <c r="H10" s="2523" t="s">
        <v>2468</v>
      </c>
      <c r="I10" s="2528" t="s">
        <v>2458</v>
      </c>
      <c r="J10" s="781">
        <f ca="1">ROUND(IF(M10="押一",J6/12*M11,IF(M10="押二",J6/12*2*M11,IF(M10="押三",J6/12*3*M11,J11*M11))),0)</f>
        <v>0</v>
      </c>
      <c r="K10" s="2463" t="s">
        <v>2974</v>
      </c>
      <c r="L10" s="2460" t="s">
        <v>2463</v>
      </c>
      <c r="M10" s="2583"/>
    </row>
    <row r="11" spans="1:33" ht="18" customHeight="1">
      <c r="A11" s="788"/>
      <c r="B11" s="2457" t="s">
        <v>2572</v>
      </c>
      <c r="C11" s="2461"/>
      <c r="D11" s="787"/>
      <c r="E11" s="2460" t="s">
        <v>2464</v>
      </c>
      <c r="F11" s="794">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1741</v>
      </c>
      <c r="C13" s="790">
        <f ca="1">ROUND(C29*F13,0)</f>
        <v>105623</v>
      </c>
      <c r="D13" s="1817" t="s">
        <v>2296</v>
      </c>
      <c r="E13" s="1817" t="s">
        <v>1743</v>
      </c>
      <c r="F13" s="2498">
        <f ca="1">INDIRECT("'数据-取费表'!y"&amp;$G$1)</f>
        <v>1</v>
      </c>
      <c r="G13" s="1576"/>
      <c r="H13" s="1812">
        <v>2</v>
      </c>
      <c r="I13" s="1810" t="s">
        <v>1741</v>
      </c>
      <c r="J13" s="1802">
        <f ca="1">ROUND(J14*J15,0)</f>
        <v>0</v>
      </c>
      <c r="K13" s="1804" t="s">
        <v>1742</v>
      </c>
      <c r="L13" s="2514"/>
      <c r="M13" s="2515"/>
    </row>
    <row r="14" spans="1:33" ht="18" customHeight="1">
      <c r="A14" s="1631" t="s">
        <v>1883</v>
      </c>
      <c r="B14" s="782" t="s">
        <v>645</v>
      </c>
      <c r="C14" s="802">
        <f ca="1">INDIRECT("'数据-取费表'!m"&amp;$G$1)+INDIRECT("'数据-取费表'!t"&amp;$G$1)</f>
        <v>63698</v>
      </c>
      <c r="D14" s="1962" t="s">
        <v>1744</v>
      </c>
      <c r="E14" s="1963"/>
      <c r="F14" s="803"/>
      <c r="G14" s="1576"/>
      <c r="H14" s="1632" t="s">
        <v>1829</v>
      </c>
      <c r="I14" s="2214" t="s">
        <v>2824</v>
      </c>
      <c r="J14" s="52">
        <f ca="1">C29</f>
        <v>105623</v>
      </c>
      <c r="K14" s="25"/>
      <c r="L14" s="799"/>
      <c r="M14" s="800"/>
    </row>
    <row r="15" spans="1:33" s="2047" customFormat="1" ht="18" customHeight="1" thickBot="1">
      <c r="A15" s="1631" t="s">
        <v>1884</v>
      </c>
      <c r="B15" s="782" t="s">
        <v>647</v>
      </c>
      <c r="C15" s="52">
        <f ca="1">ROUND(C14*F15,0)</f>
        <v>1911</v>
      </c>
      <c r="D15" s="804" t="s">
        <v>1745</v>
      </c>
      <c r="E15" s="804" t="s">
        <v>1746</v>
      </c>
      <c r="F15" s="805">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2" t="s">
        <v>650</v>
      </c>
      <c r="C16" s="52">
        <f ca="1">ROUND(INDIRECT("'数据-取费表'!m"&amp;$G$1)*F16,0)</f>
        <v>0</v>
      </c>
      <c r="D16" s="782" t="s">
        <v>1745</v>
      </c>
      <c r="E16" s="782" t="s">
        <v>1746</v>
      </c>
      <c r="F16" s="807">
        <f ca="1">IF(INDIRECT("'数据-取费表'!c"&amp;$G$1)="住宅",'数据-取费表'!B34,0)</f>
        <v>0</v>
      </c>
      <c r="G16" s="1576"/>
      <c r="H16" s="1812" t="s">
        <v>1747</v>
      </c>
      <c r="I16" s="1810" t="s">
        <v>1748</v>
      </c>
      <c r="J16" s="790">
        <f ca="1">ROUND(J17+J22+J23+J24,0)</f>
        <v>10536</v>
      </c>
      <c r="K16" s="1804" t="s">
        <v>1749</v>
      </c>
      <c r="L16" s="2448"/>
      <c r="M16" s="2453"/>
    </row>
    <row r="17" spans="1:33" s="2047" customFormat="1" ht="18" customHeight="1">
      <c r="A17" s="1631" t="s">
        <v>1886</v>
      </c>
      <c r="B17" s="782" t="s">
        <v>653</v>
      </c>
      <c r="C17" s="52">
        <f ca="1">ROUND(F17*(F43+INDIRECT("'数据-取费表'!S"&amp;$G$1))/10000,0)</f>
        <v>5460</v>
      </c>
      <c r="D17" s="782" t="s">
        <v>1750</v>
      </c>
      <c r="E17" s="782" t="s">
        <v>1751</v>
      </c>
      <c r="F17" s="55">
        <f>'数据-取费表'!B35</f>
        <v>250</v>
      </c>
      <c r="G17" s="1577"/>
      <c r="H17" s="1632" t="s">
        <v>1829</v>
      </c>
      <c r="I17" s="782" t="s">
        <v>656</v>
      </c>
      <c r="J17" s="52">
        <f ca="1">ROUND(IF(项目基本情况!B11="自然人",J5*M17,J18+J19+J20),0)</f>
        <v>8952</v>
      </c>
      <c r="K17" s="2447" t="s">
        <v>1752</v>
      </c>
      <c r="L17" s="2446" t="s">
        <v>1753</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2" t="s">
        <v>659</v>
      </c>
      <c r="C18" s="52">
        <f ca="1">ROUND(C14*F18,0)</f>
        <v>955</v>
      </c>
      <c r="D18" s="782" t="s">
        <v>1745</v>
      </c>
      <c r="E18" s="782" t="s">
        <v>1746</v>
      </c>
      <c r="F18" s="807">
        <f>'数据-取费表'!B36</f>
        <v>1.4999999999999999E-2</v>
      </c>
      <c r="G18" s="1577"/>
      <c r="H18" s="1631" t="s">
        <v>1883</v>
      </c>
      <c r="I18" s="782" t="s">
        <v>1754</v>
      </c>
      <c r="J18" s="52">
        <f ca="1">ROUND(J5*M18/1.05,1)</f>
        <v>0</v>
      </c>
      <c r="K18" s="2446" t="s">
        <v>1755</v>
      </c>
      <c r="L18" s="782" t="s">
        <v>1746</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2" t="s">
        <v>662</v>
      </c>
      <c r="C19" s="52">
        <f ca="1">SUM(C14:C18)</f>
        <v>72024</v>
      </c>
      <c r="D19" s="260" t="s">
        <v>1756</v>
      </c>
      <c r="E19" s="1965"/>
      <c r="F19" s="55"/>
      <c r="G19" s="1576"/>
      <c r="H19" s="1631" t="s">
        <v>1884</v>
      </c>
      <c r="I19" s="782" t="s">
        <v>1757</v>
      </c>
      <c r="J19" s="52">
        <f ca="1">IF(K19="按租金收入计税",ROUND(J5*M19,1),ROUND(C29*F33*0.7,1))</f>
        <v>8872.2999999999993</v>
      </c>
      <c r="K19" s="809" t="s">
        <v>665</v>
      </c>
      <c r="L19" s="782" t="s">
        <v>1746</v>
      </c>
      <c r="M19" s="807">
        <f>IF(K19="按租金收入计税",'数据-取费表'!B51,'数据-取费表'!B50)</f>
        <v>1.2E-2</v>
      </c>
    </row>
    <row r="20" spans="1:33" s="2047" customFormat="1" ht="18" customHeight="1">
      <c r="A20" s="1632" t="s">
        <v>1888</v>
      </c>
      <c r="B20" s="782" t="s">
        <v>666</v>
      </c>
      <c r="C20" s="52">
        <f ca="1">ROUND(C19*F20,0)</f>
        <v>1440</v>
      </c>
      <c r="D20" s="810" t="s">
        <v>1758</v>
      </c>
      <c r="E20" s="782" t="s">
        <v>1746</v>
      </c>
      <c r="F20" s="807">
        <f>'数据-取费表'!B37</f>
        <v>0.02</v>
      </c>
      <c r="G20" s="1577"/>
      <c r="H20" s="1634" t="s">
        <v>1879</v>
      </c>
      <c r="I20" s="340" t="s">
        <v>1759</v>
      </c>
      <c r="J20" s="53">
        <f ca="1">ROUND(M20*M21/10000,0)</f>
        <v>80</v>
      </c>
      <c r="K20" s="812" t="s">
        <v>1760</v>
      </c>
      <c r="L20" s="782" t="s">
        <v>1761</v>
      </c>
      <c r="M20" s="638">
        <f>'数据-取费表'!B52</f>
        <v>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2" t="s">
        <v>1762</v>
      </c>
      <c r="C21" s="52" t="s">
        <v>1763</v>
      </c>
      <c r="D21" s="810" t="s">
        <v>2297</v>
      </c>
      <c r="E21" s="782" t="s">
        <v>1764</v>
      </c>
      <c r="F21" s="807">
        <f>'数据-取费表'!B38</f>
        <v>0.02</v>
      </c>
      <c r="G21" s="1577"/>
      <c r="H21" s="2468"/>
      <c r="I21" s="791"/>
      <c r="J21" s="68"/>
      <c r="K21" s="814"/>
      <c r="L21" s="782" t="s">
        <v>1765</v>
      </c>
      <c r="M21" s="783">
        <f ca="1">INDIRECT("'数据-取费表'!r"&amp;$G$1)</f>
        <v>66422.84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2" t="s">
        <v>1766</v>
      </c>
      <c r="C22" s="52"/>
      <c r="D22" s="2534" t="str">
        <f>IF(F23&lt;=1,"单利计息。","复利计息。")&amp;"建造成本、管理费用、销售费用产生的利息。"</f>
        <v>复利计息。建造成本、管理费用、销售费用产生的利息。</v>
      </c>
      <c r="E22" s="1965"/>
      <c r="F22" s="55"/>
      <c r="G22" s="1576"/>
      <c r="H22" s="1632" t="s">
        <v>1888</v>
      </c>
      <c r="I22" s="782" t="s">
        <v>1767</v>
      </c>
      <c r="J22" s="52">
        <f ca="1">ROUND(J14*M22,0)</f>
        <v>1584</v>
      </c>
      <c r="K22" s="2446" t="s">
        <v>1768</v>
      </c>
      <c r="L22" s="782" t="s">
        <v>1746</v>
      </c>
      <c r="M22" s="815">
        <f ca="1">INDIRECT("'数据-取费表'!Ak"&amp;$G$1)</f>
        <v>1.4999999999999999E-2</v>
      </c>
    </row>
    <row r="23" spans="1:33" s="2047" customFormat="1" ht="18" customHeight="1">
      <c r="A23" s="1631" t="s">
        <v>1830</v>
      </c>
      <c r="B23" s="782" t="s">
        <v>2534</v>
      </c>
      <c r="C23" s="52">
        <f ca="1">ROUND(IF('数据-取费表'!B22&lt;=1,(C19+C20)*F24*F23/2,(C19+C20)*(POWER((1+F24),F23/2)-1)),0)</f>
        <v>9037</v>
      </c>
      <c r="D23" s="2533" t="str">
        <f>IF(F23&lt;=1,"(建造成本+管理费用)×利率×(建设周期÷2)","(建造成本+管理费用)×((1+利率)^(建设周期÷2)-1)")</f>
        <v>(建造成本+管理费用)×((1+利率)^(建设周期÷2)-1)</v>
      </c>
      <c r="E23" s="782" t="s">
        <v>1769</v>
      </c>
      <c r="F23" s="638">
        <f>'数据-取费表'!B20</f>
        <v>5</v>
      </c>
      <c r="G23" s="1577"/>
      <c r="H23" s="1632" t="s">
        <v>1889</v>
      </c>
      <c r="I23" s="782" t="s">
        <v>679</v>
      </c>
      <c r="J23" s="52">
        <f ca="1">ROUND(J13*M23,0)</f>
        <v>0</v>
      </c>
      <c r="K23" s="2446" t="s">
        <v>1770</v>
      </c>
      <c r="L23" s="782" t="s">
        <v>1746</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2" t="s">
        <v>1771</v>
      </c>
      <c r="C24" s="52">
        <f ca="1">ROUND(IF('数据-取费表'!B22&lt;=1,F21*F24*F23/2,F21*(POWER((1+F24),F23/2)-1)),4)</f>
        <v>2.5000000000000001E-3</v>
      </c>
      <c r="D24" s="2533" t="str">
        <f>IF(F23&lt;=1,"销售费用×利率×(建设周期÷2)","销售费用×((1+利率)^(建设周期÷2)-1)")</f>
        <v>销售费用×((1+利率)^(建设周期÷2)-1)</v>
      </c>
      <c r="E24" s="782" t="s">
        <v>1772</v>
      </c>
      <c r="F24" s="817">
        <f ca="1">'数据-取费表'!B40</f>
        <v>4.7500000000000001E-2</v>
      </c>
      <c r="G24" s="1577"/>
      <c r="H24" s="2513" t="s">
        <v>1890</v>
      </c>
      <c r="I24" s="2508" t="s">
        <v>666</v>
      </c>
      <c r="J24" s="2506">
        <f ca="1">ROUND(J5*M24,0)</f>
        <v>0</v>
      </c>
      <c r="K24" s="2507" t="s">
        <v>1773</v>
      </c>
      <c r="L24" s="2508" t="s">
        <v>1746</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2" t="s">
        <v>684</v>
      </c>
      <c r="C25" s="52"/>
      <c r="D25" s="260" t="s">
        <v>1774</v>
      </c>
      <c r="E25" s="1965"/>
      <c r="F25" s="55"/>
      <c r="G25" s="1576"/>
      <c r="H25" s="1812" t="s">
        <v>1775</v>
      </c>
      <c r="I25" s="2960" t="s">
        <v>2820</v>
      </c>
      <c r="J25" s="790">
        <f ca="1">J5-J16</f>
        <v>-10536</v>
      </c>
      <c r="K25" s="2510" t="s">
        <v>1776</v>
      </c>
      <c r="L25" s="2511"/>
      <c r="M25" s="2512"/>
    </row>
    <row r="26" spans="1:33" ht="18" customHeight="1">
      <c r="A26" s="1631" t="s">
        <v>1830</v>
      </c>
      <c r="B26" s="782" t="s">
        <v>2437</v>
      </c>
      <c r="C26" s="52">
        <f ca="1">ROUND((C19+C20)*F26,0)</f>
        <v>14693</v>
      </c>
      <c r="D26" s="810" t="s">
        <v>1777</v>
      </c>
      <c r="E26" s="793" t="s">
        <v>1778</v>
      </c>
      <c r="F26" s="792">
        <f ca="1">INDIRECT("'数据-取费表'!q"&amp;$G$1)</f>
        <v>0.2</v>
      </c>
      <c r="G26" s="1576"/>
      <c r="H26" s="2464" t="s">
        <v>1779</v>
      </c>
      <c r="I26" s="2215" t="s">
        <v>2825</v>
      </c>
      <c r="J26" s="781">
        <f ca="1">IF(J5&lt;&gt;0,ROUND(J25*(1-((1+M28)/(1+M26))^M27)/(M26-M28),0),0)</f>
        <v>0</v>
      </c>
      <c r="K26" s="812" t="s">
        <v>1780</v>
      </c>
      <c r="L26" s="782" t="s">
        <v>2418</v>
      </c>
      <c r="M26" s="792">
        <f ca="1">INDIRECT("'数据-取费表'!I"&amp;$G$1)</f>
        <v>5.5E-2</v>
      </c>
    </row>
    <row r="27" spans="1:33" ht="18" customHeight="1">
      <c r="A27" s="1631" t="s">
        <v>1831</v>
      </c>
      <c r="B27" s="782" t="s">
        <v>686</v>
      </c>
      <c r="C27" s="52">
        <f ca="1">ROUND(F21*F26,4)</f>
        <v>4.0000000000000001E-3</v>
      </c>
      <c r="D27" s="810" t="s">
        <v>1781</v>
      </c>
      <c r="E27" s="804"/>
      <c r="F27" s="805"/>
      <c r="G27" s="1576"/>
      <c r="H27" s="2465"/>
      <c r="I27" s="785"/>
      <c r="J27" s="786"/>
      <c r="K27" s="819" t="s">
        <v>1782</v>
      </c>
      <c r="L27" s="782" t="s">
        <v>1783</v>
      </c>
      <c r="M27" s="820">
        <f ca="1">INDIRECT("'数据-取费表'!ag"&amp;$G$1)</f>
        <v>0</v>
      </c>
    </row>
    <row r="28" spans="1:33" s="2047" customFormat="1" ht="18" customHeight="1">
      <c r="A28" s="1633" t="s">
        <v>1840</v>
      </c>
      <c r="B28" s="782" t="s">
        <v>687</v>
      </c>
      <c r="C28" s="52">
        <f>ROUND(F28/(1+'数据-取费表'!C42),4)</f>
        <v>5.33E-2</v>
      </c>
      <c r="D28" s="810" t="s">
        <v>2298</v>
      </c>
      <c r="E28" s="782" t="s">
        <v>1784</v>
      </c>
      <c r="F28" s="807">
        <f>'数据-取费表'!B41</f>
        <v>5.6000000000000001E-2</v>
      </c>
      <c r="G28" s="1577"/>
      <c r="H28" s="1812"/>
      <c r="I28" s="789"/>
      <c r="J28" s="790"/>
      <c r="K28" s="814"/>
      <c r="L28" s="782" t="s">
        <v>1785</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105623</v>
      </c>
      <c r="D29" s="2507"/>
      <c r="E29" s="2508"/>
      <c r="F29" s="2509"/>
      <c r="G29" s="1577"/>
      <c r="H29" s="821" t="s">
        <v>1786</v>
      </c>
      <c r="I29" s="822" t="s">
        <v>1787</v>
      </c>
      <c r="J29" s="823">
        <f ca="1">ROUND(J26/(1+F40)^F41,0)</f>
        <v>0</v>
      </c>
      <c r="K29" s="824" t="s">
        <v>1788</v>
      </c>
      <c r="L29" s="825"/>
      <c r="M29" s="826">
        <f ca="1">INDIRECT("'数据-取费表'!k"&amp;$G$1)</f>
        <v>187952.32</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0">
        <f ca="1">ROUND(C31+C36+C37+C38,0)</f>
        <v>6135</v>
      </c>
      <c r="D30" s="1804" t="s">
        <v>1790</v>
      </c>
      <c r="E30" s="2448"/>
      <c r="F30" s="2453"/>
      <c r="G30" s="2045"/>
      <c r="H30" s="2048"/>
      <c r="I30" s="2049"/>
      <c r="J30" s="2050"/>
      <c r="K30" s="2051"/>
      <c r="L30" s="2052"/>
      <c r="M30" s="2053"/>
    </row>
    <row r="31" spans="1:33" ht="18" customHeight="1">
      <c r="A31" s="1632" t="s">
        <v>1829</v>
      </c>
      <c r="B31" s="782" t="s">
        <v>656</v>
      </c>
      <c r="C31" s="52">
        <f ca="1">ROUND(IF(项目基本情况!B11="自然人",C5*F31,C32+C33+C34),1)</f>
        <v>4156.7</v>
      </c>
      <c r="D31" s="1962" t="s">
        <v>1791</v>
      </c>
      <c r="E31" s="1960" t="s">
        <v>1792</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2" t="s">
        <v>1793</v>
      </c>
      <c r="C32" s="52">
        <f ca="1">ROUND(C5*F32/1.05,1)</f>
        <v>1254.5</v>
      </c>
      <c r="D32" s="1960" t="s">
        <v>1794</v>
      </c>
      <c r="E32" s="782" t="s">
        <v>1795</v>
      </c>
      <c r="F32" s="807">
        <f>'数据-取费表'!B41</f>
        <v>5.6000000000000001E-2</v>
      </c>
      <c r="G32" s="2045"/>
      <c r="H32" s="2054"/>
      <c r="I32" s="2055"/>
      <c r="J32" s="2056"/>
      <c r="K32" s="2057"/>
      <c r="L32" s="2058"/>
      <c r="M32" s="2059"/>
    </row>
    <row r="33" spans="1:18" ht="18" customHeight="1">
      <c r="A33" s="1631" t="s">
        <v>1831</v>
      </c>
      <c r="B33" s="782" t="s">
        <v>1796</v>
      </c>
      <c r="C33" s="52">
        <f ca="1">IF(D33="按租金收入计税",ROUND(C5*F33,1),IF(D33="按房产原值计税",ROUND(C29*F33*0.7,1),INDIRECT("'数据-取费表'!Aj"&amp;$G$1)))</f>
        <v>2822.5</v>
      </c>
      <c r="D33" s="809" t="s">
        <v>3001</v>
      </c>
      <c r="E33" s="782" t="s">
        <v>1795</v>
      </c>
      <c r="F33" s="807">
        <f>IF(D33="按租金收入计税",'数据-取费表'!B51,'数据-取费表'!B50)</f>
        <v>0.12</v>
      </c>
      <c r="G33" s="2045"/>
      <c r="H33" s="2060"/>
      <c r="I33" s="2060"/>
      <c r="J33" s="2060"/>
      <c r="K33" s="2061"/>
      <c r="L33" s="2060"/>
      <c r="M33" s="2060"/>
    </row>
    <row r="34" spans="1:18" ht="18" customHeight="1">
      <c r="A34" s="1634" t="s">
        <v>1832</v>
      </c>
      <c r="B34" s="340" t="s">
        <v>1797</v>
      </c>
      <c r="C34" s="53">
        <f ca="1">ROUND(F34*F35/10000,1)</f>
        <v>79.7</v>
      </c>
      <c r="D34" s="812" t="s">
        <v>1798</v>
      </c>
      <c r="E34" s="782" t="s">
        <v>1799</v>
      </c>
      <c r="F34" s="638">
        <f>'数据-取费表'!B52</f>
        <v>12</v>
      </c>
      <c r="G34" s="2045"/>
      <c r="H34" s="2048"/>
      <c r="I34" s="833" t="s">
        <v>1812</v>
      </c>
      <c r="J34" s="834"/>
      <c r="K34" s="2063"/>
      <c r="L34" s="2062"/>
      <c r="M34" s="2062"/>
    </row>
    <row r="35" spans="1:18" ht="18" customHeight="1">
      <c r="A35" s="813"/>
      <c r="B35" s="791"/>
      <c r="C35" s="68"/>
      <c r="D35" s="814"/>
      <c r="E35" s="782" t="s">
        <v>1800</v>
      </c>
      <c r="F35" s="783">
        <f ca="1">INDIRECT("'数据-取费表'!r"&amp;$G$1)</f>
        <v>66422.84</v>
      </c>
      <c r="G35" s="2045"/>
      <c r="H35" s="2048"/>
      <c r="I35" s="835" t="s">
        <v>1813</v>
      </c>
      <c r="J35" s="836">
        <f ca="1">ROUND(C13*J36,0)</f>
        <v>8978</v>
      </c>
      <c r="K35" s="2061"/>
      <c r="L35" s="2060"/>
      <c r="M35" s="2060"/>
    </row>
    <row r="36" spans="1:18" ht="18" customHeight="1">
      <c r="A36" s="1632" t="s">
        <v>1888</v>
      </c>
      <c r="B36" s="782" t="s">
        <v>1801</v>
      </c>
      <c r="C36" s="52">
        <f ca="1">ROUND(C29*F36,1)</f>
        <v>1584.3</v>
      </c>
      <c r="D36" s="1960" t="s">
        <v>1802</v>
      </c>
      <c r="E36" s="782" t="s">
        <v>1795</v>
      </c>
      <c r="F36" s="815">
        <f ca="1">INDIRECT("'数据-取费表'!Ak"&amp;$G$1)</f>
        <v>1.4999999999999999E-2</v>
      </c>
      <c r="G36" s="2045"/>
      <c r="H36" s="2060"/>
      <c r="I36" s="837" t="s">
        <v>1814</v>
      </c>
      <c r="J36" s="838">
        <f ca="1">INDIRECT("'数据-取费表'!j"&amp;$G$1)</f>
        <v>8.5000000000000006E-2</v>
      </c>
      <c r="K36" s="2065"/>
      <c r="L36" s="2060"/>
      <c r="M36" s="2060"/>
    </row>
    <row r="37" spans="1:18" ht="18" customHeight="1">
      <c r="A37" s="1632" t="s">
        <v>1889</v>
      </c>
      <c r="B37" s="782" t="s">
        <v>679</v>
      </c>
      <c r="C37" s="52">
        <f ca="1">ROUND(C13*F37,1)</f>
        <v>158.4</v>
      </c>
      <c r="D37" s="1960" t="s">
        <v>1803</v>
      </c>
      <c r="E37" s="782" t="s">
        <v>1795</v>
      </c>
      <c r="F37" s="816">
        <f ca="1">INDIRECT("'数据-取费表'!Al"&amp;$G$1)</f>
        <v>1.5E-3</v>
      </c>
      <c r="G37" s="2045"/>
      <c r="H37" s="2060"/>
      <c r="I37" s="839" t="s">
        <v>1815</v>
      </c>
      <c r="J37" s="840"/>
      <c r="K37" s="2065"/>
      <c r="L37" s="2060"/>
      <c r="M37" s="2060"/>
    </row>
    <row r="38" spans="1:18" ht="18" customHeight="1" thickBot="1">
      <c r="A38" s="2513" t="s">
        <v>1890</v>
      </c>
      <c r="B38" s="2508" t="s">
        <v>666</v>
      </c>
      <c r="C38" s="2506">
        <f ca="1">ROUND(C5*F38,1)</f>
        <v>235.2</v>
      </c>
      <c r="D38" s="2507" t="s">
        <v>1804</v>
      </c>
      <c r="E38" s="2508" t="s">
        <v>1795</v>
      </c>
      <c r="F38" s="2504">
        <f ca="1">INDIRECT("'数据-取费表'!Am"&amp;$G$1)</f>
        <v>0.01</v>
      </c>
      <c r="G38" s="2045"/>
      <c r="H38" s="2060"/>
      <c r="I38" s="841" t="s">
        <v>1816</v>
      </c>
      <c r="J38" s="842"/>
      <c r="K38" s="2066"/>
      <c r="L38" s="2060"/>
      <c r="M38" s="2060"/>
    </row>
    <row r="39" spans="1:18" ht="24.6" customHeight="1" thickTop="1">
      <c r="A39" s="1812" t="s">
        <v>1893</v>
      </c>
      <c r="B39" s="2960" t="s">
        <v>2820</v>
      </c>
      <c r="C39" s="790">
        <f ca="1">C5-C30</f>
        <v>17386</v>
      </c>
      <c r="D39" s="2510" t="s">
        <v>1805</v>
      </c>
      <c r="E39" s="2511"/>
      <c r="F39" s="2512"/>
      <c r="G39" s="2045"/>
      <c r="H39" s="2060"/>
      <c r="I39" s="835" t="s">
        <v>1817</v>
      </c>
      <c r="J39" s="843">
        <f ca="1">ROUND(J35/C39,3)</f>
        <v>0.51600000000000001</v>
      </c>
      <c r="K39" s="2066"/>
      <c r="L39" s="2060"/>
      <c r="M39" s="2060"/>
    </row>
    <row r="40" spans="1:18" ht="18" customHeight="1">
      <c r="A40" s="779" t="s">
        <v>1894</v>
      </c>
      <c r="B40" s="2215" t="s">
        <v>2300</v>
      </c>
      <c r="C40" s="781">
        <f ca="1">ROUND(C39*(1-((1+F42)/(1+F40))^F41)/(F40-F42),0)</f>
        <v>250580</v>
      </c>
      <c r="D40" s="812" t="s">
        <v>1806</v>
      </c>
      <c r="E40" s="782" t="s">
        <v>2418</v>
      </c>
      <c r="F40" s="792">
        <f ca="1">INDIRECT("'数据-取费表'!I"&amp;$G$1)</f>
        <v>5.5E-2</v>
      </c>
      <c r="G40" s="2045"/>
      <c r="H40" s="2045"/>
      <c r="I40" s="835" t="s">
        <v>1818</v>
      </c>
      <c r="J40" s="843">
        <f ca="1">1-J39</f>
        <v>0.48399999999999999</v>
      </c>
      <c r="K40" s="2066"/>
      <c r="L40" s="2045"/>
      <c r="M40" s="2045"/>
    </row>
    <row r="41" spans="1:18" ht="18" customHeight="1">
      <c r="A41" s="784"/>
      <c r="B41" s="785"/>
      <c r="C41" s="786"/>
      <c r="D41" s="819" t="s">
        <v>1807</v>
      </c>
      <c r="E41" s="782" t="s">
        <v>2964</v>
      </c>
      <c r="F41" s="820">
        <f ca="1">IF(INDIRECT("'数据-取费表'!af"&amp;$G$1)=0,INDIRECT("'数据-取费表'!ae"&amp;$G$1),INDIRECT("'数据-取费表'!af"&amp;$G$1))</f>
        <v>18.63</v>
      </c>
      <c r="G41" s="2045"/>
      <c r="H41" s="1971"/>
      <c r="I41" s="841" t="s">
        <v>1819</v>
      </c>
      <c r="J41" s="844"/>
      <c r="K41" s="2065"/>
      <c r="L41" s="1971"/>
      <c r="M41" s="1971"/>
    </row>
    <row r="42" spans="1:18" ht="18" customHeight="1">
      <c r="A42" s="788"/>
      <c r="B42" s="789"/>
      <c r="C42" s="790"/>
      <c r="D42" s="814"/>
      <c r="E42" s="782" t="s">
        <v>1808</v>
      </c>
      <c r="F42" s="792">
        <f ca="1">INDIRECT("'数据-取费表'!v"&amp;$G$1)</f>
        <v>0.03</v>
      </c>
      <c r="G42" s="2045"/>
      <c r="H42" s="1971"/>
      <c r="I42" s="845" t="s">
        <v>1820</v>
      </c>
      <c r="J42" s="843">
        <f ca="1">ROUND(C13/C40,3)</f>
        <v>0.42199999999999999</v>
      </c>
      <c r="K42" s="2065"/>
      <c r="L42" s="1971"/>
      <c r="M42" s="1971"/>
    </row>
    <row r="43" spans="1:18" ht="18" customHeight="1" thickBot="1">
      <c r="A43" s="821" t="s">
        <v>1786</v>
      </c>
      <c r="B43" s="822" t="s">
        <v>1809</v>
      </c>
      <c r="C43" s="823">
        <f ca="1">ROUND(C40*10000/F43,0)</f>
        <v>13332</v>
      </c>
      <c r="D43" s="824" t="s">
        <v>1810</v>
      </c>
      <c r="E43" s="825" t="s">
        <v>1811</v>
      </c>
      <c r="F43" s="826">
        <f ca="1">INDIRECT("'数据-取费表'!k"&amp;$G$1)</f>
        <v>187952.32</v>
      </c>
      <c r="G43" s="2045"/>
      <c r="H43" s="1971"/>
      <c r="I43" s="845" t="s">
        <v>1821</v>
      </c>
      <c r="J43" s="846">
        <f ca="1">1-J42</f>
        <v>0.57800000000000007</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-271489</v>
      </c>
      <c r="D46" s="2068"/>
      <c r="E46" s="2068"/>
      <c r="F46" s="2068"/>
      <c r="I46" s="2340" t="s">
        <v>2342</v>
      </c>
      <c r="J46" s="2341"/>
      <c r="K46" s="2342"/>
      <c r="L46" s="3107">
        <f>IF(OR(M47="住宅",D1="土地（套用方法）"),0,IF(L48&gt;J51,L60,J60))</f>
        <v>0</v>
      </c>
      <c r="O46" s="2356" t="s">
        <v>2409</v>
      </c>
      <c r="P46" s="1576"/>
      <c r="Q46" s="1587"/>
      <c r="R46" s="1576"/>
    </row>
    <row r="47" spans="1:18" s="2042" customFormat="1" ht="18" customHeight="1" thickBot="1">
      <c r="A47" s="2334">
        <v>1</v>
      </c>
      <c r="B47" s="2335" t="s">
        <v>635</v>
      </c>
      <c r="C47" s="2536">
        <f ca="1">C48+C52+C54</f>
        <v>0</v>
      </c>
      <c r="D47" s="2068"/>
      <c r="E47" s="2068"/>
      <c r="F47" s="2068"/>
      <c r="I47" s="3097" t="s">
        <v>2343</v>
      </c>
      <c r="J47" s="2343" t="s">
        <v>3000</v>
      </c>
      <c r="K47" s="3104" t="s">
        <v>2348</v>
      </c>
      <c r="L47" s="3108">
        <f ca="1">INDIRECT("'数据-取费表'!d"&amp;$G$1)</f>
        <v>40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2295</v>
      </c>
      <c r="F48" s="2339"/>
      <c r="G48" s="2073"/>
      <c r="I48" s="3076" t="s">
        <v>2344</v>
      </c>
      <c r="J48" s="2344" t="s">
        <v>2349</v>
      </c>
      <c r="K48" s="3105" t="s">
        <v>2350</v>
      </c>
      <c r="L48" s="1891">
        <f ca="1">INDIRECT("'数据-取费表'!f"&amp;$G$1)</f>
        <v>23.63</v>
      </c>
      <c r="O48" s="2360" t="s">
        <v>2378</v>
      </c>
      <c r="P48" s="2361" t="s">
        <v>2404</v>
      </c>
      <c r="Q48" s="2362">
        <f ca="1">C40+J29</f>
        <v>250580</v>
      </c>
      <c r="R48" s="2361" t="s">
        <v>2379</v>
      </c>
    </row>
    <row r="49" spans="1:18" s="2042" customFormat="1" ht="18" customHeight="1" thickBot="1">
      <c r="A49" s="784"/>
      <c r="B49" s="785"/>
      <c r="C49" s="786"/>
      <c r="D49" s="787"/>
      <c r="E49" s="782" t="s">
        <v>1738</v>
      </c>
      <c r="F49" s="783">
        <f ca="1">F7</f>
        <v>187952.32</v>
      </c>
      <c r="G49" s="2073"/>
      <c r="H49" s="2076"/>
      <c r="I49" s="3076" t="s">
        <v>2345</v>
      </c>
      <c r="J49" s="2345"/>
      <c r="K49" s="3106" t="s">
        <v>2351</v>
      </c>
      <c r="L49" s="2346"/>
      <c r="O49" s="2360" t="s">
        <v>2380</v>
      </c>
      <c r="P49" s="2361" t="s">
        <v>2405</v>
      </c>
      <c r="Q49" s="2362" t="str">
        <f ca="1">J60</f>
        <v>0</v>
      </c>
      <c r="R49" s="2361" t="s">
        <v>2381</v>
      </c>
    </row>
    <row r="50" spans="1:18" s="2042" customFormat="1" ht="18" customHeight="1" thickBot="1">
      <c r="A50" s="784"/>
      <c r="B50" s="785"/>
      <c r="C50" s="786"/>
      <c r="D50" s="787"/>
      <c r="E50" s="782" t="s">
        <v>1739</v>
      </c>
      <c r="F50" s="783">
        <f ca="1">F8</f>
        <v>365</v>
      </c>
      <c r="G50" s="2078"/>
      <c r="H50" s="2076"/>
      <c r="I50" s="3076" t="s">
        <v>2346</v>
      </c>
      <c r="J50" s="3101">
        <f>SUMPRODUCT((I63:I65=J47)*(J62:L62=J48)*(J63:L65))</f>
        <v>60</v>
      </c>
      <c r="K50" s="3106" t="s">
        <v>2352</v>
      </c>
      <c r="L50" s="2346"/>
      <c r="O50" s="2363" t="s">
        <v>2382</v>
      </c>
      <c r="P50" s="2361" t="s">
        <v>2406</v>
      </c>
      <c r="Q50" s="2362">
        <f ca="1">C29</f>
        <v>105623</v>
      </c>
      <c r="R50" s="2361" t="s">
        <v>2379</v>
      </c>
    </row>
    <row r="51" spans="1:18" s="2042" customFormat="1" ht="18" customHeight="1" thickBot="1">
      <c r="A51" s="784"/>
      <c r="B51" s="785"/>
      <c r="C51" s="786"/>
      <c r="D51" s="787"/>
      <c r="E51" s="782" t="s">
        <v>640</v>
      </c>
      <c r="F51" s="2333"/>
      <c r="H51" s="2076"/>
      <c r="I51" s="3098" t="s">
        <v>2347</v>
      </c>
      <c r="J51" s="3102">
        <f>IF(J49="",J50,J49+J50-YEAR('数据-取费表'!B2))</f>
        <v>60</v>
      </c>
      <c r="K51" s="3076" t="s">
        <v>2353</v>
      </c>
      <c r="L51" s="3109">
        <f ca="1">ROUND(-PV(INDIRECT("'数据-取费表'!h"&amp;$G$1),L48,(C39-C13*J36),0),0)</f>
        <v>115070</v>
      </c>
      <c r="O51" s="2363" t="s">
        <v>2383</v>
      </c>
      <c r="P51" s="2361" t="s">
        <v>2384</v>
      </c>
      <c r="Q51" s="2364" t="e">
        <f ca="1">J58</f>
        <v>#VALUE!</v>
      </c>
      <c r="R51" s="2365"/>
    </row>
    <row r="52" spans="1:18" s="2042" customFormat="1" ht="18" customHeight="1" thickBot="1">
      <c r="A52" s="779" t="s">
        <v>2535</v>
      </c>
      <c r="B52" s="2456" t="s">
        <v>2458</v>
      </c>
      <c r="C52" s="797">
        <f ca="1">ROUND(IF(F52="押一",C48/12*F11,IF(F52="押二",C48/12*2*F11,IF(F52="押三",C48/12*3*F11,C53*F11))),0)</f>
        <v>0</v>
      </c>
      <c r="D52" s="2463" t="s">
        <v>2975</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4"/>
      <c r="B53" s="2457" t="s">
        <v>2572</v>
      </c>
      <c r="C53" s="2461"/>
      <c r="D53" s="2463"/>
      <c r="E53" s="2460"/>
      <c r="F53" s="798"/>
      <c r="I53" s="3100" t="s">
        <v>2978</v>
      </c>
      <c r="J53" s="3103">
        <f ca="1">IF(M47="住宅",IF(D1="——",MAX(J51,L48),MAX(J51,L48-'数据-取费表'!B20)),IF(D1="——",MIN(J51,L48),MIN(J51,L48-'数据-取费表'!B20)))</f>
        <v>18.63</v>
      </c>
      <c r="K53" s="3473" t="s">
        <v>2966</v>
      </c>
      <c r="L53" s="3474"/>
      <c r="O53" s="2363" t="s">
        <v>2387</v>
      </c>
      <c r="P53" s="2361" t="s">
        <v>2388</v>
      </c>
      <c r="Q53" s="2362">
        <f ca="1">J53</f>
        <v>18.63</v>
      </c>
      <c r="R53" s="2361" t="s">
        <v>2389</v>
      </c>
    </row>
    <row r="54" spans="1:18" s="2042" customFormat="1" ht="18" customHeight="1" thickBot="1">
      <c r="A54" s="2499" t="s">
        <v>2466</v>
      </c>
      <c r="B54" s="2500" t="s">
        <v>2459</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250580</v>
      </c>
      <c r="R54" s="2365" t="s">
        <v>2391</v>
      </c>
    </row>
    <row r="55" spans="1:18" s="2042" customFormat="1" ht="18" customHeight="1" thickTop="1" thickBot="1">
      <c r="A55" s="795">
        <v>2</v>
      </c>
      <c r="B55" s="796" t="s">
        <v>644</v>
      </c>
      <c r="C55" s="797">
        <f ca="1">C13</f>
        <v>105623</v>
      </c>
      <c r="D55" s="793"/>
      <c r="E55" s="793"/>
      <c r="F55" s="798"/>
      <c r="I55" s="3112" t="s">
        <v>2354</v>
      </c>
      <c r="J55" s="3051" t="e">
        <f ca="1">ROUND(IF(J47="钢混",J57/J50,1-(1-2%)*(J50-J57)/J50),3)</f>
        <v>#VALUE!</v>
      </c>
      <c r="K55" s="3113" t="s">
        <v>2355</v>
      </c>
      <c r="L55" s="2348"/>
      <c r="O55" s="2366" t="s">
        <v>2410</v>
      </c>
      <c r="P55" s="1576"/>
      <c r="Q55" s="1587"/>
      <c r="R55" s="1576"/>
    </row>
    <row r="56" spans="1:18" s="2042" customFormat="1" ht="42.75" customHeight="1" thickBot="1">
      <c r="A56" s="1633"/>
      <c r="B56" s="2214" t="s">
        <v>2301</v>
      </c>
      <c r="C56" s="52">
        <f ca="1">C29</f>
        <v>105623</v>
      </c>
      <c r="D56" s="2601"/>
      <c r="E56" s="782"/>
      <c r="F56" s="807"/>
      <c r="I56" s="3114" t="s">
        <v>2356</v>
      </c>
      <c r="J56" s="3124" t="s">
        <v>1677</v>
      </c>
      <c r="K56" s="3076" t="s">
        <v>2361</v>
      </c>
      <c r="L56" s="1891" t="str">
        <f ca="1">IF(L48&lt;J51,"——",L48-J51)</f>
        <v>——</v>
      </c>
      <c r="O56" s="2357" t="s">
        <v>2374</v>
      </c>
      <c r="P56" s="2358" t="s">
        <v>2375</v>
      </c>
      <c r="Q56" s="2359" t="s">
        <v>2376</v>
      </c>
      <c r="R56" s="2358" t="s">
        <v>2377</v>
      </c>
    </row>
    <row r="57" spans="1:18" s="2042" customFormat="1" ht="28.5" customHeight="1" thickBot="1">
      <c r="A57" s="795" t="s">
        <v>1747</v>
      </c>
      <c r="B57" s="796" t="s">
        <v>651</v>
      </c>
      <c r="C57" s="797">
        <f ca="1">ROUND(C58+C63+C64+C65,0)</f>
        <v>1822</v>
      </c>
      <c r="D57" s="25" t="s">
        <v>1749</v>
      </c>
      <c r="E57" s="2602"/>
      <c r="F57" s="55"/>
      <c r="I57" s="3115" t="s">
        <v>2357</v>
      </c>
      <c r="J57" s="3116" t="str">
        <f ca="1">IF(OR(M47="住宅",J51&lt;L48,J56="是"),"——",J51-L48)</f>
        <v>——</v>
      </c>
      <c r="K57" s="3076" t="s">
        <v>2362</v>
      </c>
      <c r="L57" s="1891" t="str">
        <f ca="1">IF(L48&lt;J51,"——",IF(L55="比较法",L49,IF(L55="基准地价",L50,L51)))</f>
        <v>——</v>
      </c>
      <c r="O57" s="2360" t="s">
        <v>2378</v>
      </c>
      <c r="P57" s="2361" t="s">
        <v>2408</v>
      </c>
      <c r="Q57" s="2362">
        <f ca="1">C40+J29</f>
        <v>250580</v>
      </c>
      <c r="R57" s="2361" t="s">
        <v>2379</v>
      </c>
    </row>
    <row r="58" spans="1:18" s="2042" customFormat="1" ht="28.5" customHeight="1" thickBot="1">
      <c r="A58" s="1632" t="s">
        <v>1823</v>
      </c>
      <c r="B58" s="782" t="s">
        <v>656</v>
      </c>
      <c r="C58" s="52">
        <f ca="1">ROUND(IF(项目基本情况!B11="自然人",C47*F58,C59+C60+C61),1)</f>
        <v>79.7</v>
      </c>
      <c r="D58" s="2600" t="s">
        <v>657</v>
      </c>
      <c r="E58" s="2601" t="s">
        <v>690</v>
      </c>
      <c r="F58" s="808" t="str">
        <f ca="1">IF(项目基本情况!B11="企业","",IF(INDIRECT("'数据-取费表'!c"&amp;$G$1)="住宅",5%,IF(F48*F49*F50/12/(1+'数据-取费表'!C42)&gt;20000,12%,7%)))</f>
        <v/>
      </c>
      <c r="I58" s="3115" t="s">
        <v>2358</v>
      </c>
      <c r="J58" s="3052" t="e">
        <f ca="1">IF(J55&lt;0.4,0.4,J55)</f>
        <v>#VALUE!</v>
      </c>
      <c r="K58" s="3076"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1830</v>
      </c>
      <c r="B59" s="782" t="s">
        <v>660</v>
      </c>
      <c r="C59" s="52">
        <f ca="1">ROUND(C47*F59/1.05,1)</f>
        <v>0</v>
      </c>
      <c r="D59" s="2601" t="s">
        <v>1755</v>
      </c>
      <c r="E59" s="782" t="s">
        <v>1746</v>
      </c>
      <c r="F59" s="807">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2" t="s">
        <v>1757</v>
      </c>
      <c r="C60" s="52">
        <f ca="1">IF(D60="按租金收入计税",ROUND(C47*F60,1),IF(D60="按房产原值计税",ROUND(C56*F60*0.7,1),INDIRECT("'数据-取费表'!Aj"&amp;$G$1)))</f>
        <v>0</v>
      </c>
      <c r="D60" s="2601" t="str">
        <f>D33</f>
        <v>按租金收入计税</v>
      </c>
      <c r="E60" s="782" t="s">
        <v>1746</v>
      </c>
      <c r="F60" s="807">
        <f t="shared" si="0"/>
        <v>0.12</v>
      </c>
      <c r="I60" s="3117" t="s">
        <v>2360</v>
      </c>
      <c r="J60" s="3118" t="str">
        <f ca="1">IF(OR(M47="住宅",J51&lt;L48,J56="是"),"0",ROUND(J59/(1+J52)^J53,0))</f>
        <v>0</v>
      </c>
      <c r="K60" s="3119" t="s">
        <v>2365</v>
      </c>
      <c r="L60" s="3118">
        <f ca="1">IF(OR(M47="住宅",L48&lt;J51),0,ROUND(L57*(L58/L59-1),0))</f>
        <v>0</v>
      </c>
      <c r="O60" s="2363" t="s">
        <v>2383</v>
      </c>
      <c r="P60" s="2361" t="s">
        <v>2392</v>
      </c>
      <c r="Q60" s="2364">
        <f>L52</f>
        <v>0</v>
      </c>
      <c r="R60" s="2365"/>
    </row>
    <row r="61" spans="1:18" s="2042" customFormat="1" ht="18" customHeight="1" thickBot="1">
      <c r="A61" s="1634" t="s">
        <v>1832</v>
      </c>
      <c r="B61" s="340" t="s">
        <v>668</v>
      </c>
      <c r="C61" s="53">
        <f ca="1">ROUND(F61*F62/10000,1)</f>
        <v>79.7</v>
      </c>
      <c r="D61" s="812" t="s">
        <v>669</v>
      </c>
      <c r="E61" s="782" t="s">
        <v>670</v>
      </c>
      <c r="F61" s="638">
        <f t="shared" si="0"/>
        <v>12</v>
      </c>
      <c r="K61" s="2069"/>
      <c r="O61" s="2363" t="s">
        <v>2385</v>
      </c>
      <c r="P61" s="2361" t="s">
        <v>2393</v>
      </c>
      <c r="Q61" s="2362" t="e">
        <f ca="1">L58</f>
        <v>#DIV/0!</v>
      </c>
      <c r="R61" s="2365" t="s">
        <v>2394</v>
      </c>
    </row>
    <row r="62" spans="1:18" s="2042" customFormat="1" ht="15.75" thickBot="1">
      <c r="A62" s="813"/>
      <c r="B62" s="791"/>
      <c r="C62" s="68"/>
      <c r="D62" s="814"/>
      <c r="E62" s="782" t="s">
        <v>674</v>
      </c>
      <c r="F62" s="783">
        <f t="shared" ca="1" si="0"/>
        <v>66422.84</v>
      </c>
      <c r="I62" s="3120" t="s">
        <v>2366</v>
      </c>
      <c r="J62" s="3121" t="s">
        <v>2367</v>
      </c>
      <c r="K62" s="3121" t="s">
        <v>2368</v>
      </c>
      <c r="L62" s="3121" t="s">
        <v>2349</v>
      </c>
      <c r="M62" s="3122" t="s">
        <v>2942</v>
      </c>
      <c r="O62" s="2363" t="s">
        <v>2387</v>
      </c>
      <c r="P62" s="2361" t="str">
        <f>K59</f>
        <v>建设期及建筑物耐用年限下的土地年期修正系数Kn</v>
      </c>
      <c r="Q62" s="2362" t="e">
        <f ca="1">L59</f>
        <v>#DIV/0!</v>
      </c>
      <c r="R62" s="2365" t="s">
        <v>2396</v>
      </c>
    </row>
    <row r="63" spans="1:18" s="2042" customFormat="1" ht="15.75" thickBot="1">
      <c r="A63" s="1632" t="s">
        <v>1888</v>
      </c>
      <c r="B63" s="782" t="s">
        <v>676</v>
      </c>
      <c r="C63" s="52">
        <f ca="1">ROUND(C56*F63,1)</f>
        <v>1584.3</v>
      </c>
      <c r="D63" s="2601" t="s">
        <v>1802</v>
      </c>
      <c r="E63" s="782" t="s">
        <v>1746</v>
      </c>
      <c r="F63" s="815">
        <f t="shared" ca="1" si="0"/>
        <v>1.4999999999999999E-2</v>
      </c>
      <c r="I63" s="3120" t="s">
        <v>2369</v>
      </c>
      <c r="J63" s="3121">
        <v>70</v>
      </c>
      <c r="K63" s="3121">
        <v>50</v>
      </c>
      <c r="L63" s="3121">
        <v>80</v>
      </c>
      <c r="M63" s="3123">
        <v>0.02</v>
      </c>
      <c r="O63" s="2360" t="s">
        <v>2390</v>
      </c>
      <c r="P63" s="2361" t="s">
        <v>2407</v>
      </c>
      <c r="Q63" s="2362">
        <f ca="1">Q57+Q58</f>
        <v>250580</v>
      </c>
      <c r="R63" s="2365" t="s">
        <v>2391</v>
      </c>
    </row>
    <row r="64" spans="1:18" s="2042" customFormat="1" ht="16.5" thickBot="1">
      <c r="A64" s="1632" t="s">
        <v>1889</v>
      </c>
      <c r="B64" s="782" t="s">
        <v>679</v>
      </c>
      <c r="C64" s="52">
        <f ca="1">ROUND(C55*F64,1)</f>
        <v>158.4</v>
      </c>
      <c r="D64" s="2601" t="s">
        <v>680</v>
      </c>
      <c r="E64" s="782" t="s">
        <v>1746</v>
      </c>
      <c r="F64" s="816">
        <f t="shared" ca="1" si="0"/>
        <v>1.5E-3</v>
      </c>
      <c r="I64" s="3120" t="s">
        <v>2370</v>
      </c>
      <c r="J64" s="3121">
        <v>50</v>
      </c>
      <c r="K64" s="3121">
        <v>35</v>
      </c>
      <c r="L64" s="3121">
        <v>60</v>
      </c>
      <c r="M64" s="844">
        <v>0</v>
      </c>
      <c r="O64" s="2366" t="s">
        <v>2414</v>
      </c>
      <c r="P64" s="1576"/>
      <c r="Q64" s="1587"/>
      <c r="R64" s="1576"/>
    </row>
    <row r="65" spans="1:18" s="2042" customFormat="1" ht="15.75" thickBot="1">
      <c r="A65" s="1632" t="s">
        <v>1890</v>
      </c>
      <c r="B65" s="782" t="s">
        <v>666</v>
      </c>
      <c r="C65" s="52">
        <f ca="1">ROUND(C47*F65,1)</f>
        <v>0</v>
      </c>
      <c r="D65" s="2601" t="s">
        <v>683</v>
      </c>
      <c r="E65" s="782" t="s">
        <v>1746</v>
      </c>
      <c r="F65" s="792">
        <f t="shared" ca="1" si="0"/>
        <v>0.01</v>
      </c>
      <c r="I65" s="3120" t="s">
        <v>2371</v>
      </c>
      <c r="J65" s="3121">
        <v>40</v>
      </c>
      <c r="K65" s="3121">
        <v>30</v>
      </c>
      <c r="L65" s="3121">
        <v>50</v>
      </c>
      <c r="M65" s="3123">
        <v>0.02</v>
      </c>
      <c r="O65" s="2357" t="s">
        <v>2374</v>
      </c>
      <c r="P65" s="2358" t="s">
        <v>2375</v>
      </c>
      <c r="Q65" s="2359" t="s">
        <v>2376</v>
      </c>
      <c r="R65" s="2358" t="s">
        <v>2377</v>
      </c>
    </row>
    <row r="66" spans="1:18" s="2042" customFormat="1" ht="24.75" thickBot="1">
      <c r="A66" s="795" t="s">
        <v>1775</v>
      </c>
      <c r="B66" s="2961" t="s">
        <v>2820</v>
      </c>
      <c r="C66" s="797">
        <f ca="1">C47-C57</f>
        <v>-1822</v>
      </c>
      <c r="D66" s="2600" t="s">
        <v>700</v>
      </c>
      <c r="E66" s="2599"/>
      <c r="F66" s="818"/>
      <c r="K66" s="2069"/>
      <c r="O66" s="2360" t="s">
        <v>2378</v>
      </c>
      <c r="P66" s="2361" t="s">
        <v>2408</v>
      </c>
      <c r="Q66" s="2362">
        <f ca="1">C40+J29</f>
        <v>250580</v>
      </c>
      <c r="R66" s="2361" t="s">
        <v>2379</v>
      </c>
    </row>
    <row r="67" spans="1:18" s="2042" customFormat="1" ht="20.25" thickBot="1">
      <c r="A67" s="779" t="s">
        <v>1779</v>
      </c>
      <c r="B67" s="2215" t="s">
        <v>2300</v>
      </c>
      <c r="C67" s="781">
        <f ca="1">ROUND(C66*(1-((1+F69)/(1+F67))^F68)/(F67-F69),0)</f>
        <v>-20909</v>
      </c>
      <c r="D67" s="812" t="s">
        <v>704</v>
      </c>
      <c r="E67" s="782" t="s">
        <v>705</v>
      </c>
      <c r="F67" s="792">
        <f ca="1">F40</f>
        <v>5.5E-2</v>
      </c>
      <c r="K67" s="2069"/>
      <c r="O67" s="2360" t="s">
        <v>2380</v>
      </c>
      <c r="P67" s="2361" t="s">
        <v>2411</v>
      </c>
      <c r="Q67" s="2362">
        <f ca="1">L60</f>
        <v>0</v>
      </c>
      <c r="R67" s="2365" t="s">
        <v>2413</v>
      </c>
    </row>
    <row r="68" spans="1:18" ht="21.75" thickBot="1">
      <c r="A68" s="784"/>
      <c r="B68" s="785"/>
      <c r="C68" s="786"/>
      <c r="D68" s="819" t="s">
        <v>1807</v>
      </c>
      <c r="E68" s="782" t="s">
        <v>1783</v>
      </c>
      <c r="F68" s="820">
        <f ca="1">F41</f>
        <v>18.63</v>
      </c>
      <c r="O68" s="2363" t="s">
        <v>2382</v>
      </c>
      <c r="P68" s="2361" t="s">
        <v>2412</v>
      </c>
      <c r="Q68" s="2367">
        <f ca="1">L51</f>
        <v>115070</v>
      </c>
      <c r="R68" s="2368" t="s">
        <v>2415</v>
      </c>
    </row>
    <row r="69" spans="1:18" ht="20.25" thickBot="1">
      <c r="A69" s="788"/>
      <c r="B69" s="789"/>
      <c r="C69" s="790"/>
      <c r="D69" s="814"/>
      <c r="E69" s="782" t="s">
        <v>710</v>
      </c>
      <c r="F69" s="2333"/>
      <c r="O69" s="2363" t="s">
        <v>2383</v>
      </c>
      <c r="P69" s="2369" t="s">
        <v>2397</v>
      </c>
      <c r="Q69" s="2362">
        <f ca="1">ROUND(Q70-Q71*Q72,0)</f>
        <v>8408</v>
      </c>
      <c r="R69" s="2365"/>
    </row>
    <row r="70" spans="1:18" ht="15.75" thickBot="1">
      <c r="A70" s="821" t="s">
        <v>1786</v>
      </c>
      <c r="B70" s="822" t="s">
        <v>1809</v>
      </c>
      <c r="C70" s="823">
        <f ca="1">ROUND(C67*10000/F70,0)</f>
        <v>-1112</v>
      </c>
      <c r="D70" s="824" t="s">
        <v>1810</v>
      </c>
      <c r="E70" s="825" t="s">
        <v>1811</v>
      </c>
      <c r="F70" s="826">
        <f ca="1">F43</f>
        <v>187952.32</v>
      </c>
      <c r="O70" s="2363" t="s">
        <v>2398</v>
      </c>
      <c r="P70" s="2369" t="s">
        <v>2399</v>
      </c>
      <c r="Q70" s="2362">
        <f ca="1">C39</f>
        <v>17386</v>
      </c>
      <c r="R70" s="2361" t="s">
        <v>2379</v>
      </c>
    </row>
    <row r="71" spans="1:18" ht="15.75" thickBot="1">
      <c r="O71" s="2363" t="s">
        <v>2400</v>
      </c>
      <c r="P71" s="2369" t="s">
        <v>2401</v>
      </c>
      <c r="Q71" s="2362">
        <f ca="1">C13</f>
        <v>105623</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250580</v>
      </c>
      <c r="R76" s="236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F56" sqref="F5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1724</v>
      </c>
      <c r="B1" s="736"/>
      <c r="C1" s="771" t="s">
        <v>35</v>
      </c>
      <c r="D1" s="3075" t="s">
        <v>3002</v>
      </c>
      <c r="E1" s="2349" t="s">
        <v>869</v>
      </c>
      <c r="F1" s="2350">
        <f ca="1">J53</f>
        <v>28.64</v>
      </c>
      <c r="G1" s="772">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3">
        <f ca="1">C40+J29+L46</f>
        <v>61959</v>
      </c>
      <c r="C2" s="2040"/>
      <c r="D2" s="2038"/>
      <c r="E2" s="2039"/>
      <c r="F2" s="2039"/>
      <c r="G2" s="1574"/>
      <c r="H2" s="2040"/>
      <c r="I2" s="2040"/>
      <c r="J2" s="2040"/>
      <c r="K2" s="2041"/>
      <c r="L2" s="2040"/>
      <c r="M2" s="2040"/>
    </row>
    <row r="3" spans="1:33" ht="18" customHeight="1" thickBot="1">
      <c r="A3" s="831" t="s">
        <v>519</v>
      </c>
      <c r="B3" s="832">
        <f ca="1">IF(ISERROR(B2*10000/F43),0,ROUND(B2*10000/F43,0))</f>
        <v>3029</v>
      </c>
      <c r="C3" s="2040"/>
      <c r="D3" s="2038"/>
      <c r="E3" s="2039"/>
      <c r="F3" s="2039"/>
      <c r="G3" s="1574"/>
      <c r="H3" s="774" t="s">
        <v>695</v>
      </c>
      <c r="I3" s="1356"/>
      <c r="J3" s="1356"/>
      <c r="K3" s="1575"/>
      <c r="L3" s="1356"/>
      <c r="M3" s="1356"/>
    </row>
    <row r="4" spans="1:33" ht="18" customHeight="1">
      <c r="A4" s="775" t="s">
        <v>630</v>
      </c>
      <c r="B4" s="776" t="s">
        <v>631</v>
      </c>
      <c r="C4" s="776" t="s">
        <v>632</v>
      </c>
      <c r="D4" s="776" t="s">
        <v>633</v>
      </c>
      <c r="E4" s="777" t="s">
        <v>634</v>
      </c>
      <c r="F4" s="778"/>
      <c r="G4" s="1576"/>
      <c r="H4" s="775" t="s">
        <v>630</v>
      </c>
      <c r="I4" s="776" t="s">
        <v>631</v>
      </c>
      <c r="J4" s="776" t="s">
        <v>632</v>
      </c>
      <c r="K4" s="776" t="s">
        <v>633</v>
      </c>
      <c r="L4" s="777" t="s">
        <v>634</v>
      </c>
      <c r="M4" s="778"/>
    </row>
    <row r="5" spans="1:33" ht="18" customHeight="1">
      <c r="A5" s="779">
        <v>1</v>
      </c>
      <c r="B5" s="780" t="s">
        <v>2457</v>
      </c>
      <c r="C5" s="54">
        <f ca="1">C6+C10+C12</f>
        <v>5376</v>
      </c>
      <c r="D5" s="2458" t="s">
        <v>2460</v>
      </c>
      <c r="E5" s="2452"/>
      <c r="F5" s="2453"/>
      <c r="G5" s="1576"/>
      <c r="H5" s="779">
        <v>1</v>
      </c>
      <c r="I5" s="780" t="s">
        <v>2457</v>
      </c>
      <c r="J5" s="54">
        <f ca="1">J6+J10+J12</f>
        <v>0</v>
      </c>
      <c r="K5" s="2458" t="s">
        <v>2460</v>
      </c>
      <c r="L5" s="2452"/>
      <c r="M5" s="2453"/>
    </row>
    <row r="6" spans="1:33" ht="18" customHeight="1">
      <c r="A6" s="1813" t="s">
        <v>1823</v>
      </c>
      <c r="B6" s="3464" t="s">
        <v>2462</v>
      </c>
      <c r="C6" s="781">
        <f ca="1">ROUND(F6*F8*F7*(1-F9)/10000,0)</f>
        <v>5376</v>
      </c>
      <c r="D6" s="2459" t="s">
        <v>2461</v>
      </c>
      <c r="E6" s="782" t="s">
        <v>637</v>
      </c>
      <c r="F6" s="783">
        <f ca="1">INDIRECT("'数据-取费表'!u"&amp;$G$1)</f>
        <v>0.8</v>
      </c>
      <c r="G6" s="1576"/>
      <c r="H6" s="2466" t="s">
        <v>1823</v>
      </c>
      <c r="I6" s="3464" t="s">
        <v>2462</v>
      </c>
      <c r="J6" s="781">
        <f ca="1">ROUND(M6*M8*M7*(1-M9)/10000,0)</f>
        <v>0</v>
      </c>
      <c r="K6" s="340" t="s">
        <v>636</v>
      </c>
      <c r="L6" s="782" t="s">
        <v>637</v>
      </c>
      <c r="M6" s="783">
        <f ca="1">INDIRECT("'数据-取费表'!z"&amp;$G$1)</f>
        <v>0</v>
      </c>
    </row>
    <row r="7" spans="1:33" ht="18" customHeight="1">
      <c r="A7" s="2462"/>
      <c r="B7" s="3465"/>
      <c r="C7" s="786"/>
      <c r="D7" s="787"/>
      <c r="E7" s="782" t="s">
        <v>638</v>
      </c>
      <c r="F7" s="783">
        <f ca="1">IF(INDIRECT("'数据-取费表'!ah"&amp;$G$1)="",INDIRECT("'数据-取费表'!k"&amp;$G$1),INDIRECT("'数据-取费表'!ah"&amp;$G$1))</f>
        <v>204575</v>
      </c>
      <c r="G7" s="1576"/>
      <c r="H7" s="2451"/>
      <c r="I7" s="3465"/>
      <c r="J7" s="786"/>
      <c r="K7" s="787"/>
      <c r="L7" s="782" t="s">
        <v>638</v>
      </c>
      <c r="M7" s="783">
        <f ca="1">F7</f>
        <v>204575</v>
      </c>
    </row>
    <row r="8" spans="1:33" ht="18" customHeight="1">
      <c r="A8" s="2455"/>
      <c r="B8" s="3466"/>
      <c r="C8" s="786"/>
      <c r="D8" s="787"/>
      <c r="E8" s="782" t="s">
        <v>639</v>
      </c>
      <c r="F8" s="783">
        <f ca="1">INDIRECT("'数据-取费表'!ai"&amp;$G$1)</f>
        <v>365</v>
      </c>
      <c r="G8" s="1576"/>
      <c r="H8" s="2451"/>
      <c r="I8" s="3466"/>
      <c r="J8" s="786"/>
      <c r="K8" s="787"/>
      <c r="L8" s="782" t="s">
        <v>639</v>
      </c>
      <c r="M8" s="783">
        <f ca="1">INDIRECT("'数据-取费表'!ai"&amp;$G$1)</f>
        <v>365</v>
      </c>
    </row>
    <row r="9" spans="1:33" ht="18" customHeight="1">
      <c r="A9" s="784"/>
      <c r="B9" s="3467"/>
      <c r="C9" s="786"/>
      <c r="D9" s="787"/>
      <c r="E9" s="782" t="s">
        <v>640</v>
      </c>
      <c r="F9" s="792">
        <f ca="1">INDIRECT("'数据-取费表'!w"&amp;$G$1)</f>
        <v>0.1</v>
      </c>
      <c r="G9" s="1576"/>
      <c r="H9" s="2467"/>
      <c r="I9" s="3466"/>
      <c r="J9" s="786"/>
      <c r="K9" s="787"/>
      <c r="L9" s="793" t="s">
        <v>640</v>
      </c>
      <c r="M9" s="794">
        <f ca="1">INDIRECT("'数据-取费表'!ab"&amp;$G$1)</f>
        <v>0</v>
      </c>
    </row>
    <row r="10" spans="1:33" ht="18" customHeight="1">
      <c r="A10" s="1813" t="s">
        <v>1824</v>
      </c>
      <c r="B10" s="2456" t="s">
        <v>2458</v>
      </c>
      <c r="C10" s="797">
        <f ca="1">ROUND(IF(F10="押一",C6/12*F11,IF(F10="押二",C6/12*2*F11,IF(F10="押三",C6/12*3*F11,C11*F11))),0)</f>
        <v>0</v>
      </c>
      <c r="D10" s="2463" t="s">
        <v>2974</v>
      </c>
      <c r="E10" s="2460" t="s">
        <v>2463</v>
      </c>
      <c r="F10" s="2583"/>
      <c r="G10" s="1576"/>
      <c r="H10" s="2523" t="s">
        <v>1824</v>
      </c>
      <c r="I10" s="2528" t="s">
        <v>2458</v>
      </c>
      <c r="J10" s="781">
        <f ca="1">ROUND(IF(M10="押一",J6/12*M11,IF(M10="押二",J6/12*2*M11,IF(M10="押三",J6/12*3*M11,J11*M11))),0)</f>
        <v>0</v>
      </c>
      <c r="K10" s="2463" t="s">
        <v>2974</v>
      </c>
      <c r="L10" s="2460" t="s">
        <v>2463</v>
      </c>
      <c r="M10" s="2583"/>
    </row>
    <row r="11" spans="1:33" ht="18" customHeight="1">
      <c r="A11" s="788"/>
      <c r="B11" s="2457" t="s">
        <v>2572</v>
      </c>
      <c r="C11" s="2461"/>
      <c r="D11" s="787"/>
      <c r="E11" s="2460" t="s">
        <v>2455</v>
      </c>
      <c r="F11" s="794">
        <f ca="1">'数据-取费表'!B39</f>
        <v>1.4999999999999999E-2</v>
      </c>
      <c r="G11" s="1576"/>
      <c r="H11" s="2524"/>
      <c r="I11" s="2457" t="s">
        <v>2572</v>
      </c>
      <c r="J11" s="2461"/>
      <c r="K11" s="2525"/>
      <c r="L11" s="2460" t="s">
        <v>2455</v>
      </c>
      <c r="M11" s="2454">
        <f ca="1">'数据-取费表'!B39</f>
        <v>1.4999999999999999E-2</v>
      </c>
    </row>
    <row r="12" spans="1:33" ht="18" customHeight="1" thickBot="1">
      <c r="A12" s="2499" t="s">
        <v>2466</v>
      </c>
      <c r="B12" s="2500" t="s">
        <v>2459</v>
      </c>
      <c r="C12" s="2501"/>
      <c r="D12" s="2502"/>
      <c r="E12" s="2503"/>
      <c r="F12" s="2504"/>
      <c r="G12" s="1576"/>
      <c r="H12" s="2513" t="s">
        <v>2466</v>
      </c>
      <c r="I12" s="2526" t="s">
        <v>2459</v>
      </c>
      <c r="J12" s="2527"/>
      <c r="K12" s="2502"/>
      <c r="L12" s="2503"/>
      <c r="M12" s="2516"/>
    </row>
    <row r="13" spans="1:33" ht="18" customHeight="1" thickTop="1">
      <c r="A13" s="1812">
        <v>2</v>
      </c>
      <c r="B13" s="1810" t="s">
        <v>644</v>
      </c>
      <c r="C13" s="790">
        <f ca="1">ROUND(C29*F13,0)</f>
        <v>83490</v>
      </c>
      <c r="D13" s="1817" t="s">
        <v>2296</v>
      </c>
      <c r="E13" s="1817" t="s">
        <v>643</v>
      </c>
      <c r="F13" s="2498">
        <f ca="1">INDIRECT("'数据-取费表'!y"&amp;$G$1)</f>
        <v>1</v>
      </c>
      <c r="G13" s="1576"/>
      <c r="H13" s="1812">
        <v>2</v>
      </c>
      <c r="I13" s="1810" t="s">
        <v>644</v>
      </c>
      <c r="J13" s="1802">
        <f ca="1">ROUND(J14*J15,0)</f>
        <v>0</v>
      </c>
      <c r="K13" s="1804" t="s">
        <v>642</v>
      </c>
      <c r="L13" s="2514"/>
      <c r="M13" s="2515"/>
    </row>
    <row r="14" spans="1:33" ht="18" customHeight="1">
      <c r="A14" s="1631" t="s">
        <v>1830</v>
      </c>
      <c r="B14" s="782" t="s">
        <v>645</v>
      </c>
      <c r="C14" s="802">
        <f ca="1">INDIRECT("'数据-取费表'!m"&amp;$G$1)+INDIRECT("'数据-取费表'!t"&amp;$G$1)</f>
        <v>57056</v>
      </c>
      <c r="D14" s="3184" t="s">
        <v>646</v>
      </c>
      <c r="E14" s="3183"/>
      <c r="F14" s="803"/>
      <c r="G14" s="1576"/>
      <c r="H14" s="1632" t="s">
        <v>1823</v>
      </c>
      <c r="I14" s="2214" t="s">
        <v>2823</v>
      </c>
      <c r="J14" s="52">
        <f ca="1">C29</f>
        <v>83490</v>
      </c>
      <c r="K14" s="25"/>
      <c r="L14" s="799"/>
      <c r="M14" s="800"/>
    </row>
    <row r="15" spans="1:33" s="2047" customFormat="1" ht="18" customHeight="1" thickBot="1">
      <c r="A15" s="1631" t="s">
        <v>1831</v>
      </c>
      <c r="B15" s="782" t="s">
        <v>647</v>
      </c>
      <c r="C15" s="52">
        <f ca="1">ROUND(C14*F15,0)</f>
        <v>1712</v>
      </c>
      <c r="D15" s="804" t="s">
        <v>648</v>
      </c>
      <c r="E15" s="804" t="s">
        <v>649</v>
      </c>
      <c r="F15" s="805">
        <f>'数据-取费表'!B33</f>
        <v>0.03</v>
      </c>
      <c r="G15" s="1577"/>
      <c r="H15" s="2513" t="s">
        <v>1888</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1832</v>
      </c>
      <c r="B16" s="782" t="s">
        <v>650</v>
      </c>
      <c r="C16" s="52">
        <f ca="1">ROUND(INDIRECT("'数据-取费表'!m"&amp;$G$1)*F16,0)</f>
        <v>0</v>
      </c>
      <c r="D16" s="782" t="s">
        <v>648</v>
      </c>
      <c r="E16" s="782" t="s">
        <v>649</v>
      </c>
      <c r="F16" s="807">
        <f ca="1">IF(INDIRECT("'数据-取费表'!c"&amp;$G$1)="住宅",'数据-取费表'!B34,0)</f>
        <v>0</v>
      </c>
      <c r="G16" s="1576"/>
      <c r="H16" s="1812" t="s">
        <v>1747</v>
      </c>
      <c r="I16" s="1810" t="s">
        <v>651</v>
      </c>
      <c r="J16" s="790">
        <f ca="1">ROUND(J17+J22+J23+J24,0)</f>
        <v>8352</v>
      </c>
      <c r="K16" s="1804" t="s">
        <v>652</v>
      </c>
      <c r="L16" s="3186"/>
      <c r="M16" s="2453"/>
    </row>
    <row r="17" spans="1:33" s="2047" customFormat="1" ht="18" customHeight="1">
      <c r="A17" s="1631" t="s">
        <v>1886</v>
      </c>
      <c r="B17" s="782" t="s">
        <v>653</v>
      </c>
      <c r="C17" s="52">
        <f ca="1">ROUND(F17*(F43+INDIRECT("'数据-取费表'!S"&amp;$G$1))/10000,0)</f>
        <v>5943</v>
      </c>
      <c r="D17" s="782" t="s">
        <v>654</v>
      </c>
      <c r="E17" s="782" t="s">
        <v>655</v>
      </c>
      <c r="F17" s="55">
        <f>'数据-取费表'!B35</f>
        <v>250</v>
      </c>
      <c r="G17" s="1577"/>
      <c r="H17" s="1632" t="s">
        <v>1823</v>
      </c>
      <c r="I17" s="782" t="s">
        <v>656</v>
      </c>
      <c r="J17" s="52">
        <f ca="1">ROUND(IF(项目基本情况!B11="自然人",J5*M17,J18+J19+J20),0)</f>
        <v>7100</v>
      </c>
      <c r="K17" s="3184" t="s">
        <v>657</v>
      </c>
      <c r="L17" s="3185" t="s">
        <v>658</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2" t="s">
        <v>659</v>
      </c>
      <c r="C18" s="52">
        <f ca="1">ROUND(C14*F18,0)</f>
        <v>856</v>
      </c>
      <c r="D18" s="782" t="s">
        <v>648</v>
      </c>
      <c r="E18" s="782" t="s">
        <v>649</v>
      </c>
      <c r="F18" s="807">
        <f>'数据-取费表'!B36</f>
        <v>1.4999999999999999E-2</v>
      </c>
      <c r="G18" s="1577"/>
      <c r="H18" s="1631" t="s">
        <v>1830</v>
      </c>
      <c r="I18" s="782" t="s">
        <v>660</v>
      </c>
      <c r="J18" s="52">
        <f ca="1">ROUND(J5*M18/1.05,1)</f>
        <v>0</v>
      </c>
      <c r="K18" s="3185" t="s">
        <v>661</v>
      </c>
      <c r="L18" s="782" t="s">
        <v>649</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1823</v>
      </c>
      <c r="B19" s="782" t="s">
        <v>662</v>
      </c>
      <c r="C19" s="52">
        <f ca="1">SUM(C14:C18)</f>
        <v>65567</v>
      </c>
      <c r="D19" s="260" t="s">
        <v>663</v>
      </c>
      <c r="E19" s="3187"/>
      <c r="F19" s="55"/>
      <c r="G19" s="1576"/>
      <c r="H19" s="1631" t="s">
        <v>1831</v>
      </c>
      <c r="I19" s="782" t="s">
        <v>664</v>
      </c>
      <c r="J19" s="52">
        <f ca="1">IF(K19="按租金收入计税",ROUND(J5*M19,1),ROUND(C29*F33*0.7,1))</f>
        <v>7013.2</v>
      </c>
      <c r="K19" s="809" t="s">
        <v>665</v>
      </c>
      <c r="L19" s="782" t="s">
        <v>649</v>
      </c>
      <c r="M19" s="807">
        <f>IF(K19="按租金收入计税",'数据-取费表'!B51,'数据-取费表'!B50)</f>
        <v>1.2E-2</v>
      </c>
    </row>
    <row r="20" spans="1:33" s="2047" customFormat="1" ht="18" customHeight="1">
      <c r="A20" s="1632" t="s">
        <v>1888</v>
      </c>
      <c r="B20" s="782" t="s">
        <v>666</v>
      </c>
      <c r="C20" s="52">
        <f ca="1">ROUND(C19*F20,0)</f>
        <v>1311</v>
      </c>
      <c r="D20" s="810" t="s">
        <v>667</v>
      </c>
      <c r="E20" s="782" t="s">
        <v>649</v>
      </c>
      <c r="F20" s="807">
        <f>'数据-取费表'!B37</f>
        <v>0.02</v>
      </c>
      <c r="G20" s="1577"/>
      <c r="H20" s="1634" t="s">
        <v>1832</v>
      </c>
      <c r="I20" s="340" t="s">
        <v>668</v>
      </c>
      <c r="J20" s="53">
        <f ca="1">ROUND(M20*M21/10000,0)</f>
        <v>87</v>
      </c>
      <c r="K20" s="812" t="s">
        <v>669</v>
      </c>
      <c r="L20" s="782" t="s">
        <v>670</v>
      </c>
      <c r="M20" s="638">
        <f>'数据-取费表'!B52</f>
        <v>12</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2" t="s">
        <v>671</v>
      </c>
      <c r="C21" s="52" t="s">
        <v>1763</v>
      </c>
      <c r="D21" s="810" t="s">
        <v>2297</v>
      </c>
      <c r="E21" s="782" t="s">
        <v>673</v>
      </c>
      <c r="F21" s="807">
        <f>'数据-取费表'!B38</f>
        <v>0.02</v>
      </c>
      <c r="G21" s="1577"/>
      <c r="H21" s="2468"/>
      <c r="I21" s="791"/>
      <c r="J21" s="68"/>
      <c r="K21" s="814"/>
      <c r="L21" s="782" t="s">
        <v>674</v>
      </c>
      <c r="M21" s="783">
        <f ca="1">INDIRECT("'数据-取费表'!r"&amp;$G$1)</f>
        <v>72297.33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2" t="s">
        <v>675</v>
      </c>
      <c r="C22" s="52"/>
      <c r="D22" s="2534" t="str">
        <f>IF(F23&lt;=1,"单利计息。","复利计息。")&amp;"建造成本、管理费用、销售费用产生的利息。"</f>
        <v>复利计息。建造成本、管理费用、销售费用产生的利息。</v>
      </c>
      <c r="E22" s="3187"/>
      <c r="F22" s="55"/>
      <c r="G22" s="1576"/>
      <c r="H22" s="1632" t="s">
        <v>1888</v>
      </c>
      <c r="I22" s="782" t="s">
        <v>676</v>
      </c>
      <c r="J22" s="52">
        <f ca="1">ROUND(J14*M22,0)</f>
        <v>1252</v>
      </c>
      <c r="K22" s="3185" t="s">
        <v>677</v>
      </c>
      <c r="L22" s="782" t="s">
        <v>649</v>
      </c>
      <c r="M22" s="815">
        <f ca="1">INDIRECT("'数据-取费表'!Ak"&amp;$G$1)</f>
        <v>1.4999999999999999E-2</v>
      </c>
    </row>
    <row r="23" spans="1:33" s="2047" customFormat="1" ht="18" customHeight="1">
      <c r="A23" s="1631" t="s">
        <v>1830</v>
      </c>
      <c r="B23" s="782" t="s">
        <v>2436</v>
      </c>
      <c r="C23" s="52">
        <f ca="1">ROUND(IF('数据-取费表'!B22&lt;=1,(C19+C20)*F24*F23/2,(C19+C20)*(POWER((1+F24),F23/2)-1)),0)</f>
        <v>8227</v>
      </c>
      <c r="D23" s="2533" t="str">
        <f>IF(F23&lt;=1,"(建造成本+管理费用)×利率×(建设周期÷2)","(建造成本+管理费用)×((1+利率)^(建设周期÷2)-1)")</f>
        <v>(建造成本+管理费用)×((1+利率)^(建设周期÷2)-1)</v>
      </c>
      <c r="E23" s="782" t="s">
        <v>678</v>
      </c>
      <c r="F23" s="638">
        <f>'数据-取费表'!B20</f>
        <v>5</v>
      </c>
      <c r="G23" s="1577"/>
      <c r="H23" s="1632" t="s">
        <v>1889</v>
      </c>
      <c r="I23" s="782" t="s">
        <v>679</v>
      </c>
      <c r="J23" s="52">
        <f ca="1">ROUND(J13*M23,0)</f>
        <v>0</v>
      </c>
      <c r="K23" s="3185" t="s">
        <v>680</v>
      </c>
      <c r="L23" s="782" t="s">
        <v>649</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2" t="s">
        <v>681</v>
      </c>
      <c r="C24" s="52">
        <f ca="1">ROUND(IF('数据-取费表'!B22&lt;=1,F21*F24*F23/2,F21*(POWER((1+F24),F23/2)-1)),4)</f>
        <v>2.5000000000000001E-3</v>
      </c>
      <c r="D24" s="2533" t="str">
        <f>IF(F23&lt;=1,"销售费用×利率×(建设周期÷2)","销售费用×((1+利率)^(建设周期÷2)-1)")</f>
        <v>销售费用×((1+利率)^(建设周期÷2)-1)</v>
      </c>
      <c r="E24" s="782" t="s">
        <v>682</v>
      </c>
      <c r="F24" s="817">
        <f ca="1">'数据-取费表'!B40</f>
        <v>4.7500000000000001E-2</v>
      </c>
      <c r="G24" s="1577"/>
      <c r="H24" s="2513" t="s">
        <v>1890</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2" t="s">
        <v>684</v>
      </c>
      <c r="C25" s="52"/>
      <c r="D25" s="260" t="s">
        <v>685</v>
      </c>
      <c r="E25" s="3187"/>
      <c r="F25" s="55"/>
      <c r="G25" s="1576"/>
      <c r="H25" s="1812" t="s">
        <v>1775</v>
      </c>
      <c r="I25" s="2960" t="s">
        <v>2820</v>
      </c>
      <c r="J25" s="790">
        <f ca="1">J5-J16</f>
        <v>-8352</v>
      </c>
      <c r="K25" s="2510" t="s">
        <v>700</v>
      </c>
      <c r="L25" s="2511"/>
      <c r="M25" s="2512"/>
    </row>
    <row r="26" spans="1:33" ht="18" customHeight="1">
      <c r="A26" s="1631" t="s">
        <v>1830</v>
      </c>
      <c r="B26" s="782" t="s">
        <v>2437</v>
      </c>
      <c r="C26" s="52">
        <f ca="1">ROUND((C19+C20)*F26,0)</f>
        <v>2006</v>
      </c>
      <c r="D26" s="810" t="s">
        <v>701</v>
      </c>
      <c r="E26" s="793" t="s">
        <v>702</v>
      </c>
      <c r="F26" s="792">
        <f ca="1">INDIRECT("'数据-取费表'!q"&amp;$G$1)</f>
        <v>0.03</v>
      </c>
      <c r="G26" s="1576"/>
      <c r="H26" s="2464" t="s">
        <v>1779</v>
      </c>
      <c r="I26" s="2215" t="s">
        <v>2825</v>
      </c>
      <c r="J26" s="781">
        <f ca="1">IF(J5&lt;&gt;0,ROUND(J25*(1-((1+M28)/(1+M26))^M27)/(M26-M28),0),0)</f>
        <v>0</v>
      </c>
      <c r="K26" s="812" t="s">
        <v>704</v>
      </c>
      <c r="L26" s="782" t="s">
        <v>2418</v>
      </c>
      <c r="M26" s="792">
        <f ca="1">INDIRECT("'数据-取费表'!I"&amp;$G$1)</f>
        <v>0.05</v>
      </c>
    </row>
    <row r="27" spans="1:33" ht="18" customHeight="1">
      <c r="A27" s="1631" t="s">
        <v>1831</v>
      </c>
      <c r="B27" s="782" t="s">
        <v>686</v>
      </c>
      <c r="C27" s="52">
        <f ca="1">ROUND(F21*F26,4)</f>
        <v>5.9999999999999995E-4</v>
      </c>
      <c r="D27" s="810" t="s">
        <v>706</v>
      </c>
      <c r="E27" s="804"/>
      <c r="F27" s="805"/>
      <c r="G27" s="1576"/>
      <c r="H27" s="2465"/>
      <c r="I27" s="785"/>
      <c r="J27" s="786"/>
      <c r="K27" s="819" t="s">
        <v>707</v>
      </c>
      <c r="L27" s="782" t="s">
        <v>708</v>
      </c>
      <c r="M27" s="820">
        <f ca="1">INDIRECT("'数据-取费表'!ag"&amp;$G$1)</f>
        <v>0</v>
      </c>
    </row>
    <row r="28" spans="1:33" s="2047" customFormat="1" ht="18" customHeight="1">
      <c r="A28" s="1633" t="s">
        <v>1840</v>
      </c>
      <c r="B28" s="782" t="s">
        <v>687</v>
      </c>
      <c r="C28" s="52">
        <f>ROUND(F28/(1+'数据-取费表'!C42),4)</f>
        <v>5.33E-2</v>
      </c>
      <c r="D28" s="810" t="s">
        <v>2298</v>
      </c>
      <c r="E28" s="782" t="s">
        <v>649</v>
      </c>
      <c r="F28" s="807">
        <f>'数据-取费表'!B41</f>
        <v>5.6000000000000001E-2</v>
      </c>
      <c r="G28" s="1577"/>
      <c r="H28" s="1812"/>
      <c r="I28" s="789"/>
      <c r="J28" s="790"/>
      <c r="K28" s="814"/>
      <c r="L28" s="782" t="s">
        <v>710</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83490</v>
      </c>
      <c r="D29" s="2507"/>
      <c r="E29" s="2508"/>
      <c r="F29" s="2509"/>
      <c r="G29" s="1577"/>
      <c r="H29" s="821" t="s">
        <v>1786</v>
      </c>
      <c r="I29" s="822" t="s">
        <v>1787</v>
      </c>
      <c r="J29" s="823">
        <f ca="1">ROUND(J26/(1+F40)^F41,0)</f>
        <v>0</v>
      </c>
      <c r="K29" s="824" t="s">
        <v>688</v>
      </c>
      <c r="L29" s="825"/>
      <c r="M29" s="826">
        <f ca="1">INDIRECT("'数据-取费表'!k"&amp;$G$1)</f>
        <v>204575</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1747</v>
      </c>
      <c r="B30" s="1810" t="s">
        <v>651</v>
      </c>
      <c r="C30" s="790">
        <f ca="1">ROUND(C31+C36+C37+C38,0)</f>
        <v>2450</v>
      </c>
      <c r="D30" s="1804" t="s">
        <v>652</v>
      </c>
      <c r="E30" s="3186"/>
      <c r="F30" s="2453"/>
      <c r="G30" s="2045"/>
      <c r="H30" s="2048"/>
      <c r="I30" s="2049"/>
      <c r="J30" s="2050"/>
      <c r="K30" s="2051"/>
      <c r="L30" s="2052"/>
      <c r="M30" s="2053"/>
    </row>
    <row r="31" spans="1:33" ht="18" customHeight="1">
      <c r="A31" s="1632" t="s">
        <v>1823</v>
      </c>
      <c r="B31" s="782" t="s">
        <v>656</v>
      </c>
      <c r="C31" s="52">
        <f ca="1">ROUND(IF(项目基本情况!B11="自然人",C5*F31,C32+C33+C34),1)</f>
        <v>1018.6</v>
      </c>
      <c r="D31" s="3184" t="s">
        <v>657</v>
      </c>
      <c r="E31" s="3185" t="s">
        <v>690</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2" t="s">
        <v>660</v>
      </c>
      <c r="C32" s="52">
        <f ca="1">ROUND(C5*F32/1.05,1)</f>
        <v>286.7</v>
      </c>
      <c r="D32" s="3185" t="s">
        <v>661</v>
      </c>
      <c r="E32" s="782" t="s">
        <v>649</v>
      </c>
      <c r="F32" s="807">
        <f>'数据-取费表'!B41</f>
        <v>5.6000000000000001E-2</v>
      </c>
      <c r="G32" s="2045"/>
      <c r="H32" s="2054"/>
      <c r="I32" s="2055"/>
      <c r="J32" s="2056"/>
      <c r="K32" s="2057"/>
      <c r="L32" s="2058"/>
      <c r="M32" s="2059"/>
    </row>
    <row r="33" spans="1:18" ht="18" customHeight="1">
      <c r="A33" s="1631" t="s">
        <v>1831</v>
      </c>
      <c r="B33" s="782" t="s">
        <v>664</v>
      </c>
      <c r="C33" s="52">
        <f ca="1">IF(D33="按租金收入计税",ROUND(C5*F33,1),IF(D33="按房产原值计税",ROUND(C29*F33*0.7,1),INDIRECT("'数据-取费表'!Aj"&amp;$G$1)))</f>
        <v>645.1</v>
      </c>
      <c r="D33" s="809" t="s">
        <v>3001</v>
      </c>
      <c r="E33" s="782" t="s">
        <v>649</v>
      </c>
      <c r="F33" s="807">
        <f>IF(D33="按租金收入计税",'数据-取费表'!B51,'数据-取费表'!B50)</f>
        <v>0.12</v>
      </c>
      <c r="G33" s="2045"/>
      <c r="H33" s="2060"/>
      <c r="I33" s="2060"/>
      <c r="J33" s="2060"/>
      <c r="K33" s="2061"/>
      <c r="L33" s="2060"/>
      <c r="M33" s="2060"/>
    </row>
    <row r="34" spans="1:18" ht="18" customHeight="1">
      <c r="A34" s="1634" t="s">
        <v>1832</v>
      </c>
      <c r="B34" s="340" t="s">
        <v>668</v>
      </c>
      <c r="C34" s="53">
        <f ca="1">ROUND(F34*F35/10000,1)</f>
        <v>86.8</v>
      </c>
      <c r="D34" s="812" t="s">
        <v>669</v>
      </c>
      <c r="E34" s="782" t="s">
        <v>670</v>
      </c>
      <c r="F34" s="638">
        <f>'数据-取费表'!B52</f>
        <v>12</v>
      </c>
      <c r="G34" s="2045"/>
      <c r="H34" s="2048"/>
      <c r="I34" s="833" t="s">
        <v>1812</v>
      </c>
      <c r="J34" s="834"/>
      <c r="K34" s="2063"/>
      <c r="L34" s="2062"/>
      <c r="M34" s="2062"/>
    </row>
    <row r="35" spans="1:18" ht="18" customHeight="1">
      <c r="A35" s="813"/>
      <c r="B35" s="791"/>
      <c r="C35" s="68"/>
      <c r="D35" s="814"/>
      <c r="E35" s="782" t="s">
        <v>674</v>
      </c>
      <c r="F35" s="783">
        <f ca="1">INDIRECT("'数据-取费表'!r"&amp;$G$1)</f>
        <v>72297.33</v>
      </c>
      <c r="G35" s="2045"/>
      <c r="H35" s="2048"/>
      <c r="I35" s="835" t="s">
        <v>1813</v>
      </c>
      <c r="J35" s="836">
        <f ca="1">ROUND(C13*J36,0)</f>
        <v>7097</v>
      </c>
      <c r="K35" s="2061"/>
      <c r="L35" s="2060"/>
      <c r="M35" s="2060"/>
    </row>
    <row r="36" spans="1:18" ht="18" customHeight="1">
      <c r="A36" s="1632" t="s">
        <v>1888</v>
      </c>
      <c r="B36" s="782" t="s">
        <v>676</v>
      </c>
      <c r="C36" s="52">
        <f ca="1">ROUND(C29*F36,1)</f>
        <v>1252.4000000000001</v>
      </c>
      <c r="D36" s="3185" t="s">
        <v>691</v>
      </c>
      <c r="E36" s="782" t="s">
        <v>649</v>
      </c>
      <c r="F36" s="815">
        <f ca="1">INDIRECT("'数据-取费表'!Ak"&amp;$G$1)</f>
        <v>1.4999999999999999E-2</v>
      </c>
      <c r="G36" s="2045"/>
      <c r="H36" s="2060"/>
      <c r="I36" s="837" t="s">
        <v>1814</v>
      </c>
      <c r="J36" s="838">
        <f ca="1">INDIRECT("'数据-取费表'!j"&amp;$G$1)</f>
        <v>8.5000000000000006E-2</v>
      </c>
      <c r="K36" s="2065"/>
      <c r="L36" s="2060"/>
      <c r="M36" s="2060"/>
    </row>
    <row r="37" spans="1:18" ht="18" customHeight="1">
      <c r="A37" s="1632" t="s">
        <v>1889</v>
      </c>
      <c r="B37" s="782" t="s">
        <v>679</v>
      </c>
      <c r="C37" s="52">
        <f ca="1">ROUND(C13*F37,1)</f>
        <v>125.2</v>
      </c>
      <c r="D37" s="3185" t="s">
        <v>680</v>
      </c>
      <c r="E37" s="782" t="s">
        <v>649</v>
      </c>
      <c r="F37" s="816">
        <f ca="1">INDIRECT("'数据-取费表'!Al"&amp;$G$1)</f>
        <v>1.5E-3</v>
      </c>
      <c r="G37" s="2045"/>
      <c r="H37" s="2060"/>
      <c r="I37" s="839" t="s">
        <v>1815</v>
      </c>
      <c r="J37" s="840"/>
      <c r="K37" s="2065"/>
      <c r="L37" s="2060"/>
      <c r="M37" s="2060"/>
    </row>
    <row r="38" spans="1:18" ht="18" customHeight="1" thickBot="1">
      <c r="A38" s="2513" t="s">
        <v>1890</v>
      </c>
      <c r="B38" s="2508" t="s">
        <v>666</v>
      </c>
      <c r="C38" s="2506">
        <f ca="1">ROUND(C5*F38,1)</f>
        <v>53.8</v>
      </c>
      <c r="D38" s="2507" t="s">
        <v>683</v>
      </c>
      <c r="E38" s="2508" t="s">
        <v>649</v>
      </c>
      <c r="F38" s="2504">
        <f ca="1">INDIRECT("'数据-取费表'!Am"&amp;$G$1)</f>
        <v>0.01</v>
      </c>
      <c r="G38" s="2045"/>
      <c r="H38" s="2060"/>
      <c r="I38" s="841" t="s">
        <v>1816</v>
      </c>
      <c r="J38" s="842"/>
      <c r="K38" s="2066"/>
      <c r="L38" s="2060"/>
      <c r="M38" s="2060"/>
    </row>
    <row r="39" spans="1:18" ht="24.6" customHeight="1" thickTop="1">
      <c r="A39" s="1812" t="s">
        <v>1775</v>
      </c>
      <c r="B39" s="2960" t="s">
        <v>2820</v>
      </c>
      <c r="C39" s="790">
        <f ca="1">C5-C30</f>
        <v>2926</v>
      </c>
      <c r="D39" s="2510" t="s">
        <v>700</v>
      </c>
      <c r="E39" s="2511"/>
      <c r="F39" s="2512"/>
      <c r="G39" s="2045"/>
      <c r="H39" s="2060"/>
      <c r="I39" s="835" t="s">
        <v>1817</v>
      </c>
      <c r="J39" s="843">
        <f ca="1">ROUND(J35/C39,3)</f>
        <v>2.4249999999999998</v>
      </c>
      <c r="K39" s="2066"/>
      <c r="L39" s="2060"/>
      <c r="M39" s="2060"/>
    </row>
    <row r="40" spans="1:18" ht="18" customHeight="1">
      <c r="A40" s="779" t="s">
        <v>1779</v>
      </c>
      <c r="B40" s="2215" t="s">
        <v>2300</v>
      </c>
      <c r="C40" s="781">
        <f ca="1">ROUND(C39*(1-((1+F42)/(1+F40))^F41)/(F40-F42),0)</f>
        <v>61959</v>
      </c>
      <c r="D40" s="812" t="s">
        <v>704</v>
      </c>
      <c r="E40" s="782" t="s">
        <v>2418</v>
      </c>
      <c r="F40" s="792">
        <f ca="1">INDIRECT("'数据-取费表'!I"&amp;$G$1)</f>
        <v>0.05</v>
      </c>
      <c r="G40" s="2045"/>
      <c r="H40" s="2045"/>
      <c r="I40" s="835" t="s">
        <v>1818</v>
      </c>
      <c r="J40" s="843">
        <f ca="1">1-J39</f>
        <v>-1.4249999999999998</v>
      </c>
      <c r="K40" s="2066"/>
      <c r="L40" s="2045"/>
      <c r="M40" s="2045"/>
    </row>
    <row r="41" spans="1:18" ht="18" customHeight="1">
      <c r="A41" s="784"/>
      <c r="B41" s="785"/>
      <c r="C41" s="786"/>
      <c r="D41" s="819" t="s">
        <v>1807</v>
      </c>
      <c r="E41" s="782" t="s">
        <v>708</v>
      </c>
      <c r="F41" s="820">
        <f ca="1">IF(INDIRECT("'数据-取费表'!af"&amp;$G$1)=0,INDIRECT("'数据-取费表'!ae"&amp;$G$1),INDIRECT("'数据-取费表'!af"&amp;$G$1))</f>
        <v>28.64</v>
      </c>
      <c r="G41" s="2045"/>
      <c r="H41" s="1971"/>
      <c r="I41" s="841" t="s">
        <v>1819</v>
      </c>
      <c r="J41" s="844"/>
      <c r="K41" s="2065"/>
      <c r="L41" s="1971"/>
      <c r="M41" s="1971"/>
    </row>
    <row r="42" spans="1:18" ht="18" customHeight="1">
      <c r="A42" s="788"/>
      <c r="B42" s="789"/>
      <c r="C42" s="790"/>
      <c r="D42" s="814"/>
      <c r="E42" s="782" t="s">
        <v>710</v>
      </c>
      <c r="F42" s="792">
        <f ca="1">INDIRECT("'数据-取费表'!v"&amp;$G$1)</f>
        <v>0.03</v>
      </c>
      <c r="G42" s="2045"/>
      <c r="H42" s="1971"/>
      <c r="I42" s="845" t="s">
        <v>1820</v>
      </c>
      <c r="J42" s="843">
        <f ca="1">ROUND(C13/C40,3)</f>
        <v>1.3480000000000001</v>
      </c>
      <c r="K42" s="2065"/>
      <c r="L42" s="1971"/>
      <c r="M42" s="1971"/>
    </row>
    <row r="43" spans="1:18" ht="18" customHeight="1" thickBot="1">
      <c r="A43" s="821" t="s">
        <v>1786</v>
      </c>
      <c r="B43" s="822" t="s">
        <v>1809</v>
      </c>
      <c r="C43" s="823">
        <f ca="1">ROUND(C40*10000/F43,0)</f>
        <v>3029</v>
      </c>
      <c r="D43" s="824" t="s">
        <v>1810</v>
      </c>
      <c r="E43" s="825" t="s">
        <v>1811</v>
      </c>
      <c r="F43" s="826">
        <f ca="1">INDIRECT("'数据-取费表'!k"&amp;$G$1)</f>
        <v>204575</v>
      </c>
      <c r="G43" s="2045"/>
      <c r="H43" s="1971"/>
      <c r="I43" s="845" t="s">
        <v>1821</v>
      </c>
      <c r="J43" s="846">
        <f ca="1">1-J42</f>
        <v>-0.34800000000000009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-83999</v>
      </c>
      <c r="D46" s="2068"/>
      <c r="E46" s="2068"/>
      <c r="F46" s="2068"/>
      <c r="I46" s="2340" t="s">
        <v>2342</v>
      </c>
      <c r="J46" s="2341"/>
      <c r="K46" s="2342"/>
      <c r="L46" s="3107">
        <f>IF(OR(M47="住宅",D1="土地（套用方法）"),0,IF(L48&gt;J51,L60,J60))</f>
        <v>0</v>
      </c>
      <c r="O46" s="2356" t="s">
        <v>2409</v>
      </c>
      <c r="P46" s="1576"/>
      <c r="Q46" s="1587"/>
      <c r="R46" s="1576"/>
    </row>
    <row r="47" spans="1:18" s="2042" customFormat="1" ht="18" customHeight="1" thickBot="1">
      <c r="A47" s="2334">
        <v>1</v>
      </c>
      <c r="B47" s="2335" t="s">
        <v>635</v>
      </c>
      <c r="C47" s="2536">
        <f ca="1">C48+C52+C54</f>
        <v>0</v>
      </c>
      <c r="D47" s="2068"/>
      <c r="E47" s="2068"/>
      <c r="F47" s="2068"/>
      <c r="I47" s="3097" t="s">
        <v>2343</v>
      </c>
      <c r="J47" s="2343" t="s">
        <v>3000</v>
      </c>
      <c r="K47" s="3104" t="s">
        <v>2348</v>
      </c>
      <c r="L47" s="3108">
        <f ca="1">INDIRECT("'数据-取费表'!d"&amp;$G$1)</f>
        <v>50</v>
      </c>
      <c r="M47" s="1587" t="str">
        <f>IF(ISNUMBER(FIND("住宅",C1)),"住宅","非住宅")</f>
        <v>非住宅</v>
      </c>
      <c r="O47" s="2357" t="s">
        <v>2374</v>
      </c>
      <c r="P47" s="2358" t="s">
        <v>2375</v>
      </c>
      <c r="Q47" s="2359" t="s">
        <v>2376</v>
      </c>
      <c r="R47" s="2358" t="s">
        <v>2377</v>
      </c>
    </row>
    <row r="48" spans="1:18" s="2042" customFormat="1" ht="18" customHeight="1" thickBot="1">
      <c r="A48" s="2604" t="s">
        <v>1869</v>
      </c>
      <c r="B48" s="2605" t="s">
        <v>2537</v>
      </c>
      <c r="C48" s="2336">
        <f ca="1">ROUND(F48*F50*F49*(1-F51)/10000,0)</f>
        <v>0</v>
      </c>
      <c r="D48" s="2337" t="s">
        <v>636</v>
      </c>
      <c r="E48" s="2338" t="s">
        <v>2295</v>
      </c>
      <c r="F48" s="2339"/>
      <c r="G48" s="2073"/>
      <c r="I48" s="3076" t="s">
        <v>2344</v>
      </c>
      <c r="J48" s="2344" t="s">
        <v>2349</v>
      </c>
      <c r="K48" s="3105" t="s">
        <v>2350</v>
      </c>
      <c r="L48" s="1891">
        <f ca="1">INDIRECT("'数据-取费表'!f"&amp;$G$1)</f>
        <v>33.64</v>
      </c>
      <c r="O48" s="2360" t="s">
        <v>2378</v>
      </c>
      <c r="P48" s="2361" t="s">
        <v>2404</v>
      </c>
      <c r="Q48" s="2362">
        <f ca="1">C40+J29</f>
        <v>61959</v>
      </c>
      <c r="R48" s="2361" t="s">
        <v>2379</v>
      </c>
    </row>
    <row r="49" spans="1:18" s="2042" customFormat="1" ht="18" customHeight="1" thickBot="1">
      <c r="A49" s="784"/>
      <c r="B49" s="785"/>
      <c r="C49" s="786"/>
      <c r="D49" s="787"/>
      <c r="E49" s="782" t="s">
        <v>638</v>
      </c>
      <c r="F49" s="783">
        <f ca="1">F7</f>
        <v>204575</v>
      </c>
      <c r="G49" s="2073"/>
      <c r="H49" s="2076"/>
      <c r="I49" s="3076" t="s">
        <v>2345</v>
      </c>
      <c r="J49" s="2345"/>
      <c r="K49" s="3106" t="s">
        <v>2351</v>
      </c>
      <c r="L49" s="2346"/>
      <c r="O49" s="2360" t="s">
        <v>2380</v>
      </c>
      <c r="P49" s="2361" t="s">
        <v>2405</v>
      </c>
      <c r="Q49" s="2362" t="str">
        <f ca="1">J60</f>
        <v>0</v>
      </c>
      <c r="R49" s="2361" t="s">
        <v>2381</v>
      </c>
    </row>
    <row r="50" spans="1:18" s="2042" customFormat="1" ht="18" customHeight="1" thickBot="1">
      <c r="A50" s="784"/>
      <c r="B50" s="785"/>
      <c r="C50" s="786"/>
      <c r="D50" s="787"/>
      <c r="E50" s="782" t="s">
        <v>639</v>
      </c>
      <c r="F50" s="783">
        <f ca="1">F8</f>
        <v>365</v>
      </c>
      <c r="G50" s="2078"/>
      <c r="H50" s="2076"/>
      <c r="I50" s="3076" t="s">
        <v>2346</v>
      </c>
      <c r="J50" s="3101">
        <f>SUMPRODUCT((I63:I65=J47)*(J62:L62=J48)*(J63:L65))</f>
        <v>60</v>
      </c>
      <c r="K50" s="3106" t="s">
        <v>2352</v>
      </c>
      <c r="L50" s="2346"/>
      <c r="O50" s="2363" t="s">
        <v>2382</v>
      </c>
      <c r="P50" s="2361" t="s">
        <v>2406</v>
      </c>
      <c r="Q50" s="2362">
        <f ca="1">C29</f>
        <v>83490</v>
      </c>
      <c r="R50" s="2361" t="s">
        <v>2379</v>
      </c>
    </row>
    <row r="51" spans="1:18" s="2042" customFormat="1" ht="18" customHeight="1" thickBot="1">
      <c r="A51" s="784"/>
      <c r="B51" s="785"/>
      <c r="C51" s="786"/>
      <c r="D51" s="787"/>
      <c r="E51" s="782" t="s">
        <v>640</v>
      </c>
      <c r="F51" s="2333"/>
      <c r="H51" s="2076"/>
      <c r="I51" s="3098" t="s">
        <v>2347</v>
      </c>
      <c r="J51" s="3102">
        <f>IF(J49="",J50,J49+J50-YEAR('数据-取费表'!B2))</f>
        <v>60</v>
      </c>
      <c r="K51" s="3076" t="s">
        <v>2353</v>
      </c>
      <c r="L51" s="3109">
        <f ca="1">ROUND(-PV(INDIRECT("'数据-取费表'!h"&amp;$G$1),L48,(C39-C13*J36),0),0)</f>
        <v>-71599</v>
      </c>
      <c r="O51" s="2363" t="s">
        <v>2383</v>
      </c>
      <c r="P51" s="2361" t="s">
        <v>2384</v>
      </c>
      <c r="Q51" s="2364" t="e">
        <f ca="1">J58</f>
        <v>#VALUE!</v>
      </c>
      <c r="R51" s="2365"/>
    </row>
    <row r="52" spans="1:18" s="2042" customFormat="1" ht="18" customHeight="1" thickBot="1">
      <c r="A52" s="779" t="s">
        <v>2535</v>
      </c>
      <c r="B52" s="2456" t="s">
        <v>2458</v>
      </c>
      <c r="C52" s="797">
        <f ca="1">ROUND(IF(F52="押一",C48/12*F11,IF(F52="押二",C48/12*2*F11,IF(F52="押三",C48/12*3*F11,C53*F11))),0)</f>
        <v>0</v>
      </c>
      <c r="D52" s="2463" t="s">
        <v>2974</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4"/>
      <c r="B53" s="2457" t="s">
        <v>2572</v>
      </c>
      <c r="C53" s="2461"/>
      <c r="D53" s="2463"/>
      <c r="E53" s="2460"/>
      <c r="F53" s="798"/>
      <c r="I53" s="3100" t="s">
        <v>2978</v>
      </c>
      <c r="J53" s="3103">
        <f ca="1">IF(M47="住宅",IF(D1="——",MAX(J51,L48),MAX(J51,L48-'数据-取费表'!B20)),IF(D1="——",MIN(J51,L48),MIN(J51,L48-'数据-取费表'!B20)))</f>
        <v>28.64</v>
      </c>
      <c r="K53" s="3473" t="s">
        <v>2966</v>
      </c>
      <c r="L53" s="3474"/>
      <c r="O53" s="2363" t="s">
        <v>2387</v>
      </c>
      <c r="P53" s="2361" t="s">
        <v>2388</v>
      </c>
      <c r="Q53" s="2362">
        <f ca="1">J53</f>
        <v>28.64</v>
      </c>
      <c r="R53" s="2361" t="s">
        <v>2389</v>
      </c>
    </row>
    <row r="54" spans="1:18" s="2042" customFormat="1" ht="18" customHeight="1" thickBot="1">
      <c r="A54" s="2499" t="s">
        <v>2466</v>
      </c>
      <c r="B54" s="2500" t="s">
        <v>2459</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61959</v>
      </c>
      <c r="R54" s="2365" t="s">
        <v>2391</v>
      </c>
    </row>
    <row r="55" spans="1:18" s="2042" customFormat="1" ht="18" customHeight="1" thickTop="1" thickBot="1">
      <c r="A55" s="795">
        <v>2</v>
      </c>
      <c r="B55" s="796" t="s">
        <v>644</v>
      </c>
      <c r="C55" s="797">
        <f ca="1">C13</f>
        <v>83490</v>
      </c>
      <c r="D55" s="793"/>
      <c r="E55" s="793"/>
      <c r="F55" s="798"/>
      <c r="I55" s="3112" t="s">
        <v>2354</v>
      </c>
      <c r="J55" s="3051" t="e">
        <f ca="1">ROUND(IF(J47="钢混",J57/J50,1-(1-2%)*(J50-J57)/J50),3)</f>
        <v>#VALUE!</v>
      </c>
      <c r="K55" s="3113" t="s">
        <v>2355</v>
      </c>
      <c r="L55" s="2348"/>
      <c r="O55" s="2366" t="s">
        <v>2410</v>
      </c>
      <c r="P55" s="1576"/>
      <c r="Q55" s="1587"/>
      <c r="R55" s="1576"/>
    </row>
    <row r="56" spans="1:18" s="2042" customFormat="1" ht="42.75" customHeight="1" thickBot="1">
      <c r="A56" s="1633"/>
      <c r="B56" s="2214" t="s">
        <v>2299</v>
      </c>
      <c r="C56" s="52">
        <f ca="1">C29</f>
        <v>83490</v>
      </c>
      <c r="D56" s="3185"/>
      <c r="E56" s="782"/>
      <c r="F56" s="807"/>
      <c r="I56" s="3114" t="s">
        <v>2356</v>
      </c>
      <c r="J56" s="3124" t="s">
        <v>1677</v>
      </c>
      <c r="K56" s="3076" t="s">
        <v>2361</v>
      </c>
      <c r="L56" s="1891" t="str">
        <f ca="1">IF(L48&lt;J51,"——",L48-J51)</f>
        <v>——</v>
      </c>
      <c r="O56" s="2357" t="s">
        <v>2374</v>
      </c>
      <c r="P56" s="2358" t="s">
        <v>2375</v>
      </c>
      <c r="Q56" s="2359" t="s">
        <v>2376</v>
      </c>
      <c r="R56" s="2358" t="s">
        <v>2377</v>
      </c>
    </row>
    <row r="57" spans="1:18" s="2042" customFormat="1" ht="28.5" customHeight="1" thickBot="1">
      <c r="A57" s="795" t="s">
        <v>1747</v>
      </c>
      <c r="B57" s="796" t="s">
        <v>651</v>
      </c>
      <c r="C57" s="797">
        <f ca="1">ROUND(C58+C63+C64+C65,0)</f>
        <v>1464</v>
      </c>
      <c r="D57" s="25" t="s">
        <v>652</v>
      </c>
      <c r="E57" s="3187"/>
      <c r="F57" s="55"/>
      <c r="I57" s="3115" t="s">
        <v>2357</v>
      </c>
      <c r="J57" s="3116" t="str">
        <f ca="1">IF(OR(M47="住宅",J51&lt;L48,J56="是"),"——",J51-L48)</f>
        <v>——</v>
      </c>
      <c r="K57" s="3076" t="s">
        <v>2362</v>
      </c>
      <c r="L57" s="1891" t="str">
        <f ca="1">IF(L48&lt;J51,"——",IF(L55="比较法",L49,IF(L55="基准地价",L50,L51)))</f>
        <v>——</v>
      </c>
      <c r="O57" s="2360" t="s">
        <v>2378</v>
      </c>
      <c r="P57" s="2361" t="s">
        <v>2404</v>
      </c>
      <c r="Q57" s="2362">
        <f ca="1">C40+J29</f>
        <v>61959</v>
      </c>
      <c r="R57" s="2361" t="s">
        <v>2379</v>
      </c>
    </row>
    <row r="58" spans="1:18" s="2042" customFormat="1" ht="28.5" customHeight="1" thickBot="1">
      <c r="A58" s="1632" t="s">
        <v>1823</v>
      </c>
      <c r="B58" s="782" t="s">
        <v>656</v>
      </c>
      <c r="C58" s="52">
        <f ca="1">ROUND(IF(项目基本情况!B11="自然人",C47*F58,C59+C60+C61),1)</f>
        <v>86.8</v>
      </c>
      <c r="D58" s="3184" t="s">
        <v>657</v>
      </c>
      <c r="E58" s="3185" t="s">
        <v>690</v>
      </c>
      <c r="F58" s="808" t="str">
        <f ca="1">IF(项目基本情况!B11="企业","",IF(INDIRECT("'数据-取费表'!c"&amp;$G$1)="住宅",5%,IF(F48*F49*F50/12/(1+'数据-取费表'!C42)&gt;20000,12%,7%)))</f>
        <v/>
      </c>
      <c r="I58" s="3115" t="s">
        <v>2358</v>
      </c>
      <c r="J58" s="3052" t="e">
        <f ca="1">IF(J55&lt;0.4,0.4,J55)</f>
        <v>#VALUE!</v>
      </c>
      <c r="K58" s="3076"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1830</v>
      </c>
      <c r="B59" s="782" t="s">
        <v>660</v>
      </c>
      <c r="C59" s="52">
        <f ca="1">ROUND(C47*F59/1.05,1)</f>
        <v>0</v>
      </c>
      <c r="D59" s="3185" t="s">
        <v>661</v>
      </c>
      <c r="E59" s="782" t="s">
        <v>649</v>
      </c>
      <c r="F59" s="807">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2" t="s">
        <v>664</v>
      </c>
      <c r="C60" s="52">
        <f ca="1">IF(D60="按租金收入计税",ROUND(C47*F60,1),IF(D60="按房产原值计税",ROUND(C56*F60*0.7,1),INDIRECT("'数据-取费表'!Aj"&amp;$G$1)))</f>
        <v>0</v>
      </c>
      <c r="D60" s="3185" t="str">
        <f>D33</f>
        <v>按租金收入计税</v>
      </c>
      <c r="E60" s="782" t="s">
        <v>649</v>
      </c>
      <c r="F60" s="807">
        <f t="shared" si="0"/>
        <v>0.12</v>
      </c>
      <c r="I60" s="3117" t="s">
        <v>2360</v>
      </c>
      <c r="J60" s="3118" t="str">
        <f ca="1">IF(OR(M47="住宅",J51&lt;L48,J56="是"),"0",ROUND(J59/(1+J52)^J53,0))</f>
        <v>0</v>
      </c>
      <c r="K60" s="3119" t="s">
        <v>2365</v>
      </c>
      <c r="L60" s="3118">
        <f ca="1">IF(OR(M47="住宅",L48&lt;J51),0,ROUND(L57*(L58/L59-1),0))</f>
        <v>0</v>
      </c>
      <c r="O60" s="2363" t="s">
        <v>2383</v>
      </c>
      <c r="P60" s="2361" t="s">
        <v>2392</v>
      </c>
      <c r="Q60" s="2364">
        <f>L52</f>
        <v>0</v>
      </c>
      <c r="R60" s="2365"/>
    </row>
    <row r="61" spans="1:18" s="2042" customFormat="1" ht="18" customHeight="1" thickBot="1">
      <c r="A61" s="1634" t="s">
        <v>1832</v>
      </c>
      <c r="B61" s="340" t="s">
        <v>668</v>
      </c>
      <c r="C61" s="53">
        <f ca="1">ROUND(F61*F62/10000,1)</f>
        <v>86.8</v>
      </c>
      <c r="D61" s="812" t="s">
        <v>669</v>
      </c>
      <c r="E61" s="782" t="s">
        <v>670</v>
      </c>
      <c r="F61" s="638">
        <f t="shared" si="0"/>
        <v>12</v>
      </c>
      <c r="K61" s="2069"/>
      <c r="O61" s="2363" t="s">
        <v>2385</v>
      </c>
      <c r="P61" s="2361" t="s">
        <v>2393</v>
      </c>
      <c r="Q61" s="2362" t="e">
        <f ca="1">L58</f>
        <v>#DIV/0!</v>
      </c>
      <c r="R61" s="2365" t="s">
        <v>2394</v>
      </c>
    </row>
    <row r="62" spans="1:18" s="2042" customFormat="1" ht="15.75" thickBot="1">
      <c r="A62" s="813"/>
      <c r="B62" s="791"/>
      <c r="C62" s="68"/>
      <c r="D62" s="814"/>
      <c r="E62" s="782" t="s">
        <v>674</v>
      </c>
      <c r="F62" s="783">
        <f t="shared" ca="1" si="0"/>
        <v>72297.33</v>
      </c>
      <c r="I62" s="3120" t="s">
        <v>2366</v>
      </c>
      <c r="J62" s="3121" t="s">
        <v>2367</v>
      </c>
      <c r="K62" s="3121" t="s">
        <v>2368</v>
      </c>
      <c r="L62" s="3121" t="s">
        <v>2349</v>
      </c>
      <c r="M62" s="3122" t="s">
        <v>2942</v>
      </c>
      <c r="O62" s="2363" t="s">
        <v>2387</v>
      </c>
      <c r="P62" s="2361" t="str">
        <f>K59</f>
        <v>建设期及建筑物耐用年限下的土地年期修正系数Kn</v>
      </c>
      <c r="Q62" s="2362" t="e">
        <f ca="1">L59</f>
        <v>#DIV/0!</v>
      </c>
      <c r="R62" s="2365" t="s">
        <v>2396</v>
      </c>
    </row>
    <row r="63" spans="1:18" s="2042" customFormat="1" ht="15.75" thickBot="1">
      <c r="A63" s="1632" t="s">
        <v>1888</v>
      </c>
      <c r="B63" s="782" t="s">
        <v>676</v>
      </c>
      <c r="C63" s="52">
        <f ca="1">ROUND(C56*F63,1)</f>
        <v>1252.4000000000001</v>
      </c>
      <c r="D63" s="3185" t="s">
        <v>691</v>
      </c>
      <c r="E63" s="782" t="s">
        <v>649</v>
      </c>
      <c r="F63" s="815">
        <f t="shared" ca="1" si="0"/>
        <v>1.4999999999999999E-2</v>
      </c>
      <c r="I63" s="3120" t="s">
        <v>2369</v>
      </c>
      <c r="J63" s="3121">
        <v>70</v>
      </c>
      <c r="K63" s="3121">
        <v>50</v>
      </c>
      <c r="L63" s="3121">
        <v>80</v>
      </c>
      <c r="M63" s="3123">
        <v>0.02</v>
      </c>
      <c r="O63" s="2360" t="s">
        <v>2390</v>
      </c>
      <c r="P63" s="2361" t="s">
        <v>2407</v>
      </c>
      <c r="Q63" s="2362">
        <f ca="1">Q57+Q58</f>
        <v>61959</v>
      </c>
      <c r="R63" s="2365" t="s">
        <v>2391</v>
      </c>
    </row>
    <row r="64" spans="1:18" s="2042" customFormat="1" ht="16.5" thickBot="1">
      <c r="A64" s="1632" t="s">
        <v>1889</v>
      </c>
      <c r="B64" s="782" t="s">
        <v>679</v>
      </c>
      <c r="C64" s="52">
        <f ca="1">ROUND(C55*F64,1)</f>
        <v>125.2</v>
      </c>
      <c r="D64" s="3185" t="s">
        <v>680</v>
      </c>
      <c r="E64" s="782" t="s">
        <v>649</v>
      </c>
      <c r="F64" s="816">
        <f t="shared" ca="1" si="0"/>
        <v>1.5E-3</v>
      </c>
      <c r="I64" s="3120" t="s">
        <v>2370</v>
      </c>
      <c r="J64" s="3121">
        <v>50</v>
      </c>
      <c r="K64" s="3121">
        <v>35</v>
      </c>
      <c r="L64" s="3121">
        <v>60</v>
      </c>
      <c r="M64" s="844">
        <v>0</v>
      </c>
      <c r="O64" s="2366" t="s">
        <v>2414</v>
      </c>
      <c r="P64" s="1576"/>
      <c r="Q64" s="1587"/>
      <c r="R64" s="1576"/>
    </row>
    <row r="65" spans="1:18" s="2042" customFormat="1" ht="15.75" thickBot="1">
      <c r="A65" s="1632" t="s">
        <v>1890</v>
      </c>
      <c r="B65" s="782" t="s">
        <v>666</v>
      </c>
      <c r="C65" s="52">
        <f ca="1">ROUND(C47*F65,1)</f>
        <v>0</v>
      </c>
      <c r="D65" s="3185" t="s">
        <v>683</v>
      </c>
      <c r="E65" s="782" t="s">
        <v>649</v>
      </c>
      <c r="F65" s="792">
        <f t="shared" ca="1" si="0"/>
        <v>0.01</v>
      </c>
      <c r="I65" s="3120" t="s">
        <v>2371</v>
      </c>
      <c r="J65" s="3121">
        <v>40</v>
      </c>
      <c r="K65" s="3121">
        <v>30</v>
      </c>
      <c r="L65" s="3121">
        <v>50</v>
      </c>
      <c r="M65" s="3123">
        <v>0.02</v>
      </c>
      <c r="O65" s="2357" t="s">
        <v>2374</v>
      </c>
      <c r="P65" s="2358" t="s">
        <v>2375</v>
      </c>
      <c r="Q65" s="2359" t="s">
        <v>2376</v>
      </c>
      <c r="R65" s="2358" t="s">
        <v>2377</v>
      </c>
    </row>
    <row r="66" spans="1:18" s="2042" customFormat="1" ht="24.75" thickBot="1">
      <c r="A66" s="795" t="s">
        <v>1775</v>
      </c>
      <c r="B66" s="2961" t="s">
        <v>2820</v>
      </c>
      <c r="C66" s="797">
        <f ca="1">C47-C57</f>
        <v>-1464</v>
      </c>
      <c r="D66" s="3184" t="s">
        <v>700</v>
      </c>
      <c r="E66" s="3182"/>
      <c r="F66" s="818"/>
      <c r="K66" s="2069"/>
      <c r="O66" s="2360" t="s">
        <v>2378</v>
      </c>
      <c r="P66" s="2361" t="s">
        <v>2404</v>
      </c>
      <c r="Q66" s="2362">
        <f ca="1">C40+J29</f>
        <v>61959</v>
      </c>
      <c r="R66" s="2361" t="s">
        <v>2379</v>
      </c>
    </row>
    <row r="67" spans="1:18" s="2042" customFormat="1" ht="20.25" thickBot="1">
      <c r="A67" s="779" t="s">
        <v>1779</v>
      </c>
      <c r="B67" s="2215" t="s">
        <v>2300</v>
      </c>
      <c r="C67" s="781">
        <f ca="1">ROUND(C66*(1-((1+F69)/(1+F67))^F68)/(F67-F69),0)</f>
        <v>-22040</v>
      </c>
      <c r="D67" s="812" t="s">
        <v>704</v>
      </c>
      <c r="E67" s="782" t="s">
        <v>705</v>
      </c>
      <c r="F67" s="792">
        <f ca="1">F40</f>
        <v>0.05</v>
      </c>
      <c r="K67" s="2069"/>
      <c r="O67" s="2360" t="s">
        <v>2380</v>
      </c>
      <c r="P67" s="2361" t="s">
        <v>2411</v>
      </c>
      <c r="Q67" s="2362">
        <f ca="1">L60</f>
        <v>0</v>
      </c>
      <c r="R67" s="2365" t="s">
        <v>2413</v>
      </c>
    </row>
    <row r="68" spans="1:18" ht="21.75" thickBot="1">
      <c r="A68" s="784"/>
      <c r="B68" s="785"/>
      <c r="C68" s="786"/>
      <c r="D68" s="819" t="s">
        <v>1807</v>
      </c>
      <c r="E68" s="782" t="s">
        <v>708</v>
      </c>
      <c r="F68" s="820">
        <f ca="1">F41</f>
        <v>28.64</v>
      </c>
      <c r="O68" s="2363" t="s">
        <v>2382</v>
      </c>
      <c r="P68" s="2361" t="s">
        <v>2412</v>
      </c>
      <c r="Q68" s="2367">
        <f ca="1">L51</f>
        <v>-71599</v>
      </c>
      <c r="R68" s="2368" t="s">
        <v>2415</v>
      </c>
    </row>
    <row r="69" spans="1:18" ht="20.25" thickBot="1">
      <c r="A69" s="788"/>
      <c r="B69" s="789"/>
      <c r="C69" s="790"/>
      <c r="D69" s="814"/>
      <c r="E69" s="782" t="s">
        <v>710</v>
      </c>
      <c r="F69" s="2333"/>
      <c r="O69" s="2363" t="s">
        <v>2383</v>
      </c>
      <c r="P69" s="2369" t="s">
        <v>2397</v>
      </c>
      <c r="Q69" s="2362">
        <f ca="1">ROUND(Q70-Q71*Q72,0)</f>
        <v>-4171</v>
      </c>
      <c r="R69" s="2365"/>
    </row>
    <row r="70" spans="1:18" ht="15.75" thickBot="1">
      <c r="A70" s="821" t="s">
        <v>1786</v>
      </c>
      <c r="B70" s="822" t="s">
        <v>1809</v>
      </c>
      <c r="C70" s="823">
        <f ca="1">ROUND(C67*10000/F70,0)</f>
        <v>-1077</v>
      </c>
      <c r="D70" s="824" t="s">
        <v>1810</v>
      </c>
      <c r="E70" s="825" t="s">
        <v>1811</v>
      </c>
      <c r="F70" s="826">
        <f ca="1">F43</f>
        <v>204575</v>
      </c>
      <c r="O70" s="2363" t="s">
        <v>2398</v>
      </c>
      <c r="P70" s="2369" t="s">
        <v>2399</v>
      </c>
      <c r="Q70" s="2362">
        <f ca="1">C39</f>
        <v>2926</v>
      </c>
      <c r="R70" s="2361" t="s">
        <v>2379</v>
      </c>
    </row>
    <row r="71" spans="1:18" ht="15.75" thickBot="1">
      <c r="O71" s="2363" t="s">
        <v>2400</v>
      </c>
      <c r="P71" s="2369" t="s">
        <v>2401</v>
      </c>
      <c r="Q71" s="2362">
        <f ca="1">C13</f>
        <v>83490</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61959</v>
      </c>
      <c r="R76" s="2365"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2470</v>
      </c>
      <c r="B1" s="3492"/>
      <c r="C1" s="3493"/>
      <c r="D1" s="3494">
        <f>SUM(I10,I15,I20,I21,I23)</f>
        <v>0</v>
      </c>
      <c r="E1" s="3494"/>
      <c r="F1" s="3494"/>
      <c r="G1" s="3494"/>
      <c r="H1" s="3494"/>
      <c r="I1" s="3495"/>
    </row>
    <row r="2" spans="1:9">
      <c r="A2" s="3481" t="s">
        <v>2471</v>
      </c>
      <c r="B2" s="3482" t="s">
        <v>2472</v>
      </c>
      <c r="C2" s="3482"/>
      <c r="D2" s="2469" t="s">
        <v>2473</v>
      </c>
      <c r="E2" s="2469" t="s">
        <v>2474</v>
      </c>
      <c r="F2" s="2469" t="s">
        <v>2475</v>
      </c>
      <c r="G2" s="2469" t="s">
        <v>2476</v>
      </c>
      <c r="H2" s="2469" t="s">
        <v>2477</v>
      </c>
      <c r="I2" s="2470" t="s">
        <v>2478</v>
      </c>
    </row>
    <row r="3" spans="1:9">
      <c r="A3" s="3481"/>
      <c r="B3" s="3482" t="s">
        <v>2479</v>
      </c>
      <c r="C3" s="3482"/>
      <c r="D3" s="2471"/>
      <c r="E3" s="2469"/>
      <c r="F3" s="2472"/>
      <c r="G3" s="2472"/>
      <c r="H3" s="2473"/>
      <c r="I3" s="2474">
        <f>ROUND(D3*E3*F3*G3*H3/10000,0)</f>
        <v>0</v>
      </c>
    </row>
    <row r="4" spans="1:9">
      <c r="A4" s="3481"/>
      <c r="B4" s="3482" t="s">
        <v>2480</v>
      </c>
      <c r="C4" s="3482"/>
      <c r="D4" s="2471"/>
      <c r="E4" s="2469"/>
      <c r="F4" s="2472"/>
      <c r="G4" s="2472"/>
      <c r="H4" s="2473"/>
      <c r="I4" s="2474">
        <f t="shared" ref="I4:I9" si="0">ROUND(D4*E4*F4*G4*H4/10000,0)</f>
        <v>0</v>
      </c>
    </row>
    <row r="5" spans="1:9">
      <c r="A5" s="3481"/>
      <c r="B5" s="3482" t="s">
        <v>2481</v>
      </c>
      <c r="C5" s="3482"/>
      <c r="D5" s="2471"/>
      <c r="E5" s="2469"/>
      <c r="F5" s="2472"/>
      <c r="G5" s="2472"/>
      <c r="H5" s="2473"/>
      <c r="I5" s="2474">
        <f t="shared" si="0"/>
        <v>0</v>
      </c>
    </row>
    <row r="6" spans="1:9">
      <c r="A6" s="3481"/>
      <c r="B6" s="3482" t="s">
        <v>2482</v>
      </c>
      <c r="C6" s="3482"/>
      <c r="D6" s="2471"/>
      <c r="E6" s="2469"/>
      <c r="F6" s="2472"/>
      <c r="G6" s="2472"/>
      <c r="H6" s="2473"/>
      <c r="I6" s="2474">
        <f t="shared" si="0"/>
        <v>0</v>
      </c>
    </row>
    <row r="7" spans="1:9">
      <c r="A7" s="3481"/>
      <c r="B7" s="3482" t="s">
        <v>2483</v>
      </c>
      <c r="C7" s="3482"/>
      <c r="D7" s="2471"/>
      <c r="E7" s="2469"/>
      <c r="F7" s="2472"/>
      <c r="G7" s="2472"/>
      <c r="H7" s="2473"/>
      <c r="I7" s="2474">
        <f t="shared" si="0"/>
        <v>0</v>
      </c>
    </row>
    <row r="8" spans="1:9">
      <c r="A8" s="3481"/>
      <c r="B8" s="3482" t="s">
        <v>2484</v>
      </c>
      <c r="C8" s="3482"/>
      <c r="D8" s="2471"/>
      <c r="E8" s="2469"/>
      <c r="F8" s="2472"/>
      <c r="G8" s="2472"/>
      <c r="H8" s="2473"/>
      <c r="I8" s="2474">
        <f t="shared" si="0"/>
        <v>0</v>
      </c>
    </row>
    <row r="9" spans="1:9">
      <c r="A9" s="3481"/>
      <c r="B9" s="3482" t="s">
        <v>2485</v>
      </c>
      <c r="C9" s="3482"/>
      <c r="D9" s="2471"/>
      <c r="E9" s="2469"/>
      <c r="F9" s="2472"/>
      <c r="G9" s="2472"/>
      <c r="H9" s="2473"/>
      <c r="I9" s="2474">
        <f t="shared" si="0"/>
        <v>0</v>
      </c>
    </row>
    <row r="10" spans="1:9">
      <c r="A10" s="3481"/>
      <c r="B10" s="3483" t="s">
        <v>2486</v>
      </c>
      <c r="C10" s="3483"/>
      <c r="D10" s="2475">
        <v>527</v>
      </c>
      <c r="E10" s="2475" t="e">
        <f>ROUND(D1*10000/D10/H9,0)</f>
        <v>#DIV/0!</v>
      </c>
      <c r="F10" s="2476"/>
      <c r="G10" s="2476"/>
      <c r="H10" s="2477"/>
      <c r="I10" s="2478">
        <f>SUM(I3:I9)</f>
        <v>0</v>
      </c>
    </row>
    <row r="11" spans="1:9" ht="14.25">
      <c r="A11" s="3481" t="s">
        <v>2487</v>
      </c>
      <c r="B11" s="3482" t="s">
        <v>2488</v>
      </c>
      <c r="C11" s="3482"/>
      <c r="D11" s="2471" t="s">
        <v>2489</v>
      </c>
      <c r="E11" s="2471" t="s">
        <v>2490</v>
      </c>
      <c r="F11" s="2472" t="s">
        <v>2491</v>
      </c>
      <c r="G11" s="2472" t="s">
        <v>2492</v>
      </c>
      <c r="H11" s="2479" t="s">
        <v>2493</v>
      </c>
      <c r="I11" s="2470" t="s">
        <v>2494</v>
      </c>
    </row>
    <row r="12" spans="1:9">
      <c r="A12" s="3481"/>
      <c r="B12" s="3482" t="s">
        <v>2495</v>
      </c>
      <c r="C12" s="3482"/>
      <c r="D12" s="2471"/>
      <c r="E12" s="2471"/>
      <c r="F12" s="2472"/>
      <c r="G12" s="2473"/>
      <c r="H12" s="2480"/>
      <c r="I12" s="2470">
        <f>ROUND(D12*E12*F12*G12/10000,0)</f>
        <v>0</v>
      </c>
    </row>
    <row r="13" spans="1:9">
      <c r="A13" s="3481"/>
      <c r="B13" s="3482" t="s">
        <v>2496</v>
      </c>
      <c r="C13" s="3482"/>
      <c r="D13" s="2471"/>
      <c r="E13" s="2471"/>
      <c r="F13" s="2472"/>
      <c r="G13" s="2473"/>
      <c r="H13" s="2480"/>
      <c r="I13" s="2470">
        <f>ROUND(D13*E13*F13*G13/10000,0)</f>
        <v>0</v>
      </c>
    </row>
    <row r="14" spans="1:9">
      <c r="A14" s="3481"/>
      <c r="B14" s="3482" t="s">
        <v>2497</v>
      </c>
      <c r="C14" s="3482"/>
      <c r="D14" s="2471"/>
      <c r="E14" s="2471"/>
      <c r="F14" s="2472"/>
      <c r="G14" s="2473"/>
      <c r="H14" s="2480"/>
      <c r="I14" s="2470">
        <f>ROUND(D14*E14*F14*G14/10000,0)</f>
        <v>0</v>
      </c>
    </row>
    <row r="15" spans="1:9">
      <c r="A15" s="3481"/>
      <c r="B15" s="3483" t="s">
        <v>2486</v>
      </c>
      <c r="C15" s="3483"/>
      <c r="D15" s="2475"/>
      <c r="E15" s="2475">
        <f>SUM(E12:E14)</f>
        <v>0</v>
      </c>
      <c r="F15" s="2476"/>
      <c r="G15" s="2473"/>
      <c r="H15" s="2480"/>
      <c r="I15" s="2481">
        <f>SUM(I12:I14)</f>
        <v>0</v>
      </c>
    </row>
    <row r="16" spans="1:9" ht="24">
      <c r="A16" s="3481" t="s">
        <v>2498</v>
      </c>
      <c r="B16" s="3482" t="s">
        <v>2499</v>
      </c>
      <c r="C16" s="3482"/>
      <c r="D16" s="2471" t="s">
        <v>2500</v>
      </c>
      <c r="E16" s="2482" t="s">
        <v>2501</v>
      </c>
      <c r="F16" s="2472" t="s">
        <v>2502</v>
      </c>
      <c r="G16" s="2473" t="s">
        <v>2492</v>
      </c>
      <c r="H16" s="2479" t="s">
        <v>2493</v>
      </c>
      <c r="I16" s="2470" t="s">
        <v>2494</v>
      </c>
    </row>
    <row r="17" spans="1:9" ht="14.25">
      <c r="A17" s="3481"/>
      <c r="B17" s="3482" t="s">
        <v>2503</v>
      </c>
      <c r="C17" s="3482"/>
      <c r="D17" s="2471"/>
      <c r="E17" s="2471"/>
      <c r="F17" s="2472"/>
      <c r="G17" s="2473"/>
      <c r="H17" s="2483"/>
      <c r="I17" s="2484">
        <f>ROUND(D17*E17*F17*G17/10000,0)</f>
        <v>0</v>
      </c>
    </row>
    <row r="18" spans="1:9" ht="14.25">
      <c r="A18" s="3481"/>
      <c r="B18" s="3482" t="s">
        <v>2504</v>
      </c>
      <c r="C18" s="3482"/>
      <c r="D18" s="2471"/>
      <c r="E18" s="2471"/>
      <c r="F18" s="2472"/>
      <c r="G18" s="2473"/>
      <c r="H18" s="2483"/>
      <c r="I18" s="2484">
        <f>ROUND(D18*E18*F18*G18/10000,0)</f>
        <v>0</v>
      </c>
    </row>
    <row r="19" spans="1:9" ht="14.25">
      <c r="A19" s="3481"/>
      <c r="B19" s="3482" t="s">
        <v>2505</v>
      </c>
      <c r="C19" s="3482"/>
      <c r="D19" s="2471"/>
      <c r="E19" s="2471"/>
      <c r="F19" s="2472"/>
      <c r="G19" s="2473"/>
      <c r="H19" s="2483"/>
      <c r="I19" s="2484">
        <f>ROUND(D19*E19*F19*G19/10000,0)</f>
        <v>0</v>
      </c>
    </row>
    <row r="20" spans="1:9">
      <c r="A20" s="3481"/>
      <c r="B20" s="3483" t="s">
        <v>2486</v>
      </c>
      <c r="C20" s="3483"/>
      <c r="D20" s="2475">
        <f>SUM(D17:D19)</f>
        <v>0</v>
      </c>
      <c r="E20" s="2475"/>
      <c r="F20" s="2476"/>
      <c r="G20" s="2473"/>
      <c r="H20" s="2480"/>
      <c r="I20" s="2481">
        <f>SUM(I17:I19)</f>
        <v>0</v>
      </c>
    </row>
    <row r="21" spans="1:9">
      <c r="A21" s="3481" t="s">
        <v>2506</v>
      </c>
      <c r="B21" s="3484"/>
      <c r="C21" s="3484"/>
      <c r="D21" s="3484"/>
      <c r="E21" s="3484"/>
      <c r="F21" s="3484"/>
      <c r="G21" s="3484"/>
      <c r="H21" s="2485">
        <v>0.1</v>
      </c>
      <c r="I21" s="2478">
        <f>ROUND(I10*H21,0)</f>
        <v>0</v>
      </c>
    </row>
    <row r="22" spans="1:9" ht="14.25">
      <c r="A22" s="3485" t="s">
        <v>2507</v>
      </c>
      <c r="B22" s="3486"/>
      <c r="C22" s="3487"/>
      <c r="D22" s="2486" t="s">
        <v>2508</v>
      </c>
      <c r="E22" s="2486" t="s">
        <v>2509</v>
      </c>
      <c r="F22" s="2487" t="s">
        <v>2510</v>
      </c>
      <c r="G22" s="2487" t="s">
        <v>2511</v>
      </c>
      <c r="H22" s="2479" t="s">
        <v>2512</v>
      </c>
      <c r="I22" s="2470" t="s">
        <v>2513</v>
      </c>
    </row>
    <row r="23" spans="1:9" ht="14.25" thickBot="1">
      <c r="A23" s="3488"/>
      <c r="B23" s="3489"/>
      <c r="C23" s="3490"/>
      <c r="D23" s="2488"/>
      <c r="E23" s="2488"/>
      <c r="F23" s="2488"/>
      <c r="G23" s="2489"/>
      <c r="H23" s="2490"/>
      <c r="I23" s="2491">
        <f>ROUND(E23*D23*F23*(1-G23)/10000,0)</f>
        <v>0</v>
      </c>
    </row>
    <row r="26" spans="1:9">
      <c r="A26" s="2492" t="s">
        <v>2514</v>
      </c>
      <c r="B26" s="2492"/>
      <c r="C26" s="2492"/>
      <c r="D26" s="2492"/>
      <c r="E26" s="3478">
        <f>C27-C30-C31-C32</f>
        <v>0</v>
      </c>
      <c r="F26" s="3478"/>
      <c r="G26" s="3478"/>
      <c r="H26" s="2993" t="s">
        <v>2841</v>
      </c>
    </row>
    <row r="27" spans="1:9">
      <c r="A27" s="2493">
        <v>1</v>
      </c>
      <c r="B27" s="2494" t="s">
        <v>2515</v>
      </c>
      <c r="C27" s="2494"/>
      <c r="D27" s="2494"/>
      <c r="E27" s="3479"/>
      <c r="F27" s="3479"/>
      <c r="G27" s="3479"/>
    </row>
    <row r="28" spans="1:9">
      <c r="A28" s="2495" t="s">
        <v>2516</v>
      </c>
      <c r="B28" s="2494" t="s">
        <v>2517</v>
      </c>
      <c r="C28" s="2494"/>
      <c r="D28" s="2494"/>
      <c r="E28" s="3479"/>
      <c r="F28" s="3479"/>
      <c r="G28" s="3479"/>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480"/>
      <c r="F32" s="3480"/>
      <c r="G32" s="3480"/>
    </row>
    <row r="33" spans="1:7" hidden="1">
      <c r="A33" s="3475" t="s">
        <v>2525</v>
      </c>
      <c r="B33" s="3476"/>
      <c r="C33" s="3476"/>
      <c r="D33" s="3477"/>
      <c r="E33" s="3478"/>
      <c r="F33" s="3478"/>
      <c r="G33" s="3478"/>
    </row>
    <row r="34" spans="1:7" hidden="1">
      <c r="A34" s="2497">
        <v>1</v>
      </c>
      <c r="B34" s="2494" t="s">
        <v>2526</v>
      </c>
      <c r="C34" s="2494"/>
      <c r="D34" s="2494"/>
      <c r="E34" s="3479"/>
      <c r="F34" s="3479"/>
      <c r="G34" s="3479"/>
    </row>
    <row r="35" spans="1:7" hidden="1">
      <c r="A35" s="2497">
        <v>2</v>
      </c>
      <c r="B35" s="2494" t="s">
        <v>2527</v>
      </c>
      <c r="C35" s="2494"/>
      <c r="D35" s="2494"/>
      <c r="E35" s="3479"/>
      <c r="F35" s="3479"/>
      <c r="G35" s="3479"/>
    </row>
    <row r="36" spans="1:7" hidden="1">
      <c r="A36" s="2497">
        <v>3</v>
      </c>
      <c r="B36" s="2494" t="s">
        <v>2528</v>
      </c>
      <c r="C36" s="2494"/>
      <c r="D36" s="2494"/>
      <c r="E36" s="3479"/>
      <c r="F36" s="3479"/>
      <c r="G36" s="3479"/>
    </row>
    <row r="37" spans="1:7" hidden="1">
      <c r="A37" s="2497">
        <v>4</v>
      </c>
      <c r="B37" s="2494" t="s">
        <v>2529</v>
      </c>
      <c r="C37" s="2494"/>
      <c r="D37" s="2494"/>
      <c r="E37" s="3479"/>
      <c r="F37" s="3479"/>
      <c r="G37" s="3479"/>
    </row>
    <row r="38" spans="1:7" hidden="1">
      <c r="A38" s="3475" t="s">
        <v>2530</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0"/>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2439</v>
      </c>
      <c r="B8" s="2434" t="s">
        <v>2441</v>
      </c>
      <c r="C8" s="2435"/>
      <c r="D8" s="747"/>
      <c r="E8" s="748"/>
      <c r="F8" s="748"/>
      <c r="G8" s="749"/>
    </row>
    <row r="9" spans="1:25" s="2166" customFormat="1" ht="13.5" customHeight="1">
      <c r="A9" s="2431" t="s">
        <v>2440</v>
      </c>
      <c r="B9" s="2434" t="s">
        <v>2442</v>
      </c>
      <c r="C9" s="2435"/>
      <c r="D9" s="747"/>
      <c r="E9" s="748"/>
      <c r="F9" s="748"/>
      <c r="G9" s="749"/>
    </row>
    <row r="10" spans="1:25" s="2166" customFormat="1" ht="36">
      <c r="A10" s="2431">
        <v>2</v>
      </c>
      <c r="B10" s="746" t="s">
        <v>613</v>
      </c>
      <c r="C10" s="747">
        <f>C11+C14+C15</f>
        <v>0</v>
      </c>
      <c r="D10" s="758">
        <f>'数据-汇总表'!E3</f>
        <v>939662.47000000009</v>
      </c>
      <c r="E10" s="747">
        <f>'数据-取费表'!B31</f>
        <v>250</v>
      </c>
      <c r="F10" s="759"/>
      <c r="G10" s="757" t="s">
        <v>614</v>
      </c>
    </row>
    <row r="11" spans="1:25" s="2166" customFormat="1" ht="13.5" customHeight="1">
      <c r="A11" s="2431" t="s">
        <v>2439</v>
      </c>
      <c r="B11" s="750" t="s">
        <v>610</v>
      </c>
      <c r="C11" s="751">
        <f>'数据-取费表'!B29</f>
        <v>0</v>
      </c>
      <c r="D11" s="752"/>
      <c r="E11" s="751"/>
      <c r="F11" s="753"/>
      <c r="G11" s="2440" t="s">
        <v>2450</v>
      </c>
    </row>
    <row r="12" spans="1:25" s="2166" customFormat="1" ht="13.5" customHeight="1">
      <c r="A12" s="2438" t="s">
        <v>2447</v>
      </c>
      <c r="B12" s="754" t="s">
        <v>611</v>
      </c>
      <c r="C12" s="755">
        <f>ROUND(D12*E12/10000,0)</f>
        <v>9154</v>
      </c>
      <c r="D12" s="756">
        <f>'数据-汇总表'!E5</f>
        <v>416069.5</v>
      </c>
      <c r="E12" s="755">
        <f>'数据-取费表'!B27</f>
        <v>220</v>
      </c>
      <c r="F12" s="753"/>
      <c r="G12" s="757"/>
    </row>
    <row r="13" spans="1:25" s="2166" customFormat="1" ht="13.5" customHeight="1">
      <c r="A13" s="2438" t="s">
        <v>2446</v>
      </c>
      <c r="B13" s="754" t="s">
        <v>612</v>
      </c>
      <c r="C13" s="755">
        <f>ROUND(D13*E13/10000,0)</f>
        <v>11519</v>
      </c>
      <c r="D13" s="756">
        <f>'数据-汇总表'!E6</f>
        <v>523592.97000000009</v>
      </c>
      <c r="E13" s="755">
        <f>'数据-取费表'!B28</f>
        <v>220</v>
      </c>
      <c r="F13" s="753"/>
      <c r="G13" s="757"/>
    </row>
    <row r="14" spans="1:25" s="2166" customFormat="1" ht="13.5" customHeight="1">
      <c r="A14" s="2431" t="s">
        <v>2440</v>
      </c>
      <c r="B14" s="2437" t="s">
        <v>2443</v>
      </c>
      <c r="C14" s="2435"/>
      <c r="D14" s="756"/>
      <c r="E14" s="755"/>
      <c r="F14" s="2436"/>
      <c r="G14" s="2439" t="s">
        <v>2448</v>
      </c>
    </row>
    <row r="15" spans="1:25" s="2166" customFormat="1" ht="13.5" customHeight="1">
      <c r="A15" s="2431" t="s">
        <v>2445</v>
      </c>
      <c r="B15" s="2437" t="s">
        <v>2444</v>
      </c>
      <c r="C15" s="2435"/>
      <c r="D15" s="756"/>
      <c r="E15" s="755"/>
      <c r="F15" s="2436"/>
      <c r="G15" s="2439" t="s">
        <v>2449</v>
      </c>
    </row>
    <row r="16" spans="1:25" s="2167" customFormat="1" ht="48">
      <c r="A16" s="2431">
        <v>3</v>
      </c>
      <c r="B16" s="746" t="s">
        <v>615</v>
      </c>
      <c r="C16" s="2435"/>
      <c r="D16" s="758"/>
      <c r="E16" s="747"/>
      <c r="F16" s="759"/>
      <c r="G16" s="757"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0.11</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2"/>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0.82599999999999996</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756</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395" t="s">
        <v>522</v>
      </c>
      <c r="D4" s="3397"/>
      <c r="E4" s="3422" t="s">
        <v>523</v>
      </c>
      <c r="F4" s="3396"/>
      <c r="G4" s="3395" t="s">
        <v>524</v>
      </c>
      <c r="H4" s="3397"/>
      <c r="I4" s="3395" t="s">
        <v>525</v>
      </c>
      <c r="J4" s="3397"/>
      <c r="K4" s="513" t="s">
        <v>526</v>
      </c>
      <c r="L4" s="2116"/>
      <c r="M4" s="2117"/>
      <c r="N4" s="2117"/>
      <c r="O4" s="2117"/>
      <c r="P4" s="3398" t="s">
        <v>527</v>
      </c>
      <c r="Q4" s="3399"/>
      <c r="R4" s="3383" t="s">
        <v>523</v>
      </c>
      <c r="S4" s="3384"/>
      <c r="T4" s="3383" t="s">
        <v>524</v>
      </c>
      <c r="U4" s="3384"/>
      <c r="V4" s="3404" t="s">
        <v>525</v>
      </c>
      <c r="W4" s="3404"/>
      <c r="X4" s="1551"/>
      <c r="Y4" s="3383" t="s">
        <v>527</v>
      </c>
      <c r="Z4" s="3384"/>
      <c r="AA4" s="3378" t="s">
        <v>523</v>
      </c>
      <c r="AB4" s="3404" t="s">
        <v>524</v>
      </c>
      <c r="AC4" s="3378" t="s">
        <v>525</v>
      </c>
    </row>
    <row r="5" spans="1:29" ht="15">
      <c r="A5" s="514"/>
      <c r="B5" s="515"/>
      <c r="C5" s="3407" t="s">
        <v>2929</v>
      </c>
      <c r="D5" s="3408"/>
      <c r="E5" s="3423" t="s">
        <v>2930</v>
      </c>
      <c r="F5" s="3409"/>
      <c r="G5" s="3407" t="s">
        <v>2931</v>
      </c>
      <c r="H5" s="3408"/>
      <c r="I5" s="3407" t="s">
        <v>2932</v>
      </c>
      <c r="J5" s="3408"/>
      <c r="K5" s="513"/>
      <c r="L5" s="2116"/>
      <c r="M5" s="2117"/>
      <c r="N5" s="2117"/>
      <c r="O5" s="2117"/>
      <c r="P5" s="3400"/>
      <c r="Q5" s="3401"/>
      <c r="R5" s="3385"/>
      <c r="S5" s="3386"/>
      <c r="T5" s="3385"/>
      <c r="U5" s="3386"/>
      <c r="V5" s="3404"/>
      <c r="W5" s="3404"/>
      <c r="X5" s="1551"/>
      <c r="Y5" s="3385"/>
      <c r="Z5" s="3386"/>
      <c r="AA5" s="3379"/>
      <c r="AB5" s="3404"/>
      <c r="AC5" s="3379"/>
    </row>
    <row r="6" spans="1:29" ht="15.75" thickBot="1">
      <c r="A6" s="516"/>
      <c r="B6" s="517"/>
      <c r="C6" s="3405" t="s">
        <v>2933</v>
      </c>
      <c r="D6" s="3406"/>
      <c r="E6" s="3424" t="s">
        <v>2933</v>
      </c>
      <c r="F6" s="3425"/>
      <c r="G6" s="3405" t="s">
        <v>2933</v>
      </c>
      <c r="H6" s="3406"/>
      <c r="I6" s="3405" t="s">
        <v>2933</v>
      </c>
      <c r="J6" s="3406"/>
      <c r="K6" s="513" t="s">
        <v>528</v>
      </c>
      <c r="L6" s="2116"/>
      <c r="M6" s="2117"/>
      <c r="N6" s="2117"/>
      <c r="O6" s="2117"/>
      <c r="P6" s="3402"/>
      <c r="Q6" s="3403"/>
      <c r="R6" s="3385"/>
      <c r="S6" s="3386"/>
      <c r="T6" s="3387"/>
      <c r="U6" s="3388"/>
      <c r="V6" s="3404"/>
      <c r="W6" s="3404"/>
      <c r="X6" s="1551"/>
      <c r="Y6" s="3387"/>
      <c r="Z6" s="3388"/>
      <c r="AA6" s="3380"/>
      <c r="AB6" s="3404"/>
      <c r="AC6" s="3380"/>
    </row>
    <row r="7" spans="1:29" s="1213" customFormat="1" ht="15.75" thickBot="1">
      <c r="A7" s="2865"/>
      <c r="B7" s="2872" t="s">
        <v>529</v>
      </c>
      <c r="C7" s="518">
        <f>'数据-取费表'!B2</f>
        <v>43630</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81" t="s">
        <v>530</v>
      </c>
      <c r="Q7" s="3390"/>
      <c r="R7" s="1552" t="s">
        <v>8</v>
      </c>
      <c r="S7" s="1553">
        <f t="shared" ref="S7:S15" si="0">F7</f>
        <v>0</v>
      </c>
      <c r="T7" s="1552" t="s">
        <v>8</v>
      </c>
      <c r="U7" s="1553">
        <f t="shared" ref="U7:U15" si="1">H7</f>
        <v>0</v>
      </c>
      <c r="V7" s="1552" t="s">
        <v>8</v>
      </c>
      <c r="W7" s="1553">
        <f t="shared" ref="W7:W15" si="2">J7</f>
        <v>0</v>
      </c>
      <c r="X7" s="1554"/>
      <c r="Y7" s="3381" t="s">
        <v>530</v>
      </c>
      <c r="Z7" s="3382"/>
      <c r="AA7" s="1555" t="e">
        <f>D7/F7</f>
        <v>#DIV/0!</v>
      </c>
      <c r="AB7" s="1555" t="e">
        <f>D7/H7</f>
        <v>#DIV/0!</v>
      </c>
      <c r="AC7" s="1555" t="e">
        <f>D7/J7</f>
        <v>#DIV/0!</v>
      </c>
    </row>
    <row r="8" spans="1:29" s="1213"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81" t="s">
        <v>533</v>
      </c>
      <c r="Q8" s="3382"/>
      <c r="R8" s="1552" t="s">
        <v>8</v>
      </c>
      <c r="S8" s="1553">
        <f t="shared" si="0"/>
        <v>0</v>
      </c>
      <c r="T8" s="1552" t="s">
        <v>8</v>
      </c>
      <c r="U8" s="1553">
        <f t="shared" si="1"/>
        <v>0</v>
      </c>
      <c r="V8" s="1552" t="s">
        <v>8</v>
      </c>
      <c r="W8" s="1553">
        <f t="shared" si="2"/>
        <v>0</v>
      </c>
      <c r="X8" s="1554"/>
      <c r="Y8" s="3381" t="s">
        <v>533</v>
      </c>
      <c r="Z8" s="3382"/>
      <c r="AA8" s="1555" t="e">
        <f t="shared" ref="AA8:AA46" si="3">D8/F8</f>
        <v>#DIV/0!</v>
      </c>
      <c r="AB8" s="1555" t="e">
        <f t="shared" ref="AB8:AB46" si="4">D8/H8</f>
        <v>#DIV/0!</v>
      </c>
      <c r="AC8" s="1555" t="e">
        <f t="shared" ref="AC8:AC46" si="5">D8/J8</f>
        <v>#DIV/0!</v>
      </c>
    </row>
    <row r="9" spans="1:29" s="1213" customFormat="1" ht="15">
      <c r="A9" s="2867"/>
      <c r="B9" s="2874" t="s">
        <v>2754</v>
      </c>
      <c r="C9" s="855"/>
      <c r="D9" s="253">
        <v>100</v>
      </c>
      <c r="E9" s="858"/>
      <c r="F9" s="253">
        <f>SUMIF(63:63,E9,64:64)-SUMIF(63:63,C9,64:64)+100</f>
        <v>100</v>
      </c>
      <c r="G9" s="856"/>
      <c r="H9" s="253">
        <f>SUMIF(63:63,G9,64:64)-SUMIF(63:63,C9,64:64)+100</f>
        <v>100</v>
      </c>
      <c r="I9" s="856"/>
      <c r="J9" s="253">
        <f>SUMIF(63:63,I9,64:64)-SUMIF(63:63,C9,64:64)+100</f>
        <v>100</v>
      </c>
      <c r="K9" s="523"/>
      <c r="L9" s="2118"/>
      <c r="M9" s="2119"/>
      <c r="N9" s="2119"/>
      <c r="O9" s="2120"/>
      <c r="P9" s="3389" t="s">
        <v>535</v>
      </c>
      <c r="Q9" s="1144" t="str">
        <f t="shared" ref="Q9:Q15" si="6">B9</f>
        <v>用途</v>
      </c>
      <c r="R9" s="1552" t="s">
        <v>8</v>
      </c>
      <c r="S9" s="1553">
        <f t="shared" si="0"/>
        <v>100</v>
      </c>
      <c r="T9" s="1552" t="s">
        <v>8</v>
      </c>
      <c r="U9" s="1553">
        <f t="shared" si="1"/>
        <v>100</v>
      </c>
      <c r="V9" s="1552" t="s">
        <v>8</v>
      </c>
      <c r="W9" s="1553">
        <f t="shared" si="2"/>
        <v>100</v>
      </c>
      <c r="X9" s="1554"/>
      <c r="Y9" s="3346" t="s">
        <v>536</v>
      </c>
      <c r="Z9" s="1143" t="str">
        <f t="shared" ref="Z9:Z15" si="7">Q9</f>
        <v>用途</v>
      </c>
      <c r="AA9" s="1555">
        <f t="shared" si="3"/>
        <v>1</v>
      </c>
      <c r="AB9" s="1555">
        <f t="shared" si="4"/>
        <v>1</v>
      </c>
      <c r="AC9" s="1555">
        <f t="shared" si="5"/>
        <v>1</v>
      </c>
    </row>
    <row r="10" spans="1:29" s="1331" customFormat="1" ht="27">
      <c r="A10" s="2868"/>
      <c r="B10" s="2873" t="s">
        <v>2755</v>
      </c>
      <c r="C10" s="859"/>
      <c r="D10" s="254">
        <v>100</v>
      </c>
      <c r="E10" s="859"/>
      <c r="F10" s="254">
        <f>SUMIF(65:65,E10,66:66)-SUMIF(65:65,C10,66:66)+100</f>
        <v>100</v>
      </c>
      <c r="G10" s="860"/>
      <c r="H10" s="254">
        <f>SUMIF(65:65,G10,66:66)-SUMIF(65:65,C10,66:66)+100</f>
        <v>100</v>
      </c>
      <c r="I10" s="859"/>
      <c r="J10" s="254">
        <f>SUMIF(65:65,I10,66:66)-SUMIF(65:65,C10,66:66)+100</f>
        <v>100</v>
      </c>
      <c r="K10" s="583"/>
      <c r="L10" s="2121"/>
      <c r="M10" s="2161"/>
      <c r="N10" s="2161"/>
      <c r="O10" s="2122"/>
      <c r="P10" s="3389"/>
      <c r="Q10" s="1144" t="str">
        <f t="shared" si="6"/>
        <v>土地使用年限（年）</v>
      </c>
      <c r="R10" s="1552" t="s">
        <v>8</v>
      </c>
      <c r="S10" s="1553">
        <f t="shared" si="0"/>
        <v>100</v>
      </c>
      <c r="T10" s="1552" t="s">
        <v>8</v>
      </c>
      <c r="U10" s="1553">
        <f t="shared" si="1"/>
        <v>100</v>
      </c>
      <c r="V10" s="1552" t="s">
        <v>8</v>
      </c>
      <c r="W10" s="1553">
        <f t="shared" si="2"/>
        <v>100</v>
      </c>
      <c r="X10" s="1554"/>
      <c r="Y10" s="3346"/>
      <c r="Z10" s="1143"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89"/>
      <c r="Q11" s="1144" t="str">
        <f t="shared" si="6"/>
        <v>容积率</v>
      </c>
      <c r="R11" s="1552" t="s">
        <v>8</v>
      </c>
      <c r="S11" s="1553" t="e">
        <f t="shared" si="0"/>
        <v>#N/A</v>
      </c>
      <c r="T11" s="1552" t="s">
        <v>8</v>
      </c>
      <c r="U11" s="1553" t="e">
        <f t="shared" si="1"/>
        <v>#N/A</v>
      </c>
      <c r="V11" s="1552" t="s">
        <v>8</v>
      </c>
      <c r="W11" s="1553" t="e">
        <f t="shared" si="2"/>
        <v>#N/A</v>
      </c>
      <c r="X11" s="1554"/>
      <c r="Y11" s="3346"/>
      <c r="Z11" s="1143" t="str">
        <f t="shared" si="7"/>
        <v>容积率</v>
      </c>
      <c r="AA11" s="1555" t="e">
        <f t="shared" si="3"/>
        <v>#N/A</v>
      </c>
      <c r="AB11" s="1555" t="e">
        <f t="shared" si="4"/>
        <v>#N/A</v>
      </c>
      <c r="AC11" s="1555" t="e">
        <f t="shared" si="5"/>
        <v>#N/A</v>
      </c>
    </row>
    <row r="12" spans="1:29" s="1213" customFormat="1" ht="15">
      <c r="A12" s="2870"/>
      <c r="B12" s="2876">
        <v>111</v>
      </c>
      <c r="C12" s="527"/>
      <c r="D12" s="537">
        <v>100</v>
      </c>
      <c r="E12" s="538"/>
      <c r="F12" s="254">
        <f>SUMIF(70:70,E12,71:71)-SUMIF(70:70,C12,71:71)+100</f>
        <v>100</v>
      </c>
      <c r="G12" s="909"/>
      <c r="H12" s="254">
        <f>SUMIF(70:70,G12,71:71)-SUMIF(70:70,C12,71:71)+100</f>
        <v>100</v>
      </c>
      <c r="I12" s="538"/>
      <c r="J12" s="254">
        <f>SUMIF(70:70,I12,71:71)-SUMIF(70:70,C12,71:71)+100</f>
        <v>100</v>
      </c>
      <c r="K12" s="580"/>
      <c r="L12" s="2118"/>
      <c r="M12" s="2119"/>
      <c r="N12" s="2119"/>
      <c r="O12" s="2120"/>
      <c r="P12" s="3389"/>
      <c r="Q12" s="1144">
        <f t="shared" si="6"/>
        <v>111</v>
      </c>
      <c r="R12" s="1552" t="s">
        <v>8</v>
      </c>
      <c r="S12" s="1553">
        <f t="shared" si="0"/>
        <v>100</v>
      </c>
      <c r="T12" s="1552" t="s">
        <v>8</v>
      </c>
      <c r="U12" s="1553">
        <f t="shared" si="1"/>
        <v>100</v>
      </c>
      <c r="V12" s="1552" t="s">
        <v>8</v>
      </c>
      <c r="W12" s="1553">
        <f t="shared" si="2"/>
        <v>100</v>
      </c>
      <c r="X12" s="1554"/>
      <c r="Y12" s="3346"/>
      <c r="Z12" s="1143">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09"/>
      <c r="H13" s="539">
        <f>SUMIF(72:72,G13,73:73)-SUMIF(72:72,C13,73:73)+100</f>
        <v>100</v>
      </c>
      <c r="I13" s="538"/>
      <c r="J13" s="539">
        <f>SUMIF(72:72,I13,73:73)-SUMIF(72:72,C13,73:73)+100</f>
        <v>100</v>
      </c>
      <c r="K13" s="580"/>
      <c r="L13" s="2125"/>
      <c r="M13" s="2117"/>
      <c r="N13" s="2117"/>
      <c r="O13" s="2124"/>
      <c r="P13" s="3389"/>
      <c r="Q13" s="1144">
        <f t="shared" si="6"/>
        <v>111</v>
      </c>
      <c r="R13" s="1552" t="s">
        <v>8</v>
      </c>
      <c r="S13" s="1553">
        <f t="shared" si="0"/>
        <v>100</v>
      </c>
      <c r="T13" s="1552" t="s">
        <v>8</v>
      </c>
      <c r="U13" s="1553">
        <f t="shared" si="1"/>
        <v>100</v>
      </c>
      <c r="V13" s="1552" t="s">
        <v>8</v>
      </c>
      <c r="W13" s="1553">
        <f t="shared" si="2"/>
        <v>100</v>
      </c>
      <c r="X13" s="1554"/>
      <c r="Y13" s="3346"/>
      <c r="Z13" s="1143">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09"/>
      <c r="H14" s="545">
        <f>SUMIF(74:74,G14,75:75)-SUMIF(74:74,C14,75:75)+100</f>
        <v>100</v>
      </c>
      <c r="I14" s="538"/>
      <c r="J14" s="545">
        <f>SUMIF(74:74,I14,75:75)-SUMIF(74:74,C14,75:75)+100</f>
        <v>100</v>
      </c>
      <c r="K14" s="580"/>
      <c r="L14" s="2125"/>
      <c r="M14" s="2117"/>
      <c r="N14" s="2117"/>
      <c r="O14" s="2124"/>
      <c r="P14" s="3389"/>
      <c r="Q14" s="1144">
        <f t="shared" si="6"/>
        <v>111</v>
      </c>
      <c r="R14" s="1552" t="s">
        <v>8</v>
      </c>
      <c r="S14" s="1553">
        <f t="shared" si="0"/>
        <v>100</v>
      </c>
      <c r="T14" s="1552" t="s">
        <v>8</v>
      </c>
      <c r="U14" s="1553">
        <f t="shared" si="1"/>
        <v>100</v>
      </c>
      <c r="V14" s="1552" t="s">
        <v>8</v>
      </c>
      <c r="W14" s="1553">
        <f t="shared" si="2"/>
        <v>100</v>
      </c>
      <c r="X14" s="1554"/>
      <c r="Y14" s="3346"/>
      <c r="Z14" s="1143">
        <f t="shared" si="7"/>
        <v>111</v>
      </c>
      <c r="AA14" s="1555">
        <f t="shared" si="3"/>
        <v>1</v>
      </c>
      <c r="AB14" s="1555">
        <f t="shared" si="4"/>
        <v>1</v>
      </c>
      <c r="AC14" s="1555">
        <f t="shared" si="5"/>
        <v>1</v>
      </c>
    </row>
    <row r="15" spans="1:29" ht="71.25">
      <c r="A15" s="2863" t="s">
        <v>2752</v>
      </c>
      <c r="B15" s="165" t="s">
        <v>541</v>
      </c>
      <c r="C15" s="865"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c r="L15" s="2125"/>
      <c r="M15" s="2117"/>
      <c r="N15" s="2117"/>
      <c r="O15" s="2124"/>
      <c r="P15" s="3391" t="s">
        <v>540</v>
      </c>
      <c r="Q15" s="1556" t="str">
        <f t="shared" si="6"/>
        <v>商业繁华度</v>
      </c>
      <c r="R15" s="1557" t="s">
        <v>8</v>
      </c>
      <c r="S15" s="1558">
        <f t="shared" si="0"/>
        <v>100</v>
      </c>
      <c r="T15" s="1557" t="s">
        <v>8</v>
      </c>
      <c r="U15" s="1558">
        <f t="shared" si="1"/>
        <v>100</v>
      </c>
      <c r="V15" s="1557" t="s">
        <v>8</v>
      </c>
      <c r="W15" s="1558">
        <f t="shared" si="2"/>
        <v>100</v>
      </c>
      <c r="X15" s="1551"/>
      <c r="Y15" s="3391" t="s">
        <v>540</v>
      </c>
      <c r="Z15" s="1559" t="str">
        <f t="shared" si="7"/>
        <v>商业繁华度</v>
      </c>
      <c r="AA15" s="1560">
        <f t="shared" si="3"/>
        <v>1</v>
      </c>
      <c r="AB15" s="1560">
        <f t="shared" si="4"/>
        <v>1</v>
      </c>
      <c r="AC15" s="1560">
        <f t="shared" si="5"/>
        <v>1</v>
      </c>
    </row>
    <row r="16" spans="1:29" ht="15">
      <c r="A16" s="531"/>
      <c r="B16" s="867"/>
      <c r="C16" s="575"/>
      <c r="D16" s="554"/>
      <c r="E16" s="575"/>
      <c r="F16" s="556"/>
      <c r="G16" s="575"/>
      <c r="H16" s="558"/>
      <c r="I16" s="575"/>
      <c r="J16" s="554"/>
      <c r="K16" s="896"/>
      <c r="L16" s="2125"/>
      <c r="M16" s="2117"/>
      <c r="N16" s="2117"/>
      <c r="O16" s="2124"/>
      <c r="P16" s="3392"/>
      <c r="Q16" s="1556"/>
      <c r="R16" s="1557"/>
      <c r="S16" s="1558"/>
      <c r="T16" s="1557"/>
      <c r="U16" s="1558"/>
      <c r="V16" s="1557"/>
      <c r="W16" s="1558"/>
      <c r="X16" s="1551"/>
      <c r="Y16" s="3392"/>
      <c r="Z16" s="1559"/>
      <c r="AA16" s="1560">
        <v>1</v>
      </c>
      <c r="AB16" s="1560">
        <v>1</v>
      </c>
      <c r="AC16" s="1560">
        <v>1</v>
      </c>
    </row>
    <row r="17" spans="1:29" ht="85.5">
      <c r="A17" s="531"/>
      <c r="B17" s="869" t="s">
        <v>296</v>
      </c>
      <c r="C17" s="870"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25"/>
      <c r="M17" s="2117"/>
      <c r="N17" s="2117"/>
      <c r="O17" s="2124"/>
      <c r="P17" s="3392"/>
      <c r="Q17" s="1556" t="str">
        <f>B17</f>
        <v>交通便捷度</v>
      </c>
      <c r="R17" s="1557" t="s">
        <v>8</v>
      </c>
      <c r="S17" s="1558">
        <f>F17</f>
        <v>100</v>
      </c>
      <c r="T17" s="1557" t="s">
        <v>8</v>
      </c>
      <c r="U17" s="1558">
        <f>H17</f>
        <v>100</v>
      </c>
      <c r="V17" s="1557" t="s">
        <v>8</v>
      </c>
      <c r="W17" s="1558">
        <f>J17</f>
        <v>100</v>
      </c>
      <c r="X17" s="1551"/>
      <c r="Y17" s="3392"/>
      <c r="Z17" s="1559" t="str">
        <f>Q17</f>
        <v>交通便捷度</v>
      </c>
      <c r="AA17" s="1560">
        <f t="shared" si="3"/>
        <v>1</v>
      </c>
      <c r="AB17" s="1560">
        <f t="shared" si="4"/>
        <v>1</v>
      </c>
      <c r="AC17" s="1560">
        <f t="shared" si="5"/>
        <v>1</v>
      </c>
    </row>
    <row r="18" spans="1:29" ht="15">
      <c r="A18" s="531"/>
      <c r="B18" s="594"/>
      <c r="C18" s="871"/>
      <c r="D18" s="558"/>
      <c r="E18" s="567"/>
      <c r="F18" s="562"/>
      <c r="G18" s="568"/>
      <c r="H18" s="554"/>
      <c r="I18" s="567"/>
      <c r="J18" s="554"/>
      <c r="K18" s="896"/>
      <c r="L18" s="2125"/>
      <c r="M18" s="2117"/>
      <c r="N18" s="2117"/>
      <c r="O18" s="2124"/>
      <c r="P18" s="3392"/>
      <c r="Q18" s="1556"/>
      <c r="R18" s="1557"/>
      <c r="S18" s="1558"/>
      <c r="T18" s="1557"/>
      <c r="U18" s="1558"/>
      <c r="V18" s="1557"/>
      <c r="W18" s="1558"/>
      <c r="X18" s="1551"/>
      <c r="Y18" s="3392"/>
      <c r="Z18" s="1559"/>
      <c r="AA18" s="1560">
        <v>1</v>
      </c>
      <c r="AB18" s="1560">
        <v>1</v>
      </c>
      <c r="AC18" s="1560">
        <v>1</v>
      </c>
    </row>
    <row r="19" spans="1:29" ht="42.75">
      <c r="A19" s="531"/>
      <c r="B19" s="2562" t="s">
        <v>2545</v>
      </c>
      <c r="C19" s="870"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c r="L19" s="2125"/>
      <c r="M19" s="2117"/>
      <c r="N19" s="2117"/>
      <c r="O19" s="2124"/>
      <c r="P19" s="3392"/>
      <c r="Q19" s="1556" t="str">
        <f>B19</f>
        <v>公共配套设施</v>
      </c>
      <c r="R19" s="1557" t="s">
        <v>8</v>
      </c>
      <c r="S19" s="1558">
        <f>F19</f>
        <v>100</v>
      </c>
      <c r="T19" s="1557" t="s">
        <v>8</v>
      </c>
      <c r="U19" s="1558">
        <f>H19</f>
        <v>100</v>
      </c>
      <c r="V19" s="1557" t="s">
        <v>8</v>
      </c>
      <c r="W19" s="1558">
        <f>J19</f>
        <v>100</v>
      </c>
      <c r="X19" s="1551"/>
      <c r="Y19" s="3392"/>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6"/>
      <c r="L20" s="2125"/>
      <c r="M20" s="2117"/>
      <c r="N20" s="2117"/>
      <c r="O20" s="2124"/>
      <c r="P20" s="3392"/>
      <c r="Q20" s="1556"/>
      <c r="R20" s="1557"/>
      <c r="S20" s="1558"/>
      <c r="T20" s="1557"/>
      <c r="U20" s="1558"/>
      <c r="V20" s="1557"/>
      <c r="W20" s="1558"/>
      <c r="X20" s="1551"/>
      <c r="Y20" s="3392"/>
      <c r="Z20" s="1559"/>
      <c r="AA20" s="1560">
        <v>1</v>
      </c>
      <c r="AB20" s="1560">
        <v>1</v>
      </c>
      <c r="AC20" s="1560">
        <v>1</v>
      </c>
    </row>
    <row r="21" spans="1:29" ht="28.5">
      <c r="A21" s="531"/>
      <c r="B21" s="2555" t="s">
        <v>2557</v>
      </c>
      <c r="C21" s="870"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c r="L21" s="2125"/>
      <c r="M21" s="2117"/>
      <c r="N21" s="2117"/>
      <c r="O21" s="2124"/>
      <c r="P21" s="3392"/>
      <c r="Q21" s="2541" t="str">
        <f>B21</f>
        <v>基础设施水平</v>
      </c>
      <c r="R21" s="1557" t="s">
        <v>8</v>
      </c>
      <c r="S21" s="1558">
        <f>F21</f>
        <v>100</v>
      </c>
      <c r="T21" s="1557" t="s">
        <v>8</v>
      </c>
      <c r="U21" s="1558">
        <f>H21</f>
        <v>100</v>
      </c>
      <c r="V21" s="1557" t="s">
        <v>8</v>
      </c>
      <c r="W21" s="1558">
        <f>J21</f>
        <v>100</v>
      </c>
      <c r="X21" s="2543"/>
      <c r="Y21" s="3392"/>
      <c r="Z21" s="2542" t="str">
        <f>Q21</f>
        <v>基础设施水平</v>
      </c>
      <c r="AA21" s="1560">
        <f t="shared" ref="AA21" si="8">D21/F21</f>
        <v>1</v>
      </c>
      <c r="AB21" s="1560">
        <f t="shared" ref="AB21" si="9">D21/H21</f>
        <v>1</v>
      </c>
      <c r="AC21" s="1560">
        <f t="shared" ref="AC21" si="10">D21/J21</f>
        <v>1</v>
      </c>
    </row>
    <row r="22" spans="1:29" ht="15">
      <c r="A22" s="531"/>
      <c r="B22" s="919"/>
      <c r="C22" s="871"/>
      <c r="D22" s="554"/>
      <c r="E22" s="575"/>
      <c r="F22" s="556"/>
      <c r="G22" s="575"/>
      <c r="H22" s="554"/>
      <c r="I22" s="575"/>
      <c r="J22" s="554"/>
      <c r="K22" s="2564"/>
      <c r="L22" s="2125"/>
      <c r="M22" s="2117"/>
      <c r="N22" s="2117"/>
      <c r="O22" s="2124"/>
      <c r="P22" s="3392"/>
      <c r="Q22" s="2541"/>
      <c r="R22" s="1557"/>
      <c r="S22" s="1558"/>
      <c r="T22" s="1557"/>
      <c r="U22" s="1558"/>
      <c r="V22" s="1557"/>
      <c r="W22" s="1558"/>
      <c r="X22" s="2543"/>
      <c r="Y22" s="3392"/>
      <c r="Z22" s="2542"/>
      <c r="AA22" s="1560">
        <v>1</v>
      </c>
      <c r="AB22" s="1560">
        <v>1</v>
      </c>
      <c r="AC22" s="1560">
        <v>1</v>
      </c>
    </row>
    <row r="23" spans="1:29" ht="57">
      <c r="A23" s="531"/>
      <c r="B23" s="869" t="s">
        <v>297</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c r="L23" s="2125"/>
      <c r="M23" s="2117"/>
      <c r="N23" s="2117"/>
      <c r="O23" s="2124"/>
      <c r="P23" s="3392"/>
      <c r="Q23" s="1556" t="str">
        <f>B23</f>
        <v>自然及人文环境</v>
      </c>
      <c r="R23" s="1557" t="s">
        <v>8</v>
      </c>
      <c r="S23" s="1558">
        <f>F23</f>
        <v>100</v>
      </c>
      <c r="T23" s="1557" t="s">
        <v>8</v>
      </c>
      <c r="U23" s="1558">
        <f>H23</f>
        <v>100</v>
      </c>
      <c r="V23" s="1557" t="s">
        <v>8</v>
      </c>
      <c r="W23" s="1558">
        <f>J23</f>
        <v>100</v>
      </c>
      <c r="X23" s="1551"/>
      <c r="Y23" s="3392"/>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6"/>
      <c r="L24" s="2125"/>
      <c r="M24" s="2117"/>
      <c r="N24" s="2117"/>
      <c r="O24" s="2124"/>
      <c r="P24" s="3392"/>
      <c r="Q24" s="1556"/>
      <c r="R24" s="1557"/>
      <c r="S24" s="1558"/>
      <c r="T24" s="1557"/>
      <c r="U24" s="1558"/>
      <c r="V24" s="1557"/>
      <c r="W24" s="1558"/>
      <c r="X24" s="1551"/>
      <c r="Y24" s="3392"/>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392"/>
      <c r="Q25" s="1556" t="str">
        <f t="shared" ref="Q25:Q46" si="11">B25</f>
        <v>临街状况</v>
      </c>
      <c r="R25" s="1557" t="s">
        <v>8</v>
      </c>
      <c r="S25" s="1558">
        <f>F25</f>
        <v>100</v>
      </c>
      <c r="T25" s="1557" t="s">
        <v>8</v>
      </c>
      <c r="U25" s="1558">
        <f>H25</f>
        <v>100</v>
      </c>
      <c r="V25" s="1557" t="s">
        <v>8</v>
      </c>
      <c r="W25" s="1558">
        <f>J25</f>
        <v>100</v>
      </c>
      <c r="X25" s="1551"/>
      <c r="Y25" s="3392"/>
      <c r="Z25" s="1559" t="str">
        <f>Q25</f>
        <v>临街状况</v>
      </c>
      <c r="AA25" s="1560">
        <f t="shared" si="3"/>
        <v>1</v>
      </c>
      <c r="AB25" s="1560">
        <f t="shared" si="4"/>
        <v>1</v>
      </c>
      <c r="AC25" s="1560">
        <f t="shared" si="5"/>
        <v>1</v>
      </c>
    </row>
    <row r="26" spans="1:29" ht="15">
      <c r="A26" s="531"/>
      <c r="B26" s="875" t="s">
        <v>757</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392"/>
      <c r="Q26" s="1556" t="str">
        <f t="shared" si="11"/>
        <v>平面位置/可视性</v>
      </c>
      <c r="R26" s="1557" t="s">
        <v>8</v>
      </c>
      <c r="S26" s="1558">
        <f>F26</f>
        <v>100</v>
      </c>
      <c r="T26" s="1557" t="s">
        <v>8</v>
      </c>
      <c r="U26" s="1558">
        <f>H26</f>
        <v>100</v>
      </c>
      <c r="V26" s="1557" t="s">
        <v>8</v>
      </c>
      <c r="W26" s="1558">
        <f>J26</f>
        <v>100</v>
      </c>
      <c r="X26" s="1551"/>
      <c r="Y26" s="3392"/>
      <c r="Z26" s="1559" t="str">
        <f>Q26</f>
        <v>平面位置/可视性</v>
      </c>
      <c r="AA26" s="1560">
        <f t="shared" si="3"/>
        <v>1</v>
      </c>
      <c r="AB26" s="1560">
        <f t="shared" si="4"/>
        <v>1</v>
      </c>
      <c r="AC26" s="1560">
        <f t="shared" si="5"/>
        <v>1</v>
      </c>
    </row>
    <row r="27" spans="1:29" s="1213" customFormat="1" ht="15">
      <c r="A27" s="535"/>
      <c r="B27" s="869" t="s">
        <v>758</v>
      </c>
      <c r="C27" s="898"/>
      <c r="D27" s="873">
        <v>100</v>
      </c>
      <c r="E27" s="898"/>
      <c r="F27" s="874">
        <f>SUMIF(90:90,E27,91:91)-SUMIF(90:90,C27,91:91)+100</f>
        <v>100</v>
      </c>
      <c r="G27" s="898"/>
      <c r="H27" s="873">
        <f>SUMIF(90:90,G27,91:91)-SUMIF(90:90,C27,91:91)+100</f>
        <v>100</v>
      </c>
      <c r="I27" s="898"/>
      <c r="J27" s="873">
        <f>SUMIF(90:90,I27,91:91)-SUMIF(90:90,C27,91:91)+100</f>
        <v>100</v>
      </c>
      <c r="K27" s="583"/>
      <c r="L27" s="2118"/>
      <c r="M27" s="2119"/>
      <c r="N27" s="2119"/>
      <c r="O27" s="2120"/>
      <c r="P27" s="3392"/>
      <c r="Q27" s="1144" t="str">
        <f t="shared" si="11"/>
        <v>人流量</v>
      </c>
      <c r="R27" s="1552" t="s">
        <v>8</v>
      </c>
      <c r="S27" s="1553">
        <f>F27</f>
        <v>100</v>
      </c>
      <c r="T27" s="1552" t="s">
        <v>8</v>
      </c>
      <c r="U27" s="1553">
        <f>H27</f>
        <v>100</v>
      </c>
      <c r="V27" s="1552" t="s">
        <v>8</v>
      </c>
      <c r="W27" s="1553">
        <f>J27</f>
        <v>100</v>
      </c>
      <c r="X27" s="1554"/>
      <c r="Y27" s="3392"/>
      <c r="Z27" s="1143" t="str">
        <f>Q27</f>
        <v>人流量</v>
      </c>
      <c r="AA27" s="1560">
        <f>D27/F27</f>
        <v>1</v>
      </c>
      <c r="AB27" s="1560">
        <f>D27/H27</f>
        <v>1</v>
      </c>
      <c r="AC27" s="1560">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392"/>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92"/>
      <c r="Z28" s="1559" t="str">
        <f t="shared" ref="Z28:Z46" si="15">Q28</f>
        <v>楼层</v>
      </c>
      <c r="AA28" s="1560">
        <f t="shared" si="3"/>
        <v>1</v>
      </c>
      <c r="AB28" s="1560">
        <f t="shared" si="4"/>
        <v>1</v>
      </c>
      <c r="AC28" s="1560">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392"/>
      <c r="Q29" s="1556">
        <f t="shared" si="11"/>
        <v>111</v>
      </c>
      <c r="R29" s="1557" t="s">
        <v>8</v>
      </c>
      <c r="S29" s="1558">
        <f t="shared" si="12"/>
        <v>100</v>
      </c>
      <c r="T29" s="1557" t="s">
        <v>8</v>
      </c>
      <c r="U29" s="1558">
        <f t="shared" si="13"/>
        <v>100</v>
      </c>
      <c r="V29" s="1557" t="s">
        <v>8</v>
      </c>
      <c r="W29" s="1558">
        <f t="shared" si="14"/>
        <v>100</v>
      </c>
      <c r="X29" s="1551"/>
      <c r="Y29" s="3392"/>
      <c r="Z29" s="1559">
        <f t="shared" si="15"/>
        <v>111</v>
      </c>
      <c r="AA29" s="1560">
        <f t="shared" si="3"/>
        <v>1</v>
      </c>
      <c r="AB29" s="1560">
        <f t="shared" si="4"/>
        <v>1</v>
      </c>
      <c r="AC29" s="1560">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392"/>
      <c r="Q30" s="1556">
        <f t="shared" si="11"/>
        <v>111</v>
      </c>
      <c r="R30" s="1557" t="s">
        <v>8</v>
      </c>
      <c r="S30" s="1558">
        <f t="shared" si="12"/>
        <v>100</v>
      </c>
      <c r="T30" s="1557" t="s">
        <v>8</v>
      </c>
      <c r="U30" s="1558">
        <f t="shared" si="13"/>
        <v>100</v>
      </c>
      <c r="V30" s="1557" t="s">
        <v>8</v>
      </c>
      <c r="W30" s="1558">
        <f t="shared" si="14"/>
        <v>100</v>
      </c>
      <c r="X30" s="1551"/>
      <c r="Y30" s="3392"/>
      <c r="Z30" s="1559">
        <f t="shared" si="15"/>
        <v>111</v>
      </c>
      <c r="AA30" s="1560">
        <f t="shared" si="3"/>
        <v>1</v>
      </c>
      <c r="AB30" s="1560">
        <f t="shared" si="4"/>
        <v>1</v>
      </c>
      <c r="AC30" s="1560">
        <f t="shared" si="5"/>
        <v>1</v>
      </c>
    </row>
    <row r="31" spans="1:29" ht="15.75" thickBot="1">
      <c r="A31" s="542"/>
      <c r="B31" s="875">
        <v>111</v>
      </c>
      <c r="C31" s="544"/>
      <c r="D31" s="545">
        <v>100</v>
      </c>
      <c r="E31" s="538"/>
      <c r="F31" s="864">
        <f>SUMIF(98:98,E31,99:99)-SUMIF(98:98,C31,99:99)+100</f>
        <v>100</v>
      </c>
      <c r="G31" s="538"/>
      <c r="H31" s="545">
        <f>SUMIF(98:98,G31,99:99)-SUMIF(98:98,C31,99:99)+100</f>
        <v>100</v>
      </c>
      <c r="I31" s="538"/>
      <c r="J31" s="545">
        <f>SUMIF(98:98,I31,99:99)-SUMIF(98:98,C31,99:99)+100</f>
        <v>100</v>
      </c>
      <c r="K31" s="580"/>
      <c r="L31" s="2125"/>
      <c r="M31" s="2117"/>
      <c r="N31" s="2117"/>
      <c r="O31" s="2124"/>
      <c r="P31" s="3392"/>
      <c r="Q31" s="1556">
        <f t="shared" si="11"/>
        <v>111</v>
      </c>
      <c r="R31" s="1557" t="s">
        <v>8</v>
      </c>
      <c r="S31" s="1558">
        <f t="shared" si="12"/>
        <v>100</v>
      </c>
      <c r="T31" s="1557" t="s">
        <v>8</v>
      </c>
      <c r="U31" s="1558">
        <f t="shared" si="13"/>
        <v>100</v>
      </c>
      <c r="V31" s="1557" t="s">
        <v>8</v>
      </c>
      <c r="W31" s="1558">
        <f t="shared" si="14"/>
        <v>100</v>
      </c>
      <c r="X31" s="1551"/>
      <c r="Y31" s="3392"/>
      <c r="Z31" s="1559">
        <f t="shared" si="15"/>
        <v>111</v>
      </c>
      <c r="AA31" s="1560">
        <f t="shared" si="3"/>
        <v>1</v>
      </c>
      <c r="AB31" s="1560">
        <f t="shared" si="4"/>
        <v>1</v>
      </c>
      <c r="AC31" s="1560">
        <f t="shared" si="5"/>
        <v>1</v>
      </c>
    </row>
    <row r="32" spans="1:29" ht="15">
      <c r="A32" s="2860" t="s">
        <v>2753</v>
      </c>
      <c r="B32" s="171" t="s">
        <v>761</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25"/>
      <c r="M32" s="2117"/>
      <c r="N32" s="2117"/>
      <c r="O32" s="2124"/>
      <c r="P32" s="3393" t="s">
        <v>550</v>
      </c>
      <c r="Q32" s="1556" t="str">
        <f t="shared" si="11"/>
        <v>商业类型</v>
      </c>
      <c r="R32" s="1557" t="s">
        <v>8</v>
      </c>
      <c r="S32" s="1558">
        <f t="shared" si="12"/>
        <v>100</v>
      </c>
      <c r="T32" s="1557" t="s">
        <v>8</v>
      </c>
      <c r="U32" s="1558">
        <f t="shared" si="13"/>
        <v>100</v>
      </c>
      <c r="V32" s="1557" t="s">
        <v>8</v>
      </c>
      <c r="W32" s="1558">
        <f t="shared" si="14"/>
        <v>100</v>
      </c>
      <c r="X32" s="1551"/>
      <c r="Y32" s="3394" t="s">
        <v>550</v>
      </c>
      <c r="Z32" s="1559" t="str">
        <f t="shared" si="15"/>
        <v>商业类型</v>
      </c>
      <c r="AA32" s="1560">
        <f t="shared" si="3"/>
        <v>1</v>
      </c>
      <c r="AB32" s="1560">
        <f t="shared" si="4"/>
        <v>1</v>
      </c>
      <c r="AC32" s="1560">
        <f t="shared" si="5"/>
        <v>1</v>
      </c>
    </row>
    <row r="33" spans="1:29" s="1332" customFormat="1" ht="15">
      <c r="A33" s="602"/>
      <c r="B33" s="526" t="s">
        <v>725</v>
      </c>
      <c r="C33" s="877"/>
      <c r="D33" s="254">
        <v>100</v>
      </c>
      <c r="E33" s="533"/>
      <c r="F33" s="861"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394"/>
      <c r="Q33" s="1588" t="str">
        <f t="shared" si="11"/>
        <v>项目建筑规模</v>
      </c>
      <c r="R33" s="1561" t="s">
        <v>8</v>
      </c>
      <c r="S33" s="1562" t="e">
        <f t="shared" si="12"/>
        <v>#N/A</v>
      </c>
      <c r="T33" s="1561" t="s">
        <v>8</v>
      </c>
      <c r="U33" s="1562" t="e">
        <f t="shared" si="13"/>
        <v>#N/A</v>
      </c>
      <c r="V33" s="1561" t="s">
        <v>8</v>
      </c>
      <c r="W33" s="1562" t="e">
        <f t="shared" si="14"/>
        <v>#N/A</v>
      </c>
      <c r="X33" s="1563"/>
      <c r="Y33" s="3394"/>
      <c r="Z33" s="1564" t="str">
        <f t="shared" si="15"/>
        <v>项目建筑规模</v>
      </c>
      <c r="AA33" s="1560" t="e">
        <f t="shared" si="3"/>
        <v>#N/A</v>
      </c>
      <c r="AB33" s="1560" t="e">
        <f t="shared" si="4"/>
        <v>#N/A</v>
      </c>
      <c r="AC33" s="1560" t="e">
        <f t="shared" si="5"/>
        <v>#N/A</v>
      </c>
    </row>
    <row r="34" spans="1:29" ht="15">
      <c r="A34" s="593"/>
      <c r="B34" s="526" t="s">
        <v>726</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25"/>
      <c r="M34" s="2117"/>
      <c r="N34" s="2117"/>
      <c r="O34" s="2124"/>
      <c r="P34" s="3394"/>
      <c r="Q34" s="1556" t="str">
        <f t="shared" si="11"/>
        <v>建筑结构</v>
      </c>
      <c r="R34" s="1557" t="s">
        <v>8</v>
      </c>
      <c r="S34" s="1558">
        <f t="shared" si="12"/>
        <v>100</v>
      </c>
      <c r="T34" s="1557" t="s">
        <v>8</v>
      </c>
      <c r="U34" s="1558">
        <f t="shared" si="13"/>
        <v>100</v>
      </c>
      <c r="V34" s="1557" t="s">
        <v>8</v>
      </c>
      <c r="W34" s="1558">
        <f t="shared" si="14"/>
        <v>100</v>
      </c>
      <c r="X34" s="1551"/>
      <c r="Y34" s="3394"/>
      <c r="Z34" s="1559" t="str">
        <f t="shared" si="15"/>
        <v>建筑结构</v>
      </c>
      <c r="AA34" s="1560">
        <f t="shared" si="3"/>
        <v>1</v>
      </c>
      <c r="AB34" s="1560">
        <f t="shared" si="4"/>
        <v>1</v>
      </c>
      <c r="AC34" s="1560">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394"/>
      <c r="Q35" s="1556" t="str">
        <f t="shared" si="11"/>
        <v>公共部分装修</v>
      </c>
      <c r="R35" s="1557" t="s">
        <v>8</v>
      </c>
      <c r="S35" s="1558">
        <f t="shared" si="12"/>
        <v>100</v>
      </c>
      <c r="T35" s="1557" t="s">
        <v>8</v>
      </c>
      <c r="U35" s="1558">
        <f t="shared" si="13"/>
        <v>100</v>
      </c>
      <c r="V35" s="1557" t="s">
        <v>8</v>
      </c>
      <c r="W35" s="1558">
        <f t="shared" si="14"/>
        <v>100</v>
      </c>
      <c r="X35" s="1551"/>
      <c r="Y35" s="3394"/>
      <c r="Z35" s="1559" t="str">
        <f t="shared" si="15"/>
        <v>公共部分装修</v>
      </c>
      <c r="AA35" s="1560">
        <f t="shared" si="3"/>
        <v>1</v>
      </c>
      <c r="AB35" s="1560">
        <f t="shared" si="4"/>
        <v>1</v>
      </c>
      <c r="AC35" s="1560">
        <f t="shared" si="5"/>
        <v>1</v>
      </c>
    </row>
    <row r="36" spans="1:29" ht="15">
      <c r="A36" s="593"/>
      <c r="B36" s="526" t="s">
        <v>763</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25"/>
      <c r="M36" s="2117"/>
      <c r="N36" s="2117"/>
      <c r="O36" s="2124"/>
      <c r="P36" s="3394"/>
      <c r="Q36" s="1556" t="str">
        <f t="shared" si="11"/>
        <v>成新度</v>
      </c>
      <c r="R36" s="1557" t="s">
        <v>8</v>
      </c>
      <c r="S36" s="1558" t="e">
        <f t="shared" si="12"/>
        <v>#N/A</v>
      </c>
      <c r="T36" s="1557" t="s">
        <v>8</v>
      </c>
      <c r="U36" s="1558" t="e">
        <f t="shared" si="13"/>
        <v>#N/A</v>
      </c>
      <c r="V36" s="1557" t="s">
        <v>8</v>
      </c>
      <c r="W36" s="1558" t="e">
        <f t="shared" si="14"/>
        <v>#N/A</v>
      </c>
      <c r="X36" s="1551"/>
      <c r="Y36" s="3394"/>
      <c r="Z36" s="1559" t="str">
        <f t="shared" si="15"/>
        <v>成新度</v>
      </c>
      <c r="AA36" s="1560" t="e">
        <f t="shared" si="3"/>
        <v>#N/A</v>
      </c>
      <c r="AB36" s="1560" t="e">
        <f t="shared" si="4"/>
        <v>#N/A</v>
      </c>
      <c r="AC36" s="1560" t="e">
        <f t="shared" si="5"/>
        <v>#N/A</v>
      </c>
    </row>
    <row r="37" spans="1:29" s="1213" customFormat="1" ht="15">
      <c r="A37" s="599"/>
      <c r="B37" s="1878"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394"/>
      <c r="Q37" s="1144" t="str">
        <f t="shared" si="11"/>
        <v>市政基础设施</v>
      </c>
      <c r="R37" s="1552" t="s">
        <v>8</v>
      </c>
      <c r="S37" s="1553">
        <f t="shared" si="12"/>
        <v>100</v>
      </c>
      <c r="T37" s="1552" t="s">
        <v>8</v>
      </c>
      <c r="U37" s="1553">
        <f t="shared" si="13"/>
        <v>100</v>
      </c>
      <c r="V37" s="1552" t="s">
        <v>8</v>
      </c>
      <c r="W37" s="1553">
        <f t="shared" si="14"/>
        <v>100</v>
      </c>
      <c r="X37" s="1554"/>
      <c r="Y37" s="3394"/>
      <c r="Z37" s="1143" t="str">
        <f t="shared" si="15"/>
        <v>市政基础设施</v>
      </c>
      <c r="AA37" s="1555">
        <f t="shared" si="3"/>
        <v>1</v>
      </c>
      <c r="AB37" s="1555">
        <f t="shared" si="4"/>
        <v>1</v>
      </c>
      <c r="AC37" s="1555">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394" t="s">
        <v>765</v>
      </c>
      <c r="Q38" s="1556" t="str">
        <f t="shared" si="11"/>
        <v>业态</v>
      </c>
      <c r="R38" s="1557" t="s">
        <v>8</v>
      </c>
      <c r="S38" s="1558">
        <f t="shared" si="12"/>
        <v>100</v>
      </c>
      <c r="T38" s="1557" t="s">
        <v>8</v>
      </c>
      <c r="U38" s="1558">
        <f t="shared" si="13"/>
        <v>100</v>
      </c>
      <c r="V38" s="1557" t="s">
        <v>8</v>
      </c>
      <c r="W38" s="1558">
        <f t="shared" si="14"/>
        <v>100</v>
      </c>
      <c r="X38" s="1551"/>
      <c r="Y38" s="3394" t="s">
        <v>765</v>
      </c>
      <c r="Z38" s="1559" t="str">
        <f t="shared" si="15"/>
        <v>业态</v>
      </c>
      <c r="AA38" s="1560">
        <f t="shared" si="3"/>
        <v>1</v>
      </c>
      <c r="AB38" s="1560">
        <f t="shared" si="4"/>
        <v>1</v>
      </c>
      <c r="AC38" s="1560">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394"/>
      <c r="Q39" s="1556" t="str">
        <f t="shared" si="11"/>
        <v>层高</v>
      </c>
      <c r="R39" s="1557" t="s">
        <v>8</v>
      </c>
      <c r="S39" s="1558">
        <f t="shared" si="12"/>
        <v>100</v>
      </c>
      <c r="T39" s="1557" t="s">
        <v>8</v>
      </c>
      <c r="U39" s="1558">
        <f t="shared" si="13"/>
        <v>100</v>
      </c>
      <c r="V39" s="1557" t="s">
        <v>8</v>
      </c>
      <c r="W39" s="1558">
        <f t="shared" si="14"/>
        <v>100</v>
      </c>
      <c r="X39" s="1551"/>
      <c r="Y39" s="3394"/>
      <c r="Z39" s="1559" t="str">
        <f t="shared" si="15"/>
        <v>层高</v>
      </c>
      <c r="AA39" s="1560">
        <f t="shared" si="3"/>
        <v>1</v>
      </c>
      <c r="AB39" s="1560">
        <f t="shared" si="4"/>
        <v>1</v>
      </c>
      <c r="AC39" s="1560">
        <f t="shared" si="5"/>
        <v>1</v>
      </c>
    </row>
    <row r="40" spans="1:29" ht="15">
      <c r="A40" s="593"/>
      <c r="B40" s="526" t="s">
        <v>767</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25"/>
      <c r="M40" s="2117"/>
      <c r="N40" s="2117"/>
      <c r="O40" s="2124"/>
      <c r="P40" s="3394"/>
      <c r="Q40" s="1556" t="str">
        <f t="shared" si="11"/>
        <v>单套建筑面积</v>
      </c>
      <c r="R40" s="1557" t="s">
        <v>8</v>
      </c>
      <c r="S40" s="1558">
        <f t="shared" si="12"/>
        <v>100</v>
      </c>
      <c r="T40" s="1557" t="s">
        <v>8</v>
      </c>
      <c r="U40" s="1558">
        <f t="shared" si="13"/>
        <v>100</v>
      </c>
      <c r="V40" s="1557" t="s">
        <v>8</v>
      </c>
      <c r="W40" s="1558">
        <f t="shared" si="14"/>
        <v>100</v>
      </c>
      <c r="X40" s="1551"/>
      <c r="Y40" s="3394"/>
      <c r="Z40" s="1559" t="str">
        <f t="shared" si="15"/>
        <v>单套建筑面积</v>
      </c>
      <c r="AA40" s="1560">
        <f t="shared" si="3"/>
        <v>1</v>
      </c>
      <c r="AB40" s="1560">
        <f t="shared" si="4"/>
        <v>1</v>
      </c>
      <c r="AC40" s="1560">
        <f t="shared" si="5"/>
        <v>1</v>
      </c>
    </row>
    <row r="41" spans="1:29" s="1332" customFormat="1" ht="15">
      <c r="A41" s="602"/>
      <c r="B41" s="901"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394"/>
      <c r="Q41" s="1588" t="str">
        <f t="shared" si="11"/>
        <v>进深比</v>
      </c>
      <c r="R41" s="1561" t="s">
        <v>8</v>
      </c>
      <c r="S41" s="1562">
        <f t="shared" si="12"/>
        <v>100</v>
      </c>
      <c r="T41" s="1561" t="s">
        <v>8</v>
      </c>
      <c r="U41" s="1562">
        <f t="shared" si="13"/>
        <v>100</v>
      </c>
      <c r="V41" s="1561" t="s">
        <v>8</v>
      </c>
      <c r="W41" s="1562">
        <f t="shared" si="14"/>
        <v>100</v>
      </c>
      <c r="X41" s="1563"/>
      <c r="Y41" s="3394"/>
      <c r="Z41" s="1564" t="str">
        <f t="shared" si="15"/>
        <v>进深比</v>
      </c>
      <c r="AA41" s="1560">
        <f t="shared" si="3"/>
        <v>1</v>
      </c>
      <c r="AB41" s="1560">
        <f t="shared" si="4"/>
        <v>1</v>
      </c>
      <c r="AC41" s="1560">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394"/>
      <c r="Q42" s="1556" t="str">
        <f t="shared" si="11"/>
        <v>内部装修</v>
      </c>
      <c r="R42" s="1557" t="s">
        <v>8</v>
      </c>
      <c r="S42" s="1558">
        <f t="shared" si="12"/>
        <v>100</v>
      </c>
      <c r="T42" s="1557" t="s">
        <v>8</v>
      </c>
      <c r="U42" s="1558">
        <f t="shared" si="13"/>
        <v>100</v>
      </c>
      <c r="V42" s="1557" t="s">
        <v>8</v>
      </c>
      <c r="W42" s="1558">
        <f t="shared" si="14"/>
        <v>100</v>
      </c>
      <c r="X42" s="1551"/>
      <c r="Y42" s="3394"/>
      <c r="Z42" s="1559" t="str">
        <f t="shared" si="15"/>
        <v>内部装修</v>
      </c>
      <c r="AA42" s="1560">
        <f t="shared" si="3"/>
        <v>1</v>
      </c>
      <c r="AB42" s="1560">
        <f t="shared" si="4"/>
        <v>1</v>
      </c>
      <c r="AC42" s="1560">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394"/>
      <c r="Q43" s="1556" t="str">
        <f t="shared" si="11"/>
        <v>内部装修维护情况</v>
      </c>
      <c r="R43" s="1557" t="s">
        <v>8</v>
      </c>
      <c r="S43" s="1558">
        <f t="shared" si="12"/>
        <v>100</v>
      </c>
      <c r="T43" s="1557" t="s">
        <v>8</v>
      </c>
      <c r="U43" s="1558">
        <f t="shared" si="13"/>
        <v>100</v>
      </c>
      <c r="V43" s="1557" t="s">
        <v>8</v>
      </c>
      <c r="W43" s="1558">
        <f t="shared" si="14"/>
        <v>100</v>
      </c>
      <c r="X43" s="1551"/>
      <c r="Y43" s="3394"/>
      <c r="Z43" s="1559" t="str">
        <f t="shared" si="15"/>
        <v>内部装修维护情况</v>
      </c>
      <c r="AA43" s="1560">
        <f t="shared" si="3"/>
        <v>1</v>
      </c>
      <c r="AB43" s="1560">
        <f t="shared" si="4"/>
        <v>1</v>
      </c>
      <c r="AC43" s="1560">
        <f t="shared" si="5"/>
        <v>1</v>
      </c>
    </row>
    <row r="44" spans="1:29" s="1213" customFormat="1" ht="15">
      <c r="A44" s="599"/>
      <c r="B44" s="875">
        <v>111</v>
      </c>
      <c r="C44" s="877"/>
      <c r="D44" s="254">
        <v>100</v>
      </c>
      <c r="E44" s="538"/>
      <c r="F44" s="861">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394"/>
      <c r="Q44" s="1144">
        <f t="shared" si="11"/>
        <v>111</v>
      </c>
      <c r="R44" s="1552" t="s">
        <v>8</v>
      </c>
      <c r="S44" s="1553">
        <f t="shared" si="12"/>
        <v>100</v>
      </c>
      <c r="T44" s="1552" t="s">
        <v>8</v>
      </c>
      <c r="U44" s="1553">
        <f t="shared" si="13"/>
        <v>100</v>
      </c>
      <c r="V44" s="1552" t="s">
        <v>8</v>
      </c>
      <c r="W44" s="1553">
        <f t="shared" si="14"/>
        <v>100</v>
      </c>
      <c r="X44" s="1554"/>
      <c r="Y44" s="3394"/>
      <c r="Z44" s="1143">
        <f t="shared" si="15"/>
        <v>111</v>
      </c>
      <c r="AA44" s="1555">
        <f t="shared" si="3"/>
        <v>1</v>
      </c>
      <c r="AB44" s="1555">
        <f t="shared" si="4"/>
        <v>1</v>
      </c>
      <c r="AC44" s="1555">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394"/>
      <c r="Q45" s="1556">
        <f t="shared" si="11"/>
        <v>111</v>
      </c>
      <c r="R45" s="1557" t="s">
        <v>8</v>
      </c>
      <c r="S45" s="1558">
        <f t="shared" si="12"/>
        <v>100</v>
      </c>
      <c r="T45" s="1557" t="s">
        <v>8</v>
      </c>
      <c r="U45" s="1558">
        <f t="shared" si="13"/>
        <v>100</v>
      </c>
      <c r="V45" s="1557" t="s">
        <v>8</v>
      </c>
      <c r="W45" s="1558">
        <f t="shared" si="14"/>
        <v>100</v>
      </c>
      <c r="X45" s="1551"/>
      <c r="Y45" s="3394"/>
      <c r="Z45" s="1559">
        <f t="shared" si="15"/>
        <v>111</v>
      </c>
      <c r="AA45" s="1560">
        <f t="shared" si="3"/>
        <v>1</v>
      </c>
      <c r="AB45" s="1560">
        <f t="shared" si="4"/>
        <v>1</v>
      </c>
      <c r="AC45" s="1560">
        <f t="shared" si="5"/>
        <v>1</v>
      </c>
    </row>
    <row r="46" spans="1:29" ht="15.75" thickBot="1">
      <c r="A46" s="883"/>
      <c r="B46" s="543">
        <v>111</v>
      </c>
      <c r="C46" s="544"/>
      <c r="D46" s="545">
        <v>100</v>
      </c>
      <c r="E46" s="538"/>
      <c r="F46" s="864">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72"/>
      <c r="Q46" s="1556">
        <f t="shared" si="11"/>
        <v>111</v>
      </c>
      <c r="R46" s="1557" t="s">
        <v>8</v>
      </c>
      <c r="S46" s="1558">
        <f t="shared" si="12"/>
        <v>100</v>
      </c>
      <c r="T46" s="1557" t="s">
        <v>8</v>
      </c>
      <c r="U46" s="1558">
        <f t="shared" si="13"/>
        <v>100</v>
      </c>
      <c r="V46" s="1557" t="s">
        <v>8</v>
      </c>
      <c r="W46" s="1558">
        <f t="shared" si="14"/>
        <v>100</v>
      </c>
      <c r="X46" s="1551"/>
      <c r="Y46" s="3472"/>
      <c r="Z46" s="1559">
        <f t="shared" si="15"/>
        <v>111</v>
      </c>
      <c r="AA46" s="1560">
        <f t="shared" si="3"/>
        <v>1</v>
      </c>
      <c r="AB46" s="1560">
        <f t="shared" si="4"/>
        <v>1</v>
      </c>
      <c r="AC46" s="1560">
        <f t="shared" si="5"/>
        <v>1</v>
      </c>
    </row>
    <row r="47" spans="1:29" ht="15">
      <c r="A47" s="605" t="s">
        <v>735</v>
      </c>
      <c r="B47" s="884"/>
      <c r="C47" s="2589" t="s">
        <v>1</v>
      </c>
      <c r="D47" s="2590"/>
      <c r="E47" s="2591"/>
      <c r="F47" s="2592"/>
      <c r="G47" s="2593"/>
      <c r="H47" s="2594"/>
      <c r="I47" s="2591"/>
      <c r="J47" s="2594"/>
      <c r="K47" s="1594"/>
      <c r="L47" s="2127"/>
      <c r="M47" s="2128"/>
      <c r="N47" s="2117"/>
      <c r="O47" s="2128"/>
      <c r="P47" s="3389" t="str">
        <f>A47</f>
        <v>成交单价（元/平方米）</v>
      </c>
      <c r="Q47" s="3389"/>
      <c r="R47" s="3471">
        <f>E47</f>
        <v>0</v>
      </c>
      <c r="S47" s="3471"/>
      <c r="T47" s="3471">
        <f>G47</f>
        <v>0</v>
      </c>
      <c r="U47" s="3471"/>
      <c r="V47" s="3471">
        <f>I47</f>
        <v>0</v>
      </c>
      <c r="W47" s="3471"/>
      <c r="X47" s="1543"/>
      <c r="Y47" s="1565"/>
      <c r="Z47" s="1543"/>
      <c r="AA47" s="1543"/>
      <c r="AB47" s="1543"/>
      <c r="AC47" s="1543"/>
    </row>
    <row r="48" spans="1:29" ht="15.75" thickBot="1">
      <c r="A48" s="613" t="s">
        <v>2758</v>
      </c>
      <c r="B48" s="885"/>
      <c r="C48" s="2595" t="e">
        <f>R49</f>
        <v>#DIV/0!</v>
      </c>
      <c r="D48" s="2596"/>
      <c r="E48" s="2597" t="e">
        <f>R48</f>
        <v>#DIV/0!</v>
      </c>
      <c r="F48" s="2597"/>
      <c r="G48" s="2595" t="e">
        <f>T48</f>
        <v>#DIV/0!</v>
      </c>
      <c r="H48" s="2596"/>
      <c r="I48" s="2597" t="e">
        <f>V48</f>
        <v>#DIV/0!</v>
      </c>
      <c r="J48" s="2596"/>
      <c r="K48" s="1595"/>
      <c r="L48" s="2127"/>
      <c r="M48" s="2128"/>
      <c r="N48" s="2117"/>
      <c r="O48" s="2128"/>
      <c r="P48" s="3389" t="str">
        <f>A48</f>
        <v>比较价格（元/平方米）</v>
      </c>
      <c r="Q48" s="3389"/>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43"/>
      <c r="Y48" s="1543"/>
      <c r="Z48" s="1543"/>
      <c r="AA48" s="1543"/>
      <c r="AB48" s="1543"/>
      <c r="AC48" s="1543"/>
    </row>
    <row r="49" spans="1:29" ht="15.75" thickBot="1">
      <c r="A49" s="619" t="s">
        <v>2935</v>
      </c>
      <c r="B49" s="620"/>
      <c r="C49" s="2598" t="e">
        <f>R49</f>
        <v>#DIV/0!</v>
      </c>
      <c r="D49" s="2598"/>
      <c r="E49" s="2598"/>
      <c r="F49" s="2598"/>
      <c r="G49" s="2598"/>
      <c r="H49" s="2598"/>
      <c r="I49" s="2598"/>
      <c r="J49" s="2598"/>
      <c r="K49" s="1596"/>
      <c r="L49" s="2127"/>
      <c r="M49" s="2128"/>
      <c r="N49" s="2117"/>
      <c r="O49" s="2128"/>
      <c r="P49" s="3413" t="str">
        <f>A49</f>
        <v>估价对象XX用房的比较价格（楼面单价，元/平方米）</v>
      </c>
      <c r="Q49" s="3414"/>
      <c r="R49" s="3470" t="e">
        <f>IF(F1="售价",ROUND(AVERAGE(R48:V48),0),ROUND(AVERAGE(R48:V48),1))</f>
        <v>#DIV/0!</v>
      </c>
      <c r="S49" s="3470"/>
      <c r="T49" s="3470"/>
      <c r="U49" s="3470"/>
      <c r="V49" s="3470"/>
      <c r="W49" s="347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3" t="s">
        <v>529</v>
      </c>
      <c r="B58" s="644"/>
      <c r="C58" s="2755"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3"/>
      <c r="Q58" s="2144"/>
      <c r="R58" s="2144"/>
      <c r="S58" s="2144"/>
      <c r="T58" s="2144"/>
      <c r="U58" s="2144"/>
      <c r="V58" s="2144"/>
      <c r="W58" s="2144"/>
      <c r="X58" s="2144"/>
      <c r="Y58" s="2144"/>
      <c r="Z58" s="2144"/>
      <c r="AA58" s="2144"/>
      <c r="AB58" s="2144"/>
      <c r="AC58" s="2144"/>
    </row>
    <row r="59" spans="1:29" s="1213"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3"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3"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7"/>
      <c r="B62" s="646"/>
      <c r="C62" s="886">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8"/>
    </row>
    <row r="63" spans="1:29">
      <c r="A63" s="662" t="s">
        <v>577</v>
      </c>
      <c r="B63" s="663" t="s">
        <v>534</v>
      </c>
      <c r="C63" s="702">
        <f>C9</f>
        <v>0</v>
      </c>
      <c r="D63" s="597"/>
      <c r="E63" s="597"/>
      <c r="F63" s="597"/>
      <c r="G63" s="597"/>
      <c r="H63" s="597"/>
      <c r="I63" s="597"/>
      <c r="J63" s="597"/>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40"/>
      <c r="D68" s="540"/>
      <c r="E68" s="540"/>
      <c r="F68" s="540"/>
      <c r="G68" s="540"/>
      <c r="H68" s="540"/>
      <c r="I68" s="540"/>
      <c r="J68" s="540"/>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2"/>
      <c r="I83" s="932"/>
      <c r="J83" s="932"/>
      <c r="K83" s="932"/>
      <c r="L83" s="932"/>
      <c r="M83" s="558"/>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743</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7"/>
      <c r="B86" s="671" t="s">
        <v>770</v>
      </c>
      <c r="C86" s="686"/>
      <c r="D86" s="686"/>
      <c r="E86" s="686"/>
      <c r="F86" s="686"/>
      <c r="G86" s="686"/>
      <c r="H86" s="686"/>
      <c r="I86" s="686"/>
      <c r="J86" s="686"/>
      <c r="K86" s="686"/>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7"/>
      <c r="B88" s="671" t="str">
        <f>B26</f>
        <v>平面位置/可视性</v>
      </c>
      <c r="C88" s="686"/>
      <c r="D88" s="686"/>
      <c r="E88" s="686"/>
      <c r="F88" s="889"/>
      <c r="G88" s="686"/>
      <c r="H88" s="686"/>
      <c r="I88" s="686"/>
      <c r="J88" s="686"/>
      <c r="K88" s="686"/>
      <c r="L88" s="686"/>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0"/>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771</v>
      </c>
      <c r="C100" s="597"/>
      <c r="D100" s="597"/>
      <c r="E100" s="597"/>
      <c r="F100" s="597"/>
      <c r="G100" s="597"/>
      <c r="H100" s="597"/>
      <c r="I100" s="597"/>
      <c r="J100" s="597"/>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748</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6"/>
      <c r="B112" s="1879" t="s">
        <v>2555</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772</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773</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774</v>
      </c>
      <c r="C118" s="906"/>
      <c r="D118" s="906"/>
      <c r="E118" s="906"/>
      <c r="F118" s="906"/>
      <c r="G118" s="906"/>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6"/>
      <c r="B120" s="671" t="s">
        <v>775</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754</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776</v>
      </c>
      <c r="C1" s="503" t="s">
        <v>720</v>
      </c>
      <c r="D1" s="847"/>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0" t="s">
        <v>722</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395" t="s">
        <v>522</v>
      </c>
      <c r="D4" s="3397"/>
      <c r="E4" s="3422" t="s">
        <v>523</v>
      </c>
      <c r="F4" s="3396"/>
      <c r="G4" s="3395" t="s">
        <v>524</v>
      </c>
      <c r="H4" s="3397"/>
      <c r="I4" s="3395" t="s">
        <v>525</v>
      </c>
      <c r="J4" s="3397"/>
      <c r="K4" s="513" t="s">
        <v>526</v>
      </c>
      <c r="L4" s="2116"/>
      <c r="M4" s="2117"/>
      <c r="N4" s="2117"/>
      <c r="O4" s="2117"/>
      <c r="P4" s="3496" t="s">
        <v>527</v>
      </c>
      <c r="Q4" s="3399"/>
      <c r="R4" s="3383" t="s">
        <v>523</v>
      </c>
      <c r="S4" s="3384"/>
      <c r="T4" s="3383" t="s">
        <v>524</v>
      </c>
      <c r="U4" s="3384"/>
      <c r="V4" s="3404" t="s">
        <v>525</v>
      </c>
      <c r="W4" s="3404"/>
      <c r="X4" s="1551"/>
      <c r="Y4" s="3383" t="s">
        <v>527</v>
      </c>
      <c r="Z4" s="3384"/>
      <c r="AA4" s="3378" t="s">
        <v>523</v>
      </c>
      <c r="AB4" s="3378" t="s">
        <v>524</v>
      </c>
      <c r="AC4" s="3378" t="s">
        <v>525</v>
      </c>
    </row>
    <row r="5" spans="1:29" ht="15">
      <c r="A5" s="514"/>
      <c r="B5" s="515"/>
      <c r="C5" s="3407" t="s">
        <v>2929</v>
      </c>
      <c r="D5" s="3408"/>
      <c r="E5" s="3423" t="s">
        <v>2930</v>
      </c>
      <c r="F5" s="3409"/>
      <c r="G5" s="3407" t="s">
        <v>2931</v>
      </c>
      <c r="H5" s="3408"/>
      <c r="I5" s="3407" t="s">
        <v>2932</v>
      </c>
      <c r="J5" s="3408"/>
      <c r="K5" s="513"/>
      <c r="L5" s="2116"/>
      <c r="M5" s="2117"/>
      <c r="N5" s="2117"/>
      <c r="O5" s="2117"/>
      <c r="P5" s="3497"/>
      <c r="Q5" s="3401"/>
      <c r="R5" s="3385"/>
      <c r="S5" s="3386"/>
      <c r="T5" s="3385"/>
      <c r="U5" s="3386"/>
      <c r="V5" s="3404"/>
      <c r="W5" s="3404"/>
      <c r="X5" s="1551"/>
      <c r="Y5" s="3385"/>
      <c r="Z5" s="3386"/>
      <c r="AA5" s="3379"/>
      <c r="AB5" s="3379"/>
      <c r="AC5" s="3379"/>
    </row>
    <row r="6" spans="1:29" ht="15.75" thickBot="1">
      <c r="A6" s="516"/>
      <c r="B6" s="517"/>
      <c r="C6" s="3405" t="s">
        <v>2933</v>
      </c>
      <c r="D6" s="3406"/>
      <c r="E6" s="3424" t="s">
        <v>2933</v>
      </c>
      <c r="F6" s="3425"/>
      <c r="G6" s="3405" t="s">
        <v>2933</v>
      </c>
      <c r="H6" s="3406"/>
      <c r="I6" s="3405" t="s">
        <v>2933</v>
      </c>
      <c r="J6" s="3406"/>
      <c r="K6" s="513" t="s">
        <v>528</v>
      </c>
      <c r="L6" s="2116"/>
      <c r="M6" s="2117"/>
      <c r="N6" s="2117"/>
      <c r="O6" s="2117"/>
      <c r="P6" s="3498"/>
      <c r="Q6" s="3403"/>
      <c r="R6" s="3385"/>
      <c r="S6" s="3386"/>
      <c r="T6" s="3387"/>
      <c r="U6" s="3388"/>
      <c r="V6" s="3404"/>
      <c r="W6" s="3404"/>
      <c r="X6" s="1551"/>
      <c r="Y6" s="3387"/>
      <c r="Z6" s="3388"/>
      <c r="AA6" s="3380"/>
      <c r="AB6" s="3380"/>
      <c r="AC6" s="3380"/>
    </row>
    <row r="7" spans="1:29" s="1213" customFormat="1" ht="15.75" thickBot="1">
      <c r="A7" s="2865"/>
      <c r="B7" s="2872" t="s">
        <v>529</v>
      </c>
      <c r="C7" s="518">
        <f>'数据-取费表'!B2</f>
        <v>43630</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90" t="s">
        <v>530</v>
      </c>
      <c r="Q7" s="3390"/>
      <c r="R7" s="1552" t="s">
        <v>8</v>
      </c>
      <c r="S7" s="1553">
        <f t="shared" ref="S7:S15" si="0">F7</f>
        <v>0</v>
      </c>
      <c r="T7" s="1552" t="s">
        <v>8</v>
      </c>
      <c r="U7" s="1553">
        <f t="shared" ref="U7:U15" si="1">H7</f>
        <v>0</v>
      </c>
      <c r="V7" s="1552" t="s">
        <v>8</v>
      </c>
      <c r="W7" s="1553">
        <f t="shared" ref="W7:W15" si="2">J7</f>
        <v>0</v>
      </c>
      <c r="X7" s="1554"/>
      <c r="Y7" s="3381" t="s">
        <v>530</v>
      </c>
      <c r="Z7" s="3382"/>
      <c r="AA7" s="1555" t="e">
        <f>D7/F7</f>
        <v>#DIV/0!</v>
      </c>
      <c r="AB7" s="1555" t="e">
        <f>D7/H7</f>
        <v>#DIV/0!</v>
      </c>
      <c r="AC7" s="1555" t="e">
        <f>D7/J7</f>
        <v>#DIV/0!</v>
      </c>
    </row>
    <row r="8" spans="1:29" s="1213"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90" t="s">
        <v>533</v>
      </c>
      <c r="Q8" s="3382"/>
      <c r="R8" s="1552" t="s">
        <v>8</v>
      </c>
      <c r="S8" s="1553">
        <f t="shared" si="0"/>
        <v>0</v>
      </c>
      <c r="T8" s="1552" t="s">
        <v>8</v>
      </c>
      <c r="U8" s="1553">
        <f t="shared" si="1"/>
        <v>0</v>
      </c>
      <c r="V8" s="1552" t="s">
        <v>8</v>
      </c>
      <c r="W8" s="1553">
        <f t="shared" si="2"/>
        <v>0</v>
      </c>
      <c r="X8" s="1554"/>
      <c r="Y8" s="3381" t="s">
        <v>533</v>
      </c>
      <c r="Z8" s="3382"/>
      <c r="AA8" s="1555" t="e">
        <f t="shared" ref="AA8:AA47" si="3">D8/F8</f>
        <v>#DIV/0!</v>
      </c>
      <c r="AB8" s="1555" t="e">
        <f t="shared" ref="AB8:AB47" si="4">D8/H8</f>
        <v>#DIV/0!</v>
      </c>
      <c r="AC8" s="1555" t="e">
        <f t="shared" ref="AC8:AC47" si="5">D8/J8</f>
        <v>#DIV/0!</v>
      </c>
    </row>
    <row r="9" spans="1:29" s="1213" customFormat="1" ht="15">
      <c r="A9" s="2867"/>
      <c r="B9" s="2874" t="s">
        <v>2754</v>
      </c>
      <c r="C9" s="855"/>
      <c r="D9" s="253">
        <v>100</v>
      </c>
      <c r="E9" s="858"/>
      <c r="F9" s="253">
        <f>SUMIF(64:64,E9,65:65)-SUMIF(64:64,C9,65:65)+100</f>
        <v>100</v>
      </c>
      <c r="G9" s="856"/>
      <c r="H9" s="253">
        <f>SUMIF(64:64,G9,65:65)-SUMIF(64:64,C9,65:65)+100</f>
        <v>100</v>
      </c>
      <c r="I9" s="856"/>
      <c r="J9" s="253">
        <f>SUMIF(64:64,I9,65:65)-SUMIF(64:64,C9,65:65)+100</f>
        <v>100</v>
      </c>
      <c r="K9" s="523"/>
      <c r="L9" s="2118"/>
      <c r="M9" s="2119"/>
      <c r="N9" s="2119"/>
      <c r="O9" s="2119"/>
      <c r="P9" s="3389" t="s">
        <v>535</v>
      </c>
      <c r="Q9" s="1144" t="str">
        <f t="shared" ref="Q9:Q15" si="6">B9</f>
        <v>用途</v>
      </c>
      <c r="R9" s="1552" t="s">
        <v>8</v>
      </c>
      <c r="S9" s="1553">
        <f t="shared" si="0"/>
        <v>100</v>
      </c>
      <c r="T9" s="1552" t="s">
        <v>8</v>
      </c>
      <c r="U9" s="1553">
        <f t="shared" si="1"/>
        <v>100</v>
      </c>
      <c r="V9" s="1552" t="s">
        <v>8</v>
      </c>
      <c r="W9" s="1553">
        <f t="shared" si="2"/>
        <v>100</v>
      </c>
      <c r="X9" s="1554"/>
      <c r="Y9" s="3346" t="s">
        <v>536</v>
      </c>
      <c r="Z9" s="1143" t="str">
        <f t="shared" ref="Z9:Z15" si="7">Q9</f>
        <v>用途</v>
      </c>
      <c r="AA9" s="1555">
        <f t="shared" si="3"/>
        <v>1</v>
      </c>
      <c r="AB9" s="1555">
        <f t="shared" si="4"/>
        <v>1</v>
      </c>
      <c r="AC9" s="1555">
        <f t="shared" si="5"/>
        <v>1</v>
      </c>
    </row>
    <row r="10" spans="1:29" s="1331" customFormat="1" ht="27">
      <c r="A10" s="2868"/>
      <c r="B10" s="2873" t="s">
        <v>2755</v>
      </c>
      <c r="C10" s="859"/>
      <c r="D10" s="254">
        <v>100</v>
      </c>
      <c r="E10" s="859"/>
      <c r="F10" s="254">
        <f>SUMIF(66:66,E10,67:67)-SUMIF(66:66,C10,67:67)+100</f>
        <v>100</v>
      </c>
      <c r="G10" s="860"/>
      <c r="H10" s="254">
        <f>SUMIF(66:66,G10,67:67)-SUMIF(66:66,C10,67:67)+100</f>
        <v>100</v>
      </c>
      <c r="I10" s="859"/>
      <c r="J10" s="254">
        <f>SUMIF(66:66,I10,67:67)-SUMIF(66:66,C10,67:67)+100</f>
        <v>100</v>
      </c>
      <c r="K10" s="583"/>
      <c r="L10" s="2121"/>
      <c r="M10" s="2161"/>
      <c r="N10" s="2161"/>
      <c r="O10" s="2161"/>
      <c r="P10" s="3389"/>
      <c r="Q10" s="1144" t="str">
        <f t="shared" si="6"/>
        <v>土地使用年限（年）</v>
      </c>
      <c r="R10" s="1552" t="s">
        <v>8</v>
      </c>
      <c r="S10" s="1553">
        <f t="shared" si="0"/>
        <v>100</v>
      </c>
      <c r="T10" s="1552" t="s">
        <v>8</v>
      </c>
      <c r="U10" s="1553">
        <f t="shared" si="1"/>
        <v>100</v>
      </c>
      <c r="V10" s="1552" t="s">
        <v>8</v>
      </c>
      <c r="W10" s="1553">
        <f t="shared" si="2"/>
        <v>100</v>
      </c>
      <c r="X10" s="1554"/>
      <c r="Y10" s="3346"/>
      <c r="Z10" s="1143"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89"/>
      <c r="Q11" s="1144" t="str">
        <f t="shared" si="6"/>
        <v>容积率</v>
      </c>
      <c r="R11" s="1552" t="s">
        <v>8</v>
      </c>
      <c r="S11" s="1553" t="e">
        <f t="shared" si="0"/>
        <v>#N/A</v>
      </c>
      <c r="T11" s="1552" t="s">
        <v>8</v>
      </c>
      <c r="U11" s="1553" t="e">
        <f t="shared" si="1"/>
        <v>#N/A</v>
      </c>
      <c r="V11" s="1552" t="s">
        <v>8</v>
      </c>
      <c r="W11" s="1553" t="e">
        <f t="shared" si="2"/>
        <v>#N/A</v>
      </c>
      <c r="X11" s="1554"/>
      <c r="Y11" s="3346"/>
      <c r="Z11" s="1143" t="str">
        <f t="shared" si="7"/>
        <v>容积率</v>
      </c>
      <c r="AA11" s="1555" t="e">
        <f t="shared" si="3"/>
        <v>#N/A</v>
      </c>
      <c r="AB11" s="1555" t="e">
        <f t="shared" si="4"/>
        <v>#N/A</v>
      </c>
      <c r="AC11" s="1555" t="e">
        <f t="shared" si="5"/>
        <v>#N/A</v>
      </c>
    </row>
    <row r="12" spans="1:29" s="1213" customFormat="1" ht="15">
      <c r="A12" s="2870"/>
      <c r="B12" s="2876">
        <v>111</v>
      </c>
      <c r="C12" s="527"/>
      <c r="D12" s="537">
        <v>100</v>
      </c>
      <c r="E12" s="527"/>
      <c r="F12" s="254">
        <f>SUMIF(71:71,E12,72:72)-SUMIF(71:71,C12,72:72)+100</f>
        <v>100</v>
      </c>
      <c r="G12" s="907"/>
      <c r="H12" s="254">
        <f>SUMIF(71:71,G12,72:72)-SUMIF(71:71,C12,72:72)+100</f>
        <v>100</v>
      </c>
      <c r="I12" s="527"/>
      <c r="J12" s="254">
        <f>SUMIF(71:71,I12,72:72)-SUMIF(71:71,C12,72:72)+100</f>
        <v>100</v>
      </c>
      <c r="K12" s="580"/>
      <c r="L12" s="2118"/>
      <c r="M12" s="2119"/>
      <c r="N12" s="2119"/>
      <c r="O12" s="2119"/>
      <c r="P12" s="3389"/>
      <c r="Q12" s="1144">
        <f t="shared" si="6"/>
        <v>111</v>
      </c>
      <c r="R12" s="1552" t="s">
        <v>8</v>
      </c>
      <c r="S12" s="1553">
        <f t="shared" si="0"/>
        <v>100</v>
      </c>
      <c r="T12" s="1552" t="s">
        <v>8</v>
      </c>
      <c r="U12" s="1553">
        <f t="shared" si="1"/>
        <v>100</v>
      </c>
      <c r="V12" s="1552" t="s">
        <v>8</v>
      </c>
      <c r="W12" s="1553">
        <f t="shared" si="2"/>
        <v>100</v>
      </c>
      <c r="X12" s="1554"/>
      <c r="Y12" s="3346"/>
      <c r="Z12" s="1143">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7"/>
      <c r="H13" s="539">
        <f>SUMIF(73:73,G13,74:74)-SUMIF(73:73,C13,74:74)+100</f>
        <v>100</v>
      </c>
      <c r="I13" s="527"/>
      <c r="J13" s="539">
        <f>SUMIF(73:73,I13,74:74)-SUMIF(73:73,C13,74:74)+100</f>
        <v>100</v>
      </c>
      <c r="K13" s="580"/>
      <c r="L13" s="2125"/>
      <c r="M13" s="2117"/>
      <c r="N13" s="2117"/>
      <c r="O13" s="2117"/>
      <c r="P13" s="3389"/>
      <c r="Q13" s="1144">
        <f t="shared" si="6"/>
        <v>111</v>
      </c>
      <c r="R13" s="1552" t="s">
        <v>8</v>
      </c>
      <c r="S13" s="1553">
        <f t="shared" si="0"/>
        <v>100</v>
      </c>
      <c r="T13" s="1552" t="s">
        <v>8</v>
      </c>
      <c r="U13" s="1553">
        <f t="shared" si="1"/>
        <v>100</v>
      </c>
      <c r="V13" s="1552" t="s">
        <v>8</v>
      </c>
      <c r="W13" s="1553">
        <f t="shared" si="2"/>
        <v>100</v>
      </c>
      <c r="X13" s="1554"/>
      <c r="Y13" s="3346"/>
      <c r="Z13" s="1143">
        <f t="shared" si="7"/>
        <v>111</v>
      </c>
      <c r="AA13" s="1555">
        <f t="shared" si="3"/>
        <v>1</v>
      </c>
      <c r="AB13" s="1555">
        <f t="shared" si="4"/>
        <v>1</v>
      </c>
      <c r="AC13" s="1555">
        <f t="shared" si="5"/>
        <v>1</v>
      </c>
    </row>
    <row r="14" spans="1:29" ht="15.75" thickBot="1">
      <c r="A14" s="2871"/>
      <c r="B14" s="2877">
        <v>111</v>
      </c>
      <c r="C14" s="544"/>
      <c r="D14" s="545">
        <v>100</v>
      </c>
      <c r="E14" s="908"/>
      <c r="F14" s="545">
        <f>SUMIF(75:75,E14,76:76)-SUMIF(75:75,C14,76:76)+100</f>
        <v>100</v>
      </c>
      <c r="G14" s="907"/>
      <c r="H14" s="545">
        <f>SUMIF(75:75,G14,76:76)-SUMIF(75:75,C14,76:76)+100</f>
        <v>100</v>
      </c>
      <c r="I14" s="527"/>
      <c r="J14" s="545">
        <f>SUMIF(75:75,I14,76:76)-SUMIF(75:75,C14,76:76)+100</f>
        <v>100</v>
      </c>
      <c r="K14" s="580"/>
      <c r="L14" s="2125"/>
      <c r="M14" s="2117"/>
      <c r="N14" s="2117"/>
      <c r="O14" s="2117"/>
      <c r="P14" s="3389"/>
      <c r="Q14" s="1144">
        <f t="shared" si="6"/>
        <v>111</v>
      </c>
      <c r="R14" s="1552" t="s">
        <v>8</v>
      </c>
      <c r="S14" s="1553">
        <f t="shared" si="0"/>
        <v>100</v>
      </c>
      <c r="T14" s="1552" t="s">
        <v>8</v>
      </c>
      <c r="U14" s="1553">
        <f t="shared" si="1"/>
        <v>100</v>
      </c>
      <c r="V14" s="1552" t="s">
        <v>8</v>
      </c>
      <c r="W14" s="1553">
        <f t="shared" si="2"/>
        <v>100</v>
      </c>
      <c r="X14" s="1554"/>
      <c r="Y14" s="3346"/>
      <c r="Z14" s="1143">
        <f t="shared" si="7"/>
        <v>111</v>
      </c>
      <c r="AA14" s="1555">
        <f t="shared" si="3"/>
        <v>1</v>
      </c>
      <c r="AB14" s="1555">
        <f t="shared" si="4"/>
        <v>1</v>
      </c>
      <c r="AC14" s="1555">
        <f t="shared" si="5"/>
        <v>1</v>
      </c>
    </row>
    <row r="15" spans="1:29" ht="71.25">
      <c r="A15" s="286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25"/>
      <c r="M15" s="2117"/>
      <c r="N15" s="2117"/>
      <c r="O15" s="2117"/>
      <c r="P15" s="3391" t="s">
        <v>540</v>
      </c>
      <c r="Q15" s="1556" t="str">
        <f t="shared" si="6"/>
        <v>办公集聚程度</v>
      </c>
      <c r="R15" s="1557" t="s">
        <v>8</v>
      </c>
      <c r="S15" s="1558">
        <f t="shared" si="0"/>
        <v>100</v>
      </c>
      <c r="T15" s="1557" t="s">
        <v>8</v>
      </c>
      <c r="U15" s="1558">
        <f t="shared" si="1"/>
        <v>100</v>
      </c>
      <c r="V15" s="1557" t="s">
        <v>8</v>
      </c>
      <c r="W15" s="1558">
        <f t="shared" si="2"/>
        <v>100</v>
      </c>
      <c r="X15" s="1551"/>
      <c r="Y15" s="3391"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6"/>
      <c r="L16" s="2125"/>
      <c r="M16" s="2117"/>
      <c r="N16" s="2117"/>
      <c r="O16" s="2117"/>
      <c r="P16" s="3392"/>
      <c r="Q16" s="1556"/>
      <c r="R16" s="1557"/>
      <c r="S16" s="1558"/>
      <c r="T16" s="1557"/>
      <c r="U16" s="1558"/>
      <c r="V16" s="1557"/>
      <c r="W16" s="1558"/>
      <c r="X16" s="1551"/>
      <c r="Y16" s="3392"/>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25"/>
      <c r="M17" s="2117"/>
      <c r="N17" s="2117"/>
      <c r="O17" s="2117"/>
      <c r="P17" s="3392"/>
      <c r="Q17" s="1556" t="str">
        <f>B17</f>
        <v>交通便捷度</v>
      </c>
      <c r="R17" s="1557" t="s">
        <v>8</v>
      </c>
      <c r="S17" s="1558">
        <f>F17</f>
        <v>100</v>
      </c>
      <c r="T17" s="1557" t="s">
        <v>8</v>
      </c>
      <c r="U17" s="1558">
        <f>H17</f>
        <v>100</v>
      </c>
      <c r="V17" s="1557" t="s">
        <v>8</v>
      </c>
      <c r="W17" s="1558">
        <f>J17</f>
        <v>100</v>
      </c>
      <c r="X17" s="1551"/>
      <c r="Y17" s="3392"/>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6"/>
      <c r="L18" s="2125"/>
      <c r="M18" s="2117"/>
      <c r="N18" s="2117"/>
      <c r="O18" s="2117"/>
      <c r="P18" s="3392"/>
      <c r="Q18" s="1556"/>
      <c r="R18" s="1557"/>
      <c r="S18" s="1558"/>
      <c r="T18" s="1557"/>
      <c r="U18" s="1558"/>
      <c r="V18" s="1557"/>
      <c r="W18" s="1558"/>
      <c r="X18" s="1551"/>
      <c r="Y18" s="3392"/>
      <c r="Z18" s="1559"/>
      <c r="AA18" s="1560">
        <v>1</v>
      </c>
      <c r="AB18" s="1560">
        <v>1</v>
      </c>
      <c r="AC18" s="1560">
        <v>1</v>
      </c>
    </row>
    <row r="19" spans="1:29" ht="42.75">
      <c r="A19" s="531"/>
      <c r="B19" s="256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25"/>
      <c r="M19" s="2117"/>
      <c r="N19" s="2117"/>
      <c r="O19" s="2117"/>
      <c r="P19" s="3392"/>
      <c r="Q19" s="1556" t="str">
        <f>B19</f>
        <v>公共配套设施</v>
      </c>
      <c r="R19" s="1557" t="s">
        <v>8</v>
      </c>
      <c r="S19" s="1558">
        <f>F19</f>
        <v>100</v>
      </c>
      <c r="T19" s="1557" t="s">
        <v>8</v>
      </c>
      <c r="U19" s="1558">
        <f>H19</f>
        <v>100</v>
      </c>
      <c r="V19" s="1557" t="s">
        <v>8</v>
      </c>
      <c r="W19" s="1558">
        <f>J19</f>
        <v>100</v>
      </c>
      <c r="X19" s="1551"/>
      <c r="Y19" s="3392"/>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6"/>
      <c r="L20" s="2125"/>
      <c r="M20" s="2117"/>
      <c r="N20" s="2117"/>
      <c r="O20" s="2117"/>
      <c r="P20" s="3392"/>
      <c r="Q20" s="1556"/>
      <c r="R20" s="1557"/>
      <c r="S20" s="1558"/>
      <c r="T20" s="1557"/>
      <c r="U20" s="1558"/>
      <c r="V20" s="1557"/>
      <c r="W20" s="1558"/>
      <c r="X20" s="1551"/>
      <c r="Y20" s="3392"/>
      <c r="Z20" s="1559"/>
      <c r="AA20" s="1560">
        <v>1</v>
      </c>
      <c r="AB20" s="1560">
        <v>1</v>
      </c>
      <c r="AC20" s="1560">
        <v>1</v>
      </c>
    </row>
    <row r="21" spans="1:29" ht="28.5">
      <c r="A21" s="531"/>
      <c r="B21" s="255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25"/>
      <c r="M21" s="2117"/>
      <c r="N21" s="2117"/>
      <c r="O21" s="2117"/>
      <c r="P21" s="3392"/>
      <c r="Q21" s="2541" t="str">
        <f>B21</f>
        <v>基础设施水平</v>
      </c>
      <c r="R21" s="1557" t="s">
        <v>8</v>
      </c>
      <c r="S21" s="1558">
        <f>F21</f>
        <v>100</v>
      </c>
      <c r="T21" s="1557" t="s">
        <v>8</v>
      </c>
      <c r="U21" s="1558">
        <f>H21</f>
        <v>100</v>
      </c>
      <c r="V21" s="1557" t="s">
        <v>8</v>
      </c>
      <c r="W21" s="1558">
        <f>J21</f>
        <v>100</v>
      </c>
      <c r="X21" s="2543"/>
      <c r="Y21" s="3392"/>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392"/>
      <c r="Q22" s="2541"/>
      <c r="R22" s="1557"/>
      <c r="S22" s="1558"/>
      <c r="T22" s="1557"/>
      <c r="U22" s="1558"/>
      <c r="V22" s="1557"/>
      <c r="W22" s="1558"/>
      <c r="X22" s="2543"/>
      <c r="Y22" s="3392"/>
      <c r="Z22" s="2542"/>
      <c r="AA22" s="1560">
        <v>1</v>
      </c>
      <c r="AB22" s="1560">
        <v>1</v>
      </c>
      <c r="AC22" s="1560">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25"/>
      <c r="M23" s="2117"/>
      <c r="N23" s="2117"/>
      <c r="O23" s="2117"/>
      <c r="P23" s="3392"/>
      <c r="Q23" s="1556" t="str">
        <f>B23</f>
        <v>环境质量</v>
      </c>
      <c r="R23" s="1557" t="s">
        <v>8</v>
      </c>
      <c r="S23" s="1558">
        <f>F23</f>
        <v>100</v>
      </c>
      <c r="T23" s="1557" t="s">
        <v>8</v>
      </c>
      <c r="U23" s="1558">
        <f>H23</f>
        <v>100</v>
      </c>
      <c r="V23" s="1557" t="s">
        <v>8</v>
      </c>
      <c r="W23" s="1558">
        <f>J23</f>
        <v>100</v>
      </c>
      <c r="X23" s="1551"/>
      <c r="Y23" s="3392"/>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6"/>
      <c r="L24" s="2125"/>
      <c r="M24" s="2117"/>
      <c r="N24" s="2117"/>
      <c r="O24" s="2117"/>
      <c r="P24" s="3392"/>
      <c r="Q24" s="1556"/>
      <c r="R24" s="1557"/>
      <c r="S24" s="1558"/>
      <c r="T24" s="1557"/>
      <c r="U24" s="1558"/>
      <c r="V24" s="1557"/>
      <c r="W24" s="1558"/>
      <c r="X24" s="1551"/>
      <c r="Y24" s="3392"/>
      <c r="Z24" s="1559"/>
      <c r="AA24" s="1560">
        <v>1</v>
      </c>
      <c r="AB24" s="1560">
        <v>1</v>
      </c>
      <c r="AC24" s="1560">
        <v>1</v>
      </c>
    </row>
    <row r="25" spans="1:29" ht="27">
      <c r="A25" s="514"/>
      <c r="B25" s="559" t="s">
        <v>548</v>
      </c>
      <c r="C25" s="909"/>
      <c r="D25" s="539">
        <v>100</v>
      </c>
      <c r="E25" s="538"/>
      <c r="F25" s="539">
        <f>SUMIF(87:87,E26,88:88)-SUMIF(87:87,C26,88:88)+100</f>
        <v>100</v>
      </c>
      <c r="G25" s="909"/>
      <c r="H25" s="539">
        <f>SUMIF(87:87,G26,88:88)-SUMIF(87:87,C26,88:88)+100</f>
        <v>100</v>
      </c>
      <c r="I25" s="538"/>
      <c r="J25" s="539">
        <f>SUMIF(87:87,I26,88:88)-SUMIF(87:87,C26,88:88)+100</f>
        <v>100</v>
      </c>
      <c r="K25" s="895"/>
      <c r="L25" s="2125"/>
      <c r="M25" s="2117"/>
      <c r="N25" s="2117"/>
      <c r="O25" s="2117"/>
      <c r="P25" s="3392"/>
      <c r="Q25" s="1556" t="str">
        <f>B25</f>
        <v>毗邻道路的类型与等级</v>
      </c>
      <c r="R25" s="1557" t="s">
        <v>8</v>
      </c>
      <c r="S25" s="1558">
        <f>F25</f>
        <v>100</v>
      </c>
      <c r="T25" s="1557" t="s">
        <v>8</v>
      </c>
      <c r="U25" s="1558">
        <f>H25</f>
        <v>100</v>
      </c>
      <c r="V25" s="1557" t="s">
        <v>8</v>
      </c>
      <c r="W25" s="1558">
        <f>J25</f>
        <v>100</v>
      </c>
      <c r="X25" s="1551"/>
      <c r="Y25" s="3392"/>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6"/>
      <c r="L26" s="2125"/>
      <c r="M26" s="2117"/>
      <c r="N26" s="2117"/>
      <c r="O26" s="2117"/>
      <c r="P26" s="3392"/>
      <c r="Q26" s="1556"/>
      <c r="R26" s="1557"/>
      <c r="S26" s="1558"/>
      <c r="T26" s="1557"/>
      <c r="U26" s="1558"/>
      <c r="V26" s="1557"/>
      <c r="W26" s="1558"/>
      <c r="X26" s="1551"/>
      <c r="Y26" s="3392"/>
      <c r="Z26" s="1559"/>
      <c r="AA26" s="1560">
        <v>1</v>
      </c>
      <c r="AB26" s="1560">
        <v>1</v>
      </c>
      <c r="AC26" s="1560">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392"/>
      <c r="Q27" s="1556" t="str">
        <f t="shared" ref="Q27:Q47" si="11">B27</f>
        <v>楼层</v>
      </c>
      <c r="R27" s="1557" t="s">
        <v>8</v>
      </c>
      <c r="S27" s="1558">
        <f>F27</f>
        <v>100</v>
      </c>
      <c r="T27" s="1557" t="s">
        <v>8</v>
      </c>
      <c r="U27" s="1558">
        <f>H27</f>
        <v>100</v>
      </c>
      <c r="V27" s="1557" t="s">
        <v>8</v>
      </c>
      <c r="W27" s="1558">
        <f>J27</f>
        <v>100</v>
      </c>
      <c r="X27" s="1551"/>
      <c r="Y27" s="3392"/>
      <c r="Z27" s="1559" t="str">
        <f>Q27</f>
        <v>楼层</v>
      </c>
      <c r="AA27" s="1560">
        <f t="shared" si="3"/>
        <v>1</v>
      </c>
      <c r="AB27" s="1560">
        <f t="shared" si="4"/>
        <v>1</v>
      </c>
      <c r="AC27" s="1560">
        <f t="shared" si="5"/>
        <v>1</v>
      </c>
    </row>
    <row r="28" spans="1:29" s="1213" customFormat="1" ht="15">
      <c r="A28" s="535"/>
      <c r="B28" s="559" t="s">
        <v>778</v>
      </c>
      <c r="C28" s="910"/>
      <c r="D28" s="873">
        <v>100</v>
      </c>
      <c r="E28" s="898"/>
      <c r="F28" s="873">
        <f>SUMIF(91:91,E28,92:92)-SUMIF(91:91,C28,92:92)+100</f>
        <v>100</v>
      </c>
      <c r="G28" s="910"/>
      <c r="H28" s="873">
        <f>SUMIF(91:91,G28,92:92)-SUMIF(91:91,C28,92:92)+100</f>
        <v>100</v>
      </c>
      <c r="I28" s="898"/>
      <c r="J28" s="873">
        <f>SUMIF(91:91,I28,92:92)-SUMIF(91:91,C28,92:92)+100</f>
        <v>100</v>
      </c>
      <c r="K28" s="583"/>
      <c r="L28" s="2118"/>
      <c r="M28" s="2119"/>
      <c r="N28" s="2119"/>
      <c r="O28" s="2119"/>
      <c r="P28" s="3392"/>
      <c r="Q28" s="1144" t="str">
        <f t="shared" si="11"/>
        <v>朝向</v>
      </c>
      <c r="R28" s="1552" t="s">
        <v>8</v>
      </c>
      <c r="S28" s="1553">
        <f>F28</f>
        <v>100</v>
      </c>
      <c r="T28" s="1552" t="s">
        <v>8</v>
      </c>
      <c r="U28" s="1553">
        <f>H28</f>
        <v>100</v>
      </c>
      <c r="V28" s="1552" t="s">
        <v>8</v>
      </c>
      <c r="W28" s="1553">
        <f>J28</f>
        <v>100</v>
      </c>
      <c r="X28" s="1554"/>
      <c r="Y28" s="3392"/>
      <c r="Z28" s="1143" t="str">
        <f>Q28</f>
        <v>朝向</v>
      </c>
      <c r="AA28" s="1560">
        <f>D28/F28</f>
        <v>1</v>
      </c>
      <c r="AB28" s="1560">
        <f>D28/H28</f>
        <v>1</v>
      </c>
      <c r="AC28" s="1560">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25"/>
      <c r="M29" s="2117"/>
      <c r="N29" s="2117"/>
      <c r="O29" s="2117"/>
      <c r="P29" s="3392"/>
      <c r="Q29" s="1556">
        <f t="shared" si="11"/>
        <v>111</v>
      </c>
      <c r="R29" s="1557" t="s">
        <v>8</v>
      </c>
      <c r="S29" s="1558">
        <f t="shared" ref="S29:S47" si="12">F29</f>
        <v>100</v>
      </c>
      <c r="T29" s="1557" t="s">
        <v>8</v>
      </c>
      <c r="U29" s="1558">
        <f t="shared" ref="U29:U47" si="13">H29</f>
        <v>100</v>
      </c>
      <c r="V29" s="1557" t="s">
        <v>8</v>
      </c>
      <c r="W29" s="1558">
        <f t="shared" ref="W29:W47" si="14">J29</f>
        <v>100</v>
      </c>
      <c r="X29" s="1551"/>
      <c r="Y29" s="3392"/>
      <c r="Z29" s="1559">
        <f t="shared" ref="Z29:Z47" si="15">Q29</f>
        <v>111</v>
      </c>
      <c r="AA29" s="1560">
        <f t="shared" si="3"/>
        <v>1</v>
      </c>
      <c r="AB29" s="1560">
        <f t="shared" si="4"/>
        <v>1</v>
      </c>
      <c r="AC29" s="1560">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25"/>
      <c r="M30" s="2117"/>
      <c r="N30" s="2117"/>
      <c r="O30" s="2117"/>
      <c r="P30" s="3392"/>
      <c r="Q30" s="1556">
        <f t="shared" si="11"/>
        <v>111</v>
      </c>
      <c r="R30" s="1557" t="s">
        <v>8</v>
      </c>
      <c r="S30" s="1558">
        <f t="shared" si="12"/>
        <v>100</v>
      </c>
      <c r="T30" s="1557" t="s">
        <v>8</v>
      </c>
      <c r="U30" s="1558">
        <f t="shared" si="13"/>
        <v>100</v>
      </c>
      <c r="V30" s="1557" t="s">
        <v>8</v>
      </c>
      <c r="W30" s="1558">
        <f t="shared" si="14"/>
        <v>100</v>
      </c>
      <c r="X30" s="1551"/>
      <c r="Y30" s="3392"/>
      <c r="Z30" s="1559">
        <f t="shared" si="15"/>
        <v>111</v>
      </c>
      <c r="AA30" s="1560">
        <f t="shared" si="3"/>
        <v>1</v>
      </c>
      <c r="AB30" s="1560">
        <f t="shared" si="4"/>
        <v>1</v>
      </c>
      <c r="AC30" s="1560">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25"/>
      <c r="M31" s="2117"/>
      <c r="N31" s="2117"/>
      <c r="O31" s="2117"/>
      <c r="P31" s="3392"/>
      <c r="Q31" s="1556">
        <f t="shared" si="11"/>
        <v>111</v>
      </c>
      <c r="R31" s="1557" t="s">
        <v>8</v>
      </c>
      <c r="S31" s="1558">
        <f t="shared" si="12"/>
        <v>100</v>
      </c>
      <c r="T31" s="1557" t="s">
        <v>8</v>
      </c>
      <c r="U31" s="1558">
        <f t="shared" si="13"/>
        <v>100</v>
      </c>
      <c r="V31" s="1557" t="s">
        <v>8</v>
      </c>
      <c r="W31" s="1558">
        <f t="shared" si="14"/>
        <v>100</v>
      </c>
      <c r="X31" s="1551"/>
      <c r="Y31" s="3392"/>
      <c r="Z31" s="1559">
        <f t="shared" si="15"/>
        <v>111</v>
      </c>
      <c r="AA31" s="1560">
        <f t="shared" si="3"/>
        <v>1</v>
      </c>
      <c r="AB31" s="1560">
        <f t="shared" si="4"/>
        <v>1</v>
      </c>
      <c r="AC31" s="1560">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25"/>
      <c r="M32" s="2117"/>
      <c r="N32" s="2117"/>
      <c r="O32" s="2117"/>
      <c r="P32" s="3392"/>
      <c r="Q32" s="1556">
        <f t="shared" si="11"/>
        <v>111</v>
      </c>
      <c r="R32" s="1557" t="s">
        <v>8</v>
      </c>
      <c r="S32" s="1558">
        <f t="shared" si="12"/>
        <v>100</v>
      </c>
      <c r="T32" s="1557" t="s">
        <v>8</v>
      </c>
      <c r="U32" s="1558">
        <f t="shared" si="13"/>
        <v>100</v>
      </c>
      <c r="V32" s="1557" t="s">
        <v>8</v>
      </c>
      <c r="W32" s="1558">
        <f t="shared" si="14"/>
        <v>100</v>
      </c>
      <c r="X32" s="1551"/>
      <c r="Y32" s="3392"/>
      <c r="Z32" s="1559">
        <f t="shared" si="15"/>
        <v>111</v>
      </c>
      <c r="AA32" s="1560">
        <f t="shared" si="3"/>
        <v>1</v>
      </c>
      <c r="AB32" s="1560">
        <f t="shared" si="4"/>
        <v>1</v>
      </c>
      <c r="AC32" s="1560">
        <f t="shared" si="5"/>
        <v>1</v>
      </c>
    </row>
    <row r="33" spans="1:29" ht="15">
      <c r="A33" s="2860" t="s">
        <v>2753</v>
      </c>
      <c r="B33" s="171" t="s">
        <v>779</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25"/>
      <c r="M33" s="2117"/>
      <c r="N33" s="2117"/>
      <c r="O33" s="2117"/>
      <c r="P33" s="3393" t="s">
        <v>550</v>
      </c>
      <c r="Q33" s="1556" t="str">
        <f t="shared" si="11"/>
        <v>建筑类型</v>
      </c>
      <c r="R33" s="1557" t="s">
        <v>8</v>
      </c>
      <c r="S33" s="1558">
        <f t="shared" si="12"/>
        <v>100</v>
      </c>
      <c r="T33" s="1557" t="s">
        <v>8</v>
      </c>
      <c r="U33" s="1558">
        <f t="shared" si="13"/>
        <v>100</v>
      </c>
      <c r="V33" s="1557" t="s">
        <v>8</v>
      </c>
      <c r="W33" s="1558">
        <f t="shared" si="14"/>
        <v>100</v>
      </c>
      <c r="X33" s="1551"/>
      <c r="Y33" s="3394" t="s">
        <v>550</v>
      </c>
      <c r="Z33" s="1559" t="str">
        <f t="shared" si="15"/>
        <v>建筑类型</v>
      </c>
      <c r="AA33" s="1560">
        <f t="shared" si="3"/>
        <v>1</v>
      </c>
      <c r="AB33" s="1560">
        <f t="shared" si="4"/>
        <v>1</v>
      </c>
      <c r="AC33" s="1560">
        <f t="shared" si="5"/>
        <v>1</v>
      </c>
    </row>
    <row r="34" spans="1:29" s="1332" customFormat="1" ht="15">
      <c r="A34" s="602"/>
      <c r="B34" s="526" t="s">
        <v>725</v>
      </c>
      <c r="C34" s="877"/>
      <c r="D34" s="254">
        <v>100</v>
      </c>
      <c r="E34" s="533"/>
      <c r="F34" s="861"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394"/>
      <c r="Q34" s="1588" t="str">
        <f t="shared" si="11"/>
        <v>项目建筑规模</v>
      </c>
      <c r="R34" s="1561" t="s">
        <v>8</v>
      </c>
      <c r="S34" s="1562" t="e">
        <f t="shared" si="12"/>
        <v>#N/A</v>
      </c>
      <c r="T34" s="1561" t="s">
        <v>8</v>
      </c>
      <c r="U34" s="1562" t="e">
        <f t="shared" si="13"/>
        <v>#N/A</v>
      </c>
      <c r="V34" s="1561" t="s">
        <v>8</v>
      </c>
      <c r="W34" s="1562" t="e">
        <f t="shared" si="14"/>
        <v>#N/A</v>
      </c>
      <c r="X34" s="1563"/>
      <c r="Y34" s="3394"/>
      <c r="Z34" s="1564" t="str">
        <f t="shared" si="15"/>
        <v>项目建筑规模</v>
      </c>
      <c r="AA34" s="1560" t="e">
        <f t="shared" si="3"/>
        <v>#N/A</v>
      </c>
      <c r="AB34" s="1560" t="e">
        <f t="shared" si="4"/>
        <v>#N/A</v>
      </c>
      <c r="AC34" s="1560"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394"/>
      <c r="Q35" s="1556" t="str">
        <f t="shared" si="11"/>
        <v>建筑结构</v>
      </c>
      <c r="R35" s="1557" t="s">
        <v>8</v>
      </c>
      <c r="S35" s="1558">
        <f t="shared" si="12"/>
        <v>100</v>
      </c>
      <c r="T35" s="1557" t="s">
        <v>8</v>
      </c>
      <c r="U35" s="1558">
        <f t="shared" si="13"/>
        <v>100</v>
      </c>
      <c r="V35" s="1557" t="s">
        <v>8</v>
      </c>
      <c r="W35" s="1558">
        <f t="shared" si="14"/>
        <v>100</v>
      </c>
      <c r="X35" s="1551"/>
      <c r="Y35" s="3394"/>
      <c r="Z35" s="1559" t="str">
        <f t="shared" si="15"/>
        <v>建筑结构</v>
      </c>
      <c r="AA35" s="1560">
        <f t="shared" si="3"/>
        <v>1</v>
      </c>
      <c r="AB35" s="1560">
        <f t="shared" si="4"/>
        <v>1</v>
      </c>
      <c r="AC35" s="1560">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394"/>
      <c r="Q36" s="1556" t="str">
        <f t="shared" si="11"/>
        <v>公共部分装修</v>
      </c>
      <c r="R36" s="1557" t="s">
        <v>8</v>
      </c>
      <c r="S36" s="1558">
        <f t="shared" si="12"/>
        <v>100</v>
      </c>
      <c r="T36" s="1557" t="s">
        <v>8</v>
      </c>
      <c r="U36" s="1558">
        <f t="shared" si="13"/>
        <v>100</v>
      </c>
      <c r="V36" s="1557" t="s">
        <v>8</v>
      </c>
      <c r="W36" s="1558">
        <f t="shared" si="14"/>
        <v>100</v>
      </c>
      <c r="X36" s="1551"/>
      <c r="Y36" s="3394"/>
      <c r="Z36" s="1559" t="str">
        <f t="shared" si="15"/>
        <v>公共部分装修</v>
      </c>
      <c r="AA36" s="1560">
        <f t="shared" si="3"/>
        <v>1</v>
      </c>
      <c r="AB36" s="1560">
        <f t="shared" si="4"/>
        <v>1</v>
      </c>
      <c r="AC36" s="1560">
        <f t="shared" si="5"/>
        <v>1</v>
      </c>
    </row>
    <row r="37" spans="1:29" ht="15">
      <c r="A37" s="593"/>
      <c r="B37" s="526" t="s">
        <v>763</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25"/>
      <c r="M37" s="2117"/>
      <c r="N37" s="2117"/>
      <c r="O37" s="2117"/>
      <c r="P37" s="3394"/>
      <c r="Q37" s="1556" t="str">
        <f t="shared" si="11"/>
        <v>成新度</v>
      </c>
      <c r="R37" s="1557" t="s">
        <v>8</v>
      </c>
      <c r="S37" s="1558" t="e">
        <f t="shared" si="12"/>
        <v>#N/A</v>
      </c>
      <c r="T37" s="1557" t="s">
        <v>8</v>
      </c>
      <c r="U37" s="1558" t="e">
        <f t="shared" si="13"/>
        <v>#N/A</v>
      </c>
      <c r="V37" s="1557" t="s">
        <v>8</v>
      </c>
      <c r="W37" s="1558" t="e">
        <f t="shared" si="14"/>
        <v>#N/A</v>
      </c>
      <c r="X37" s="1551"/>
      <c r="Y37" s="3394"/>
      <c r="Z37" s="1559" t="str">
        <f t="shared" si="15"/>
        <v>成新度</v>
      </c>
      <c r="AA37" s="1560" t="e">
        <f t="shared" si="3"/>
        <v>#N/A</v>
      </c>
      <c r="AB37" s="1560" t="e">
        <f t="shared" si="4"/>
        <v>#N/A</v>
      </c>
      <c r="AC37" s="1560" t="e">
        <f t="shared" si="5"/>
        <v>#N/A</v>
      </c>
    </row>
    <row r="38" spans="1:29" s="1213"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394"/>
      <c r="Q38" s="1144" t="str">
        <f t="shared" si="11"/>
        <v>写字楼等级</v>
      </c>
      <c r="R38" s="1552" t="s">
        <v>8</v>
      </c>
      <c r="S38" s="1553">
        <f t="shared" si="12"/>
        <v>100</v>
      </c>
      <c r="T38" s="1552" t="s">
        <v>8</v>
      </c>
      <c r="U38" s="1553">
        <f t="shared" si="13"/>
        <v>100</v>
      </c>
      <c r="V38" s="1552" t="s">
        <v>8</v>
      </c>
      <c r="W38" s="1553">
        <f t="shared" si="14"/>
        <v>100</v>
      </c>
      <c r="X38" s="1554"/>
      <c r="Y38" s="3394"/>
      <c r="Z38" s="1143" t="str">
        <f t="shared" si="15"/>
        <v>写字楼等级</v>
      </c>
      <c r="AA38" s="1555">
        <f t="shared" si="3"/>
        <v>1</v>
      </c>
      <c r="AB38" s="1555">
        <f t="shared" si="4"/>
        <v>1</v>
      </c>
      <c r="AC38" s="1555">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394" t="s">
        <v>550</v>
      </c>
      <c r="Q39" s="1556" t="str">
        <f t="shared" si="11"/>
        <v>物业管理</v>
      </c>
      <c r="R39" s="1557" t="s">
        <v>8</v>
      </c>
      <c r="S39" s="1558">
        <f t="shared" si="12"/>
        <v>100</v>
      </c>
      <c r="T39" s="1557" t="s">
        <v>8</v>
      </c>
      <c r="U39" s="1558">
        <f t="shared" si="13"/>
        <v>100</v>
      </c>
      <c r="V39" s="1557" t="s">
        <v>8</v>
      </c>
      <c r="W39" s="1558">
        <f t="shared" si="14"/>
        <v>100</v>
      </c>
      <c r="X39" s="1551"/>
      <c r="Y39" s="3394" t="s">
        <v>550</v>
      </c>
      <c r="Z39" s="1559" t="str">
        <f t="shared" si="15"/>
        <v>物业管理</v>
      </c>
      <c r="AA39" s="1560">
        <f t="shared" si="3"/>
        <v>1</v>
      </c>
      <c r="AB39" s="1560">
        <f t="shared" si="4"/>
        <v>1</v>
      </c>
      <c r="AC39" s="1560">
        <f t="shared" si="5"/>
        <v>1</v>
      </c>
    </row>
    <row r="40" spans="1:29" ht="15">
      <c r="A40" s="593"/>
      <c r="B40" s="1878"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394"/>
      <c r="Q40" s="1556" t="str">
        <f t="shared" si="11"/>
        <v>市政基础设施</v>
      </c>
      <c r="R40" s="1557" t="s">
        <v>8</v>
      </c>
      <c r="S40" s="1558">
        <f t="shared" si="12"/>
        <v>100</v>
      </c>
      <c r="T40" s="1557" t="s">
        <v>8</v>
      </c>
      <c r="U40" s="1558">
        <f t="shared" si="13"/>
        <v>100</v>
      </c>
      <c r="V40" s="1557" t="s">
        <v>8</v>
      </c>
      <c r="W40" s="1558">
        <f t="shared" si="14"/>
        <v>100</v>
      </c>
      <c r="X40" s="1551"/>
      <c r="Y40" s="3394"/>
      <c r="Z40" s="1559" t="str">
        <f t="shared" si="15"/>
        <v>市政基础设施</v>
      </c>
      <c r="AA40" s="1560">
        <f t="shared" si="3"/>
        <v>1</v>
      </c>
      <c r="AB40" s="1560">
        <f t="shared" si="4"/>
        <v>1</v>
      </c>
      <c r="AC40" s="1560">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394"/>
      <c r="Q41" s="1556" t="str">
        <f t="shared" si="11"/>
        <v>层高</v>
      </c>
      <c r="R41" s="1557" t="s">
        <v>8</v>
      </c>
      <c r="S41" s="1558">
        <f t="shared" si="12"/>
        <v>100</v>
      </c>
      <c r="T41" s="1557" t="s">
        <v>8</v>
      </c>
      <c r="U41" s="1558">
        <f t="shared" si="13"/>
        <v>100</v>
      </c>
      <c r="V41" s="1557" t="s">
        <v>8</v>
      </c>
      <c r="W41" s="1558">
        <f t="shared" si="14"/>
        <v>100</v>
      </c>
      <c r="X41" s="1551"/>
      <c r="Y41" s="3394"/>
      <c r="Z41" s="1559" t="str">
        <f t="shared" si="15"/>
        <v>层高</v>
      </c>
      <c r="AA41" s="1560">
        <f t="shared" si="3"/>
        <v>1</v>
      </c>
      <c r="AB41" s="1560">
        <f t="shared" si="4"/>
        <v>1</v>
      </c>
      <c r="AC41" s="1560">
        <f t="shared" si="5"/>
        <v>1</v>
      </c>
    </row>
    <row r="42" spans="1:29" s="1332" customFormat="1" ht="15">
      <c r="A42" s="602"/>
      <c r="B42" s="901"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394"/>
      <c r="Q42" s="1588" t="str">
        <f t="shared" si="11"/>
        <v>单套建筑面积</v>
      </c>
      <c r="R42" s="1561" t="s">
        <v>8</v>
      </c>
      <c r="S42" s="1562">
        <f t="shared" si="12"/>
        <v>100</v>
      </c>
      <c r="T42" s="1561" t="s">
        <v>8</v>
      </c>
      <c r="U42" s="1562">
        <f t="shared" si="13"/>
        <v>100</v>
      </c>
      <c r="V42" s="1561" t="s">
        <v>8</v>
      </c>
      <c r="W42" s="1562">
        <f t="shared" si="14"/>
        <v>100</v>
      </c>
      <c r="X42" s="1563"/>
      <c r="Y42" s="3394"/>
      <c r="Z42" s="1564" t="str">
        <f t="shared" si="15"/>
        <v>单套建筑面积</v>
      </c>
      <c r="AA42" s="1560">
        <f t="shared" si="3"/>
        <v>1</v>
      </c>
      <c r="AB42" s="1560">
        <f t="shared" si="4"/>
        <v>1</v>
      </c>
      <c r="AC42" s="1560">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394"/>
      <c r="Q43" s="1556" t="str">
        <f t="shared" si="11"/>
        <v>内部装修</v>
      </c>
      <c r="R43" s="1557" t="s">
        <v>8</v>
      </c>
      <c r="S43" s="1558">
        <f t="shared" si="12"/>
        <v>100</v>
      </c>
      <c r="T43" s="1557" t="s">
        <v>8</v>
      </c>
      <c r="U43" s="1558">
        <f t="shared" si="13"/>
        <v>100</v>
      </c>
      <c r="V43" s="1557" t="s">
        <v>8</v>
      </c>
      <c r="W43" s="1558">
        <f t="shared" si="14"/>
        <v>100</v>
      </c>
      <c r="X43" s="1551"/>
      <c r="Y43" s="3394"/>
      <c r="Z43" s="1559" t="str">
        <f t="shared" si="15"/>
        <v>内部装修</v>
      </c>
      <c r="AA43" s="1560">
        <f t="shared" si="3"/>
        <v>1</v>
      </c>
      <c r="AB43" s="1560">
        <f t="shared" si="4"/>
        <v>1</v>
      </c>
      <c r="AC43" s="1560">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394"/>
      <c r="Q44" s="1556" t="str">
        <f t="shared" si="11"/>
        <v>内部装修维护情况</v>
      </c>
      <c r="R44" s="1557" t="s">
        <v>8</v>
      </c>
      <c r="S44" s="1558">
        <f t="shared" si="12"/>
        <v>100</v>
      </c>
      <c r="T44" s="1557" t="s">
        <v>8</v>
      </c>
      <c r="U44" s="1558">
        <f t="shared" si="13"/>
        <v>100</v>
      </c>
      <c r="V44" s="1557" t="s">
        <v>8</v>
      </c>
      <c r="W44" s="1558">
        <f t="shared" si="14"/>
        <v>100</v>
      </c>
      <c r="X44" s="1551"/>
      <c r="Y44" s="3394"/>
      <c r="Z44" s="1559" t="str">
        <f t="shared" si="15"/>
        <v>内部装修维护情况</v>
      </c>
      <c r="AA44" s="1560">
        <f t="shared" si="3"/>
        <v>1</v>
      </c>
      <c r="AB44" s="1560">
        <f t="shared" si="4"/>
        <v>1</v>
      </c>
      <c r="AC44" s="1560">
        <f t="shared" si="5"/>
        <v>1</v>
      </c>
    </row>
    <row r="45" spans="1:29" s="1213" customFormat="1" ht="15">
      <c r="A45" s="599"/>
      <c r="B45" s="875">
        <v>111</v>
      </c>
      <c r="C45" s="877"/>
      <c r="D45" s="254">
        <v>100</v>
      </c>
      <c r="E45" s="527"/>
      <c r="F45" s="861">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394"/>
      <c r="Q45" s="1144">
        <f t="shared" si="11"/>
        <v>111</v>
      </c>
      <c r="R45" s="1552" t="s">
        <v>8</v>
      </c>
      <c r="S45" s="1553">
        <f t="shared" si="12"/>
        <v>100</v>
      </c>
      <c r="T45" s="1552" t="s">
        <v>8</v>
      </c>
      <c r="U45" s="1553">
        <f t="shared" si="13"/>
        <v>100</v>
      </c>
      <c r="V45" s="1552" t="s">
        <v>8</v>
      </c>
      <c r="W45" s="1553">
        <f t="shared" si="14"/>
        <v>100</v>
      </c>
      <c r="X45" s="1554"/>
      <c r="Y45" s="3394"/>
      <c r="Z45" s="1143">
        <f t="shared" si="15"/>
        <v>111</v>
      </c>
      <c r="AA45" s="1555">
        <f t="shared" si="3"/>
        <v>1</v>
      </c>
      <c r="AB45" s="1555">
        <f t="shared" si="4"/>
        <v>1</v>
      </c>
      <c r="AC45" s="1555">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394"/>
      <c r="Q46" s="1556">
        <f t="shared" si="11"/>
        <v>111</v>
      </c>
      <c r="R46" s="1557" t="s">
        <v>8</v>
      </c>
      <c r="S46" s="1558">
        <f t="shared" si="12"/>
        <v>100</v>
      </c>
      <c r="T46" s="1557" t="s">
        <v>8</v>
      </c>
      <c r="U46" s="1558">
        <f t="shared" si="13"/>
        <v>100</v>
      </c>
      <c r="V46" s="1557" t="s">
        <v>8</v>
      </c>
      <c r="W46" s="1558">
        <f t="shared" si="14"/>
        <v>100</v>
      </c>
      <c r="X46" s="1551"/>
      <c r="Y46" s="3394"/>
      <c r="Z46" s="1559">
        <f t="shared" si="15"/>
        <v>111</v>
      </c>
      <c r="AA46" s="1560">
        <f t="shared" si="3"/>
        <v>1</v>
      </c>
      <c r="AB46" s="1560">
        <f t="shared" si="4"/>
        <v>1</v>
      </c>
      <c r="AC46" s="1560">
        <f t="shared" si="5"/>
        <v>1</v>
      </c>
    </row>
    <row r="47" spans="1:29" ht="15.75" thickBot="1">
      <c r="A47" s="883"/>
      <c r="B47" s="543">
        <v>111</v>
      </c>
      <c r="C47" s="544"/>
      <c r="D47" s="545">
        <v>100</v>
      </c>
      <c r="E47" s="527"/>
      <c r="F47" s="864">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72"/>
      <c r="Q47" s="1556">
        <f t="shared" si="11"/>
        <v>111</v>
      </c>
      <c r="R47" s="1557" t="s">
        <v>8</v>
      </c>
      <c r="S47" s="1558">
        <f t="shared" si="12"/>
        <v>100</v>
      </c>
      <c r="T47" s="1557" t="s">
        <v>8</v>
      </c>
      <c r="U47" s="1558">
        <f t="shared" si="13"/>
        <v>100</v>
      </c>
      <c r="V47" s="1557" t="s">
        <v>8</v>
      </c>
      <c r="W47" s="1558">
        <f t="shared" si="14"/>
        <v>100</v>
      </c>
      <c r="X47" s="1551"/>
      <c r="Y47" s="3472"/>
      <c r="Z47" s="1559">
        <f t="shared" si="15"/>
        <v>111</v>
      </c>
      <c r="AA47" s="1560">
        <f t="shared" si="3"/>
        <v>1</v>
      </c>
      <c r="AB47" s="1560">
        <f t="shared" si="4"/>
        <v>1</v>
      </c>
      <c r="AC47" s="1560">
        <f t="shared" si="5"/>
        <v>1</v>
      </c>
    </row>
    <row r="48" spans="1:29" ht="15">
      <c r="A48" s="605" t="s">
        <v>735</v>
      </c>
      <c r="B48" s="884"/>
      <c r="C48" s="2589" t="s">
        <v>1</v>
      </c>
      <c r="D48" s="2590"/>
      <c r="E48" s="2591"/>
      <c r="F48" s="2592"/>
      <c r="G48" s="2593"/>
      <c r="H48" s="2594"/>
      <c r="I48" s="2591"/>
      <c r="J48" s="2594"/>
      <c r="K48" s="1594"/>
      <c r="L48" s="2127"/>
      <c r="M48" s="2117"/>
      <c r="N48" s="2117"/>
      <c r="O48" s="2117"/>
      <c r="P48" s="3414" t="str">
        <f>A48</f>
        <v>成交单价（元/平方米）</v>
      </c>
      <c r="Q48" s="3389"/>
      <c r="R48" s="3471">
        <f>E48</f>
        <v>0</v>
      </c>
      <c r="S48" s="3471"/>
      <c r="T48" s="3471">
        <f>G48</f>
        <v>0</v>
      </c>
      <c r="U48" s="3471"/>
      <c r="V48" s="3471">
        <f>I48</f>
        <v>0</v>
      </c>
      <c r="W48" s="3471"/>
      <c r="X48" s="1543"/>
      <c r="Y48" s="1565"/>
      <c r="Z48" s="1543"/>
      <c r="AA48" s="1543"/>
      <c r="AB48" s="1543"/>
      <c r="AC48" s="1543"/>
    </row>
    <row r="49" spans="1:29" ht="15.75" thickBot="1">
      <c r="A49" s="613" t="s">
        <v>2758</v>
      </c>
      <c r="B49" s="885"/>
      <c r="C49" s="2595" t="e">
        <f>R50</f>
        <v>#DIV/0!</v>
      </c>
      <c r="D49" s="2596"/>
      <c r="E49" s="2597" t="e">
        <f>R49</f>
        <v>#DIV/0!</v>
      </c>
      <c r="F49" s="2597"/>
      <c r="G49" s="2595" t="e">
        <f>T49</f>
        <v>#DIV/0!</v>
      </c>
      <c r="H49" s="2596"/>
      <c r="I49" s="2597" t="e">
        <f>V49</f>
        <v>#DIV/0!</v>
      </c>
      <c r="J49" s="2596"/>
      <c r="K49" s="1595"/>
      <c r="L49" s="2127"/>
      <c r="M49" s="2117"/>
      <c r="N49" s="2117"/>
      <c r="O49" s="2117"/>
      <c r="P49" s="3414" t="str">
        <f>A49</f>
        <v>比较价格（元/平方米）</v>
      </c>
      <c r="Q49" s="3389"/>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43"/>
      <c r="Y49" s="1543"/>
      <c r="Z49" s="1543"/>
      <c r="AA49" s="1543"/>
      <c r="AB49" s="1543"/>
      <c r="AC49" s="1543"/>
    </row>
    <row r="50" spans="1:29" ht="15.75" thickBot="1">
      <c r="A50" s="619" t="s">
        <v>2935</v>
      </c>
      <c r="B50" s="620"/>
      <c r="C50" s="2598" t="e">
        <f>R50</f>
        <v>#DIV/0!</v>
      </c>
      <c r="D50" s="2598"/>
      <c r="E50" s="2598"/>
      <c r="F50" s="2598"/>
      <c r="G50" s="2598"/>
      <c r="H50" s="2598"/>
      <c r="I50" s="2598"/>
      <c r="J50" s="2598"/>
      <c r="K50" s="1596"/>
      <c r="L50" s="2127"/>
      <c r="M50" s="2117"/>
      <c r="N50" s="2117"/>
      <c r="O50" s="2117"/>
      <c r="P50" s="3499" t="str">
        <f>A50</f>
        <v>估价对象XX用房的比较价格（楼面单价，元/平方米）</v>
      </c>
      <c r="Q50" s="3414"/>
      <c r="R50" s="3470" t="e">
        <f>IF(F1="售价",ROUND(AVERAGE(R49:V49),0),ROUND(AVERAGE(R49:V49),1))</f>
        <v>#DIV/0!</v>
      </c>
      <c r="S50" s="3470"/>
      <c r="T50" s="3470"/>
      <c r="U50" s="3470"/>
      <c r="V50" s="3470"/>
      <c r="W50" s="347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3" t="s">
        <v>529</v>
      </c>
      <c r="B59" s="644"/>
      <c r="C59" s="2755" t="str">
        <f>YEAR(C7)&amp;"-"&amp;MONTH(C7)</f>
        <v>2019-6</v>
      </c>
      <c r="D59" s="2757">
        <f>EDATE(C59,-1)</f>
        <v>43586</v>
      </c>
      <c r="E59" s="2757">
        <f t="shared" ref="E59:O59" si="16">EDATE(D59,-1)</f>
        <v>43556</v>
      </c>
      <c r="F59" s="2757">
        <f t="shared" si="16"/>
        <v>43525</v>
      </c>
      <c r="G59" s="2757">
        <f t="shared" si="16"/>
        <v>43497</v>
      </c>
      <c r="H59" s="2757">
        <f t="shared" si="16"/>
        <v>43466</v>
      </c>
      <c r="I59" s="2757">
        <f t="shared" si="16"/>
        <v>43435</v>
      </c>
      <c r="J59" s="2757">
        <f t="shared" si="16"/>
        <v>43405</v>
      </c>
      <c r="K59" s="2757">
        <f t="shared" si="16"/>
        <v>43374</v>
      </c>
      <c r="L59" s="2757">
        <f t="shared" si="16"/>
        <v>43344</v>
      </c>
      <c r="M59" s="2757">
        <f t="shared" si="16"/>
        <v>43313</v>
      </c>
      <c r="N59" s="2757">
        <f t="shared" si="16"/>
        <v>43282</v>
      </c>
      <c r="O59" s="2757">
        <f t="shared" si="16"/>
        <v>43252</v>
      </c>
      <c r="P59" s="2194"/>
      <c r="Q59" s="2144"/>
      <c r="R59" s="2144"/>
      <c r="S59" s="2144"/>
      <c r="T59" s="2144"/>
      <c r="U59" s="2144"/>
      <c r="V59" s="2144"/>
      <c r="W59" s="2144"/>
      <c r="X59" s="2144"/>
      <c r="Y59" s="2144"/>
      <c r="Z59" s="2144"/>
      <c r="AA59" s="2144"/>
      <c r="AB59" s="2144"/>
      <c r="AC59" s="2144"/>
    </row>
    <row r="60" spans="1:29" s="1213"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3"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3"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7"/>
      <c r="B63" s="646"/>
      <c r="C63" s="886">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f>C9</f>
        <v>0</v>
      </c>
      <c r="D64" s="597"/>
      <c r="E64" s="597"/>
      <c r="F64" s="597"/>
      <c r="G64" s="597"/>
      <c r="H64" s="597"/>
      <c r="I64" s="597"/>
      <c r="J64" s="597"/>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40"/>
      <c r="D69" s="540"/>
      <c r="E69" s="540"/>
      <c r="F69" s="540"/>
      <c r="G69" s="540"/>
      <c r="H69" s="540"/>
      <c r="I69" s="540"/>
      <c r="J69" s="540"/>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2556</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2557</v>
      </c>
      <c r="C83" s="2560" t="s">
        <v>2558</v>
      </c>
      <c r="D83" s="2560" t="s">
        <v>2559</v>
      </c>
      <c r="E83" s="2560" t="s">
        <v>2560</v>
      </c>
      <c r="F83" s="2560" t="s">
        <v>2561</v>
      </c>
      <c r="G83" s="2560" t="s">
        <v>2562</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2"/>
      <c r="I84" s="932"/>
      <c r="J84" s="932"/>
      <c r="K84" s="932"/>
      <c r="L84" s="932"/>
      <c r="M84" s="558"/>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783</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7"/>
      <c r="B87" s="671" t="s">
        <v>784</v>
      </c>
      <c r="C87" s="686"/>
      <c r="D87" s="686"/>
      <c r="E87" s="686"/>
      <c r="F87" s="686"/>
      <c r="G87" s="686"/>
      <c r="H87" s="686"/>
      <c r="I87" s="686"/>
      <c r="J87" s="686"/>
      <c r="K87" s="686"/>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7"/>
      <c r="B89" s="671" t="str">
        <f>B27</f>
        <v>楼层</v>
      </c>
      <c r="C89" s="686"/>
      <c r="D89" s="686"/>
      <c r="E89" s="686"/>
      <c r="F89" s="889"/>
      <c r="G89" s="686"/>
      <c r="H89" s="686"/>
      <c r="I89" s="686"/>
      <c r="J89" s="686"/>
      <c r="K89" s="686"/>
      <c r="L89" s="686"/>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0"/>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551</v>
      </c>
      <c r="B101" s="663" t="s">
        <v>746</v>
      </c>
      <c r="C101" s="597"/>
      <c r="D101" s="597"/>
      <c r="E101" s="597"/>
      <c r="F101" s="597"/>
      <c r="G101" s="597"/>
      <c r="H101" s="597"/>
      <c r="I101" s="597"/>
      <c r="J101" s="597"/>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748</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750</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6"/>
      <c r="B113" s="671" t="s">
        <v>785</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752</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2555</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4" t="s">
        <v>786</v>
      </c>
      <c r="C119" s="716"/>
      <c r="D119" s="716"/>
      <c r="E119" s="716"/>
      <c r="F119" s="716"/>
      <c r="G119" s="716"/>
      <c r="H119" s="716"/>
      <c r="I119" s="716"/>
      <c r="J119" s="716"/>
      <c r="K119" s="716"/>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6"/>
      <c r="B121" s="671" t="s">
        <v>774</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754</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787</v>
      </c>
      <c r="C1" s="503" t="s">
        <v>720</v>
      </c>
      <c r="D1" s="847"/>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395" t="s">
        <v>522</v>
      </c>
      <c r="D4" s="3397"/>
      <c r="E4" s="3422" t="s">
        <v>523</v>
      </c>
      <c r="F4" s="3396"/>
      <c r="G4" s="3395" t="s">
        <v>524</v>
      </c>
      <c r="H4" s="3397"/>
      <c r="I4" s="3395" t="s">
        <v>525</v>
      </c>
      <c r="J4" s="3397"/>
      <c r="K4" s="513" t="s">
        <v>526</v>
      </c>
      <c r="L4" s="2116"/>
      <c r="M4" s="2117"/>
      <c r="N4" s="2117"/>
      <c r="O4" s="2117"/>
      <c r="P4" s="3398" t="s">
        <v>527</v>
      </c>
      <c r="Q4" s="3399"/>
      <c r="R4" s="3383" t="s">
        <v>523</v>
      </c>
      <c r="S4" s="3384"/>
      <c r="T4" s="3383" t="s">
        <v>524</v>
      </c>
      <c r="U4" s="3384"/>
      <c r="V4" s="3404" t="s">
        <v>525</v>
      </c>
      <c r="W4" s="3404"/>
      <c r="X4" s="1551"/>
      <c r="Y4" s="3383" t="s">
        <v>527</v>
      </c>
      <c r="Z4" s="3384"/>
      <c r="AA4" s="3378" t="s">
        <v>523</v>
      </c>
      <c r="AB4" s="3379" t="s">
        <v>524</v>
      </c>
      <c r="AC4" s="3378" t="s">
        <v>525</v>
      </c>
    </row>
    <row r="5" spans="1:29" ht="15">
      <c r="A5" s="514"/>
      <c r="B5" s="515"/>
      <c r="C5" s="3407" t="s">
        <v>2929</v>
      </c>
      <c r="D5" s="3408"/>
      <c r="E5" s="3423" t="s">
        <v>2930</v>
      </c>
      <c r="F5" s="3409"/>
      <c r="G5" s="3407" t="s">
        <v>2931</v>
      </c>
      <c r="H5" s="3408"/>
      <c r="I5" s="3407" t="s">
        <v>2932</v>
      </c>
      <c r="J5" s="3408"/>
      <c r="K5" s="513"/>
      <c r="L5" s="2116"/>
      <c r="M5" s="2117"/>
      <c r="N5" s="2117"/>
      <c r="O5" s="2117"/>
      <c r="P5" s="3400"/>
      <c r="Q5" s="3401"/>
      <c r="R5" s="3385"/>
      <c r="S5" s="3386"/>
      <c r="T5" s="3385"/>
      <c r="U5" s="3386"/>
      <c r="V5" s="3404"/>
      <c r="W5" s="3404"/>
      <c r="X5" s="1551"/>
      <c r="Y5" s="3385"/>
      <c r="Z5" s="3386"/>
      <c r="AA5" s="3379"/>
      <c r="AB5" s="3379"/>
      <c r="AC5" s="3379"/>
    </row>
    <row r="6" spans="1:29" ht="15.75" thickBot="1">
      <c r="A6" s="516"/>
      <c r="B6" s="517"/>
      <c r="C6" s="3405" t="s">
        <v>2933</v>
      </c>
      <c r="D6" s="3406"/>
      <c r="E6" s="3424" t="s">
        <v>2933</v>
      </c>
      <c r="F6" s="3425"/>
      <c r="G6" s="3405" t="s">
        <v>2933</v>
      </c>
      <c r="H6" s="3406"/>
      <c r="I6" s="3405" t="s">
        <v>2933</v>
      </c>
      <c r="J6" s="3406"/>
      <c r="K6" s="513" t="s">
        <v>528</v>
      </c>
      <c r="L6" s="2116"/>
      <c r="M6" s="2117"/>
      <c r="N6" s="2117"/>
      <c r="O6" s="2117"/>
      <c r="P6" s="3402"/>
      <c r="Q6" s="3403"/>
      <c r="R6" s="3385"/>
      <c r="S6" s="3386"/>
      <c r="T6" s="3387"/>
      <c r="U6" s="3388"/>
      <c r="V6" s="3404"/>
      <c r="W6" s="3404"/>
      <c r="X6" s="1551"/>
      <c r="Y6" s="3387"/>
      <c r="Z6" s="3388"/>
      <c r="AA6" s="3380"/>
      <c r="AB6" s="3380"/>
      <c r="AC6" s="3380"/>
    </row>
    <row r="7" spans="1:29" s="1213" customFormat="1" ht="15.75" thickBot="1">
      <c r="A7" s="2865"/>
      <c r="B7" s="2872" t="s">
        <v>529</v>
      </c>
      <c r="C7" s="518">
        <f>'数据-取费表'!B2</f>
        <v>43630</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81" t="s">
        <v>530</v>
      </c>
      <c r="Q7" s="3390"/>
      <c r="R7" s="1552" t="s">
        <v>8</v>
      </c>
      <c r="S7" s="1553">
        <f t="shared" ref="S7:S15" si="0">F7</f>
        <v>0</v>
      </c>
      <c r="T7" s="1552" t="s">
        <v>8</v>
      </c>
      <c r="U7" s="1553">
        <f t="shared" ref="U7:U15" si="1">H7</f>
        <v>0</v>
      </c>
      <c r="V7" s="1552" t="s">
        <v>8</v>
      </c>
      <c r="W7" s="1553">
        <f t="shared" ref="W7:W15" si="2">J7</f>
        <v>0</v>
      </c>
      <c r="X7" s="1554"/>
      <c r="Y7" s="3381" t="s">
        <v>530</v>
      </c>
      <c r="Z7" s="3382"/>
      <c r="AA7" s="1555" t="e">
        <f>D7/F7</f>
        <v>#DIV/0!</v>
      </c>
      <c r="AB7" s="1555" t="e">
        <f>D7/H7</f>
        <v>#DIV/0!</v>
      </c>
      <c r="AC7" s="1555" t="e">
        <f>D7/J7</f>
        <v>#DIV/0!</v>
      </c>
    </row>
    <row r="8" spans="1:29" s="1213"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81" t="s">
        <v>533</v>
      </c>
      <c r="Q8" s="3382"/>
      <c r="R8" s="1552" t="s">
        <v>8</v>
      </c>
      <c r="S8" s="1553">
        <f t="shared" si="0"/>
        <v>0</v>
      </c>
      <c r="T8" s="1552" t="s">
        <v>8</v>
      </c>
      <c r="U8" s="1553">
        <f t="shared" si="1"/>
        <v>0</v>
      </c>
      <c r="V8" s="1552" t="s">
        <v>8</v>
      </c>
      <c r="W8" s="1553">
        <f t="shared" si="2"/>
        <v>0</v>
      </c>
      <c r="X8" s="1554"/>
      <c r="Y8" s="3381" t="s">
        <v>533</v>
      </c>
      <c r="Z8" s="3382"/>
      <c r="AA8" s="1555" t="e">
        <f t="shared" ref="AA8:AA40" si="3">D8/F8</f>
        <v>#DIV/0!</v>
      </c>
      <c r="AB8" s="1555" t="e">
        <f t="shared" ref="AB8:AB40" si="4">D8/H8</f>
        <v>#DIV/0!</v>
      </c>
      <c r="AC8" s="1555" t="e">
        <f t="shared" ref="AC8:AC40" si="5">D8/J8</f>
        <v>#DIV/0!</v>
      </c>
    </row>
    <row r="9" spans="1:29" s="1213" customFormat="1" ht="15">
      <c r="A9" s="2867"/>
      <c r="B9" s="2874" t="s">
        <v>2754</v>
      </c>
      <c r="C9" s="855"/>
      <c r="D9" s="253">
        <v>100</v>
      </c>
      <c r="E9" s="858"/>
      <c r="F9" s="253">
        <f>SUMIF(57:57,E9,58:58)-SUMIF(57:57,C9,58:58)+100</f>
        <v>100</v>
      </c>
      <c r="G9" s="856"/>
      <c r="H9" s="253">
        <f>SUMIF(57:57,G9,58:58)-SUMIF(57:57,C9,58:58)+100</f>
        <v>100</v>
      </c>
      <c r="I9" s="856"/>
      <c r="J9" s="253">
        <f>SUMIF(57:57,I9,58:58)-SUMIF(57:57,C9,58:58)+100</f>
        <v>100</v>
      </c>
      <c r="K9" s="523"/>
      <c r="L9" s="2118"/>
      <c r="M9" s="2119"/>
      <c r="N9" s="2119"/>
      <c r="O9" s="2120"/>
      <c r="P9" s="3389" t="s">
        <v>535</v>
      </c>
      <c r="Q9" s="1144" t="str">
        <f t="shared" ref="Q9:Q15" si="6">B9</f>
        <v>用途</v>
      </c>
      <c r="R9" s="1552" t="s">
        <v>8</v>
      </c>
      <c r="S9" s="1553">
        <f t="shared" si="0"/>
        <v>100</v>
      </c>
      <c r="T9" s="1552" t="s">
        <v>8</v>
      </c>
      <c r="U9" s="1553">
        <f t="shared" si="1"/>
        <v>100</v>
      </c>
      <c r="V9" s="1552" t="s">
        <v>8</v>
      </c>
      <c r="W9" s="1553">
        <f t="shared" si="2"/>
        <v>100</v>
      </c>
      <c r="X9" s="1554"/>
      <c r="Y9" s="3346" t="s">
        <v>536</v>
      </c>
      <c r="Z9" s="1143" t="str">
        <f t="shared" ref="Z9:Z15" si="7">Q9</f>
        <v>用途</v>
      </c>
      <c r="AA9" s="1555">
        <f t="shared" si="3"/>
        <v>1</v>
      </c>
      <c r="AB9" s="1555">
        <f t="shared" si="4"/>
        <v>1</v>
      </c>
      <c r="AC9" s="1555">
        <f t="shared" si="5"/>
        <v>1</v>
      </c>
    </row>
    <row r="10" spans="1:29" s="1331" customFormat="1" ht="27">
      <c r="A10" s="2868"/>
      <c r="B10" s="2873" t="s">
        <v>2755</v>
      </c>
      <c r="C10" s="859"/>
      <c r="D10" s="254">
        <v>100</v>
      </c>
      <c r="E10" s="859"/>
      <c r="F10" s="254">
        <f>SUMIF(59:59,E10,60:60)-SUMIF(59:59,C10,60:60)+100</f>
        <v>100</v>
      </c>
      <c r="G10" s="860"/>
      <c r="H10" s="254">
        <f>SUMIF(59:59,G10,60:60)-SUMIF(59:59,C10,60:60)+100</f>
        <v>100</v>
      </c>
      <c r="I10" s="859"/>
      <c r="J10" s="254">
        <f>SUMIF(59:59,I10,60:60)-SUMIF(59:59,C10,60:60)+100</f>
        <v>100</v>
      </c>
      <c r="K10" s="583"/>
      <c r="L10" s="2121"/>
      <c r="M10" s="2161"/>
      <c r="N10" s="2161"/>
      <c r="O10" s="2122"/>
      <c r="P10" s="3389"/>
      <c r="Q10" s="1144" t="str">
        <f t="shared" si="6"/>
        <v>土地使用年限（年）</v>
      </c>
      <c r="R10" s="1552" t="s">
        <v>8</v>
      </c>
      <c r="S10" s="1553">
        <f t="shared" si="0"/>
        <v>100</v>
      </c>
      <c r="T10" s="1552" t="s">
        <v>8</v>
      </c>
      <c r="U10" s="1553">
        <f t="shared" si="1"/>
        <v>100</v>
      </c>
      <c r="V10" s="1552" t="s">
        <v>8</v>
      </c>
      <c r="W10" s="1553">
        <f t="shared" si="2"/>
        <v>100</v>
      </c>
      <c r="X10" s="1554"/>
      <c r="Y10" s="3346"/>
      <c r="Z10" s="1143"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89"/>
      <c r="Q11" s="1144" t="str">
        <f t="shared" si="6"/>
        <v>容积率</v>
      </c>
      <c r="R11" s="1552" t="s">
        <v>8</v>
      </c>
      <c r="S11" s="1553" t="e">
        <f t="shared" si="0"/>
        <v>#N/A</v>
      </c>
      <c r="T11" s="1552" t="s">
        <v>8</v>
      </c>
      <c r="U11" s="1553" t="e">
        <f t="shared" si="1"/>
        <v>#N/A</v>
      </c>
      <c r="V11" s="1552" t="s">
        <v>8</v>
      </c>
      <c r="W11" s="1553" t="e">
        <f t="shared" si="2"/>
        <v>#N/A</v>
      </c>
      <c r="X11" s="1554"/>
      <c r="Y11" s="3346"/>
      <c r="Z11" s="1143" t="str">
        <f t="shared" si="7"/>
        <v>容积率</v>
      </c>
      <c r="AA11" s="1555" t="e">
        <f t="shared" si="3"/>
        <v>#N/A</v>
      </c>
      <c r="AB11" s="1555" t="e">
        <f t="shared" si="4"/>
        <v>#N/A</v>
      </c>
      <c r="AC11" s="1555" t="e">
        <f t="shared" si="5"/>
        <v>#N/A</v>
      </c>
    </row>
    <row r="12" spans="1:29" s="1213" customFormat="1" ht="15">
      <c r="A12" s="2870"/>
      <c r="B12" s="2876">
        <v>111</v>
      </c>
      <c r="C12" s="527"/>
      <c r="D12" s="537">
        <v>100</v>
      </c>
      <c r="E12" s="538"/>
      <c r="F12" s="254">
        <f>SUMIF(64:64,E12,65:65)-SUMIF(64:64,C12,65:65)+100</f>
        <v>100</v>
      </c>
      <c r="G12" s="917"/>
      <c r="H12" s="254">
        <f>SUMIF(64:64,G12,65:65)-SUMIF(64:64,C12,65:65)+100</f>
        <v>100</v>
      </c>
      <c r="I12" s="877"/>
      <c r="J12" s="254">
        <f>SUMIF(64:64,I12,65:65)-SUMIF(64:64,C12,65:65)+100</f>
        <v>100</v>
      </c>
      <c r="K12" s="580"/>
      <c r="L12" s="2118"/>
      <c r="M12" s="2119"/>
      <c r="N12" s="2119"/>
      <c r="O12" s="2120"/>
      <c r="P12" s="3389"/>
      <c r="Q12" s="1144">
        <f t="shared" si="6"/>
        <v>111</v>
      </c>
      <c r="R12" s="1552" t="s">
        <v>8</v>
      </c>
      <c r="S12" s="1553">
        <f t="shared" si="0"/>
        <v>100</v>
      </c>
      <c r="T12" s="1552" t="s">
        <v>8</v>
      </c>
      <c r="U12" s="1553">
        <f t="shared" si="1"/>
        <v>100</v>
      </c>
      <c r="V12" s="1552" t="s">
        <v>8</v>
      </c>
      <c r="W12" s="1553">
        <f t="shared" si="2"/>
        <v>100</v>
      </c>
      <c r="X12" s="1554"/>
      <c r="Y12" s="3346"/>
      <c r="Z12" s="1143">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7"/>
      <c r="H13" s="539">
        <f>SUMIF(66:66,G13,67:67)-SUMIF(66:66,C13,67:67)+100</f>
        <v>100</v>
      </c>
      <c r="I13" s="877"/>
      <c r="J13" s="539">
        <f>SUMIF(66:66,I13,67:67)-SUMIF(66:66,C13,67:67)+100</f>
        <v>100</v>
      </c>
      <c r="K13" s="580"/>
      <c r="L13" s="2125"/>
      <c r="M13" s="2117"/>
      <c r="N13" s="2117"/>
      <c r="O13" s="2124"/>
      <c r="P13" s="3389"/>
      <c r="Q13" s="1144">
        <f t="shared" si="6"/>
        <v>111</v>
      </c>
      <c r="R13" s="1552" t="s">
        <v>8</v>
      </c>
      <c r="S13" s="1553">
        <f t="shared" si="0"/>
        <v>100</v>
      </c>
      <c r="T13" s="1552" t="s">
        <v>8</v>
      </c>
      <c r="U13" s="1553">
        <f t="shared" si="1"/>
        <v>100</v>
      </c>
      <c r="V13" s="1552" t="s">
        <v>8</v>
      </c>
      <c r="W13" s="1553">
        <f t="shared" si="2"/>
        <v>100</v>
      </c>
      <c r="X13" s="1554"/>
      <c r="Y13" s="3346"/>
      <c r="Z13" s="1143">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7"/>
      <c r="H14" s="545">
        <f>SUMIF(68:68,G14,69:69)-SUMIF(68:68,C14,69:69)+100</f>
        <v>100</v>
      </c>
      <c r="I14" s="877"/>
      <c r="J14" s="545">
        <f>SUMIF(68:68,I14,69:69)-SUMIF(68:68,C14,69:69)+100</f>
        <v>100</v>
      </c>
      <c r="K14" s="580"/>
      <c r="L14" s="2125"/>
      <c r="M14" s="2117"/>
      <c r="N14" s="2117"/>
      <c r="O14" s="2124"/>
      <c r="P14" s="3389"/>
      <c r="Q14" s="1144">
        <f t="shared" si="6"/>
        <v>111</v>
      </c>
      <c r="R14" s="1552" t="s">
        <v>8</v>
      </c>
      <c r="S14" s="1553">
        <f t="shared" si="0"/>
        <v>100</v>
      </c>
      <c r="T14" s="1552" t="s">
        <v>8</v>
      </c>
      <c r="U14" s="1553">
        <f t="shared" si="1"/>
        <v>100</v>
      </c>
      <c r="V14" s="1552" t="s">
        <v>8</v>
      </c>
      <c r="W14" s="1553">
        <f t="shared" si="2"/>
        <v>100</v>
      </c>
      <c r="X14" s="1554"/>
      <c r="Y14" s="3346"/>
      <c r="Z14" s="1143">
        <f t="shared" si="7"/>
        <v>111</v>
      </c>
      <c r="AA14" s="1555">
        <f t="shared" si="3"/>
        <v>1</v>
      </c>
      <c r="AB14" s="1555">
        <f t="shared" si="4"/>
        <v>1</v>
      </c>
      <c r="AC14" s="1555">
        <f t="shared" si="5"/>
        <v>1</v>
      </c>
    </row>
    <row r="15" spans="1:29" ht="57">
      <c r="A15" s="2863" t="s">
        <v>2752</v>
      </c>
      <c r="B15" s="165" t="s">
        <v>788</v>
      </c>
      <c r="C15" s="918"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25"/>
      <c r="M15" s="2117"/>
      <c r="N15" s="2117"/>
      <c r="O15" s="2124"/>
      <c r="P15" s="3391" t="s">
        <v>540</v>
      </c>
      <c r="Q15" s="1556" t="str">
        <f t="shared" si="6"/>
        <v>产业集聚程度</v>
      </c>
      <c r="R15" s="1557" t="s">
        <v>8</v>
      </c>
      <c r="S15" s="1558">
        <f t="shared" si="0"/>
        <v>100</v>
      </c>
      <c r="T15" s="1557" t="s">
        <v>8</v>
      </c>
      <c r="U15" s="1558">
        <f t="shared" si="1"/>
        <v>100</v>
      </c>
      <c r="V15" s="1557" t="s">
        <v>8</v>
      </c>
      <c r="W15" s="1558">
        <f t="shared" si="2"/>
        <v>100</v>
      </c>
      <c r="X15" s="1551"/>
      <c r="Y15" s="3391" t="s">
        <v>540</v>
      </c>
      <c r="Z15" s="1559" t="str">
        <f t="shared" si="7"/>
        <v>产业集聚程度</v>
      </c>
      <c r="AA15" s="1560">
        <f t="shared" si="3"/>
        <v>1</v>
      </c>
      <c r="AB15" s="1560">
        <f t="shared" si="4"/>
        <v>1</v>
      </c>
      <c r="AC15" s="1560">
        <f t="shared" si="5"/>
        <v>1</v>
      </c>
    </row>
    <row r="16" spans="1:29" ht="15">
      <c r="A16" s="531"/>
      <c r="B16" s="867"/>
      <c r="C16" s="575"/>
      <c r="D16" s="554"/>
      <c r="E16" s="575"/>
      <c r="F16" s="556"/>
      <c r="G16" s="575"/>
      <c r="H16" s="558"/>
      <c r="I16" s="575"/>
      <c r="J16" s="554"/>
      <c r="K16" s="896"/>
      <c r="L16" s="2125"/>
      <c r="M16" s="2117"/>
      <c r="N16" s="2117"/>
      <c r="O16" s="2124"/>
      <c r="P16" s="3392"/>
      <c r="Q16" s="1556"/>
      <c r="R16" s="1557"/>
      <c r="S16" s="1558"/>
      <c r="T16" s="1557"/>
      <c r="U16" s="1558"/>
      <c r="V16" s="1557"/>
      <c r="W16" s="1558"/>
      <c r="X16" s="1551"/>
      <c r="Y16" s="3392"/>
      <c r="Z16" s="1559"/>
      <c r="AA16" s="1560">
        <v>1</v>
      </c>
      <c r="AB16" s="1560">
        <v>1</v>
      </c>
      <c r="AC16" s="1560">
        <v>1</v>
      </c>
    </row>
    <row r="17" spans="1:29" ht="85.5">
      <c r="A17" s="531"/>
      <c r="B17" s="869" t="s">
        <v>296</v>
      </c>
      <c r="C17" s="870"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25"/>
      <c r="M17" s="2117"/>
      <c r="N17" s="2117"/>
      <c r="O17" s="2124"/>
      <c r="P17" s="3392"/>
      <c r="Q17" s="1556" t="str">
        <f>B17</f>
        <v>交通便捷度</v>
      </c>
      <c r="R17" s="1557" t="s">
        <v>8</v>
      </c>
      <c r="S17" s="1558">
        <f>F17</f>
        <v>100</v>
      </c>
      <c r="T17" s="1557" t="s">
        <v>8</v>
      </c>
      <c r="U17" s="1558">
        <f>H17</f>
        <v>100</v>
      </c>
      <c r="V17" s="1557" t="s">
        <v>8</v>
      </c>
      <c r="W17" s="1558">
        <f>J17</f>
        <v>100</v>
      </c>
      <c r="X17" s="1551"/>
      <c r="Y17" s="3392"/>
      <c r="Z17" s="1559" t="str">
        <f>Q17</f>
        <v>交通便捷度</v>
      </c>
      <c r="AA17" s="1560">
        <f t="shared" si="3"/>
        <v>1</v>
      </c>
      <c r="AB17" s="1560">
        <f t="shared" si="4"/>
        <v>1</v>
      </c>
      <c r="AC17" s="1560">
        <f t="shared" si="5"/>
        <v>1</v>
      </c>
    </row>
    <row r="18" spans="1:29" ht="15">
      <c r="A18" s="531"/>
      <c r="B18" s="594"/>
      <c r="C18" s="871"/>
      <c r="D18" s="558"/>
      <c r="E18" s="567"/>
      <c r="F18" s="562"/>
      <c r="G18" s="568"/>
      <c r="H18" s="554"/>
      <c r="I18" s="567"/>
      <c r="J18" s="554"/>
      <c r="K18" s="896"/>
      <c r="L18" s="2125"/>
      <c r="M18" s="2117"/>
      <c r="N18" s="2117"/>
      <c r="O18" s="2124"/>
      <c r="P18" s="3392"/>
      <c r="Q18" s="1556"/>
      <c r="R18" s="1557"/>
      <c r="S18" s="1558"/>
      <c r="T18" s="1557"/>
      <c r="U18" s="1558"/>
      <c r="V18" s="1557"/>
      <c r="W18" s="1558"/>
      <c r="X18" s="1551"/>
      <c r="Y18" s="3392"/>
      <c r="Z18" s="1559"/>
      <c r="AA18" s="1560">
        <v>1</v>
      </c>
      <c r="AB18" s="1560">
        <v>1</v>
      </c>
      <c r="AC18" s="1560">
        <v>1</v>
      </c>
    </row>
    <row r="19" spans="1:29" ht="42.75">
      <c r="A19" s="531"/>
      <c r="B19" s="2565" t="s">
        <v>2545</v>
      </c>
      <c r="C19" s="870"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25"/>
      <c r="M19" s="2117"/>
      <c r="N19" s="2117"/>
      <c r="O19" s="2124"/>
      <c r="P19" s="3392"/>
      <c r="Q19" s="1556" t="str">
        <f>B19</f>
        <v>公共配套设施</v>
      </c>
      <c r="R19" s="1557" t="s">
        <v>8</v>
      </c>
      <c r="S19" s="1558">
        <f>F19</f>
        <v>100</v>
      </c>
      <c r="T19" s="1557" t="s">
        <v>8</v>
      </c>
      <c r="U19" s="1558">
        <f>H19</f>
        <v>100</v>
      </c>
      <c r="V19" s="1557" t="s">
        <v>8</v>
      </c>
      <c r="W19" s="1558">
        <f>J19</f>
        <v>100</v>
      </c>
      <c r="X19" s="1551"/>
      <c r="Y19" s="3392"/>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6"/>
      <c r="L20" s="2125"/>
      <c r="M20" s="2117"/>
      <c r="N20" s="2117"/>
      <c r="O20" s="2124"/>
      <c r="P20" s="3392"/>
      <c r="Q20" s="1556"/>
      <c r="R20" s="1557"/>
      <c r="S20" s="1558"/>
      <c r="T20" s="1557"/>
      <c r="U20" s="1558"/>
      <c r="V20" s="1557"/>
      <c r="W20" s="1558"/>
      <c r="X20" s="1551"/>
      <c r="Y20" s="3392"/>
      <c r="Z20" s="1559"/>
      <c r="AA20" s="1560">
        <v>1</v>
      </c>
      <c r="AB20" s="1560">
        <v>1</v>
      </c>
      <c r="AC20" s="1560">
        <v>1</v>
      </c>
    </row>
    <row r="21" spans="1:29" ht="28.5">
      <c r="A21" s="531"/>
      <c r="B21" s="2553" t="s">
        <v>2557</v>
      </c>
      <c r="C21" s="870"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25"/>
      <c r="M21" s="2117"/>
      <c r="N21" s="2117"/>
      <c r="O21" s="2124"/>
      <c r="P21" s="3392"/>
      <c r="Q21" s="2541" t="str">
        <f>B21</f>
        <v>基础设施水平</v>
      </c>
      <c r="R21" s="1557" t="s">
        <v>8</v>
      </c>
      <c r="S21" s="1558">
        <f>F21</f>
        <v>100</v>
      </c>
      <c r="T21" s="1557" t="s">
        <v>8</v>
      </c>
      <c r="U21" s="1558">
        <f>H21</f>
        <v>100</v>
      </c>
      <c r="V21" s="1557" t="s">
        <v>8</v>
      </c>
      <c r="W21" s="1558">
        <f>J21</f>
        <v>100</v>
      </c>
      <c r="X21" s="2543"/>
      <c r="Y21" s="3392"/>
      <c r="Z21" s="2542" t="str">
        <f>Q21</f>
        <v>基础设施水平</v>
      </c>
      <c r="AA21" s="1560">
        <f t="shared" ref="AA21" si="8">D21/F21</f>
        <v>1</v>
      </c>
      <c r="AB21" s="1560">
        <f t="shared" ref="AB21" si="9">D21/H21</f>
        <v>1</v>
      </c>
      <c r="AC21" s="1560">
        <f t="shared" ref="AC21" si="10">D21/J21</f>
        <v>1</v>
      </c>
    </row>
    <row r="22" spans="1:29" ht="15">
      <c r="A22" s="531"/>
      <c r="B22" s="577"/>
      <c r="C22" s="871"/>
      <c r="D22" s="554"/>
      <c r="E22" s="575"/>
      <c r="F22" s="556"/>
      <c r="G22" s="575"/>
      <c r="H22" s="554"/>
      <c r="I22" s="575"/>
      <c r="J22" s="554"/>
      <c r="K22" s="2564"/>
      <c r="L22" s="2125"/>
      <c r="M22" s="2117"/>
      <c r="N22" s="2117"/>
      <c r="O22" s="2124"/>
      <c r="P22" s="3392"/>
      <c r="Q22" s="2541"/>
      <c r="R22" s="1557"/>
      <c r="S22" s="1558"/>
      <c r="T22" s="1557"/>
      <c r="U22" s="1558"/>
      <c r="V22" s="1557"/>
      <c r="W22" s="1558"/>
      <c r="X22" s="2543"/>
      <c r="Y22" s="3392"/>
      <c r="Z22" s="2542"/>
      <c r="AA22" s="1560">
        <v>1</v>
      </c>
      <c r="AB22" s="1560">
        <v>1</v>
      </c>
      <c r="AC22" s="1560">
        <v>1</v>
      </c>
    </row>
    <row r="23" spans="1:29" ht="71.25">
      <c r="A23" s="531"/>
      <c r="B23" s="869" t="s">
        <v>777</v>
      </c>
      <c r="C23" s="870"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25"/>
      <c r="M23" s="2117"/>
      <c r="N23" s="2117"/>
      <c r="O23" s="2124"/>
      <c r="P23" s="3392"/>
      <c r="Q23" s="1556" t="str">
        <f>B23</f>
        <v>环境质量</v>
      </c>
      <c r="R23" s="1557" t="s">
        <v>8</v>
      </c>
      <c r="S23" s="1558">
        <f>F23</f>
        <v>100</v>
      </c>
      <c r="T23" s="1557" t="s">
        <v>8</v>
      </c>
      <c r="U23" s="1558">
        <f>H23</f>
        <v>100</v>
      </c>
      <c r="V23" s="1557" t="s">
        <v>8</v>
      </c>
      <c r="W23" s="1558">
        <f>J23</f>
        <v>100</v>
      </c>
      <c r="X23" s="1551"/>
      <c r="Y23" s="3392"/>
      <c r="Z23" s="1559" t="str">
        <f>Q23</f>
        <v>环境质量</v>
      </c>
      <c r="AA23" s="1560">
        <f t="shared" si="3"/>
        <v>1</v>
      </c>
      <c r="AB23" s="1560">
        <f t="shared" si="4"/>
        <v>1</v>
      </c>
      <c r="AC23" s="1560">
        <f t="shared" si="5"/>
        <v>1</v>
      </c>
    </row>
    <row r="24" spans="1:29" ht="15">
      <c r="A24" s="531"/>
      <c r="B24" s="919"/>
      <c r="C24" s="575"/>
      <c r="D24" s="554"/>
      <c r="E24" s="555"/>
      <c r="F24" s="556"/>
      <c r="G24" s="557"/>
      <c r="H24" s="554"/>
      <c r="I24" s="555"/>
      <c r="J24" s="554"/>
      <c r="K24" s="896"/>
      <c r="L24" s="2125"/>
      <c r="M24" s="2117"/>
      <c r="N24" s="2117"/>
      <c r="O24" s="2124"/>
      <c r="P24" s="3392"/>
      <c r="Q24" s="1556"/>
      <c r="R24" s="1557"/>
      <c r="S24" s="1558"/>
      <c r="T24" s="1557"/>
      <c r="U24" s="1558"/>
      <c r="V24" s="1557"/>
      <c r="W24" s="1558"/>
      <c r="X24" s="1551"/>
      <c r="Y24" s="3392"/>
      <c r="Z24" s="1559"/>
      <c r="AA24" s="1560">
        <v>1</v>
      </c>
      <c r="AB24" s="1560">
        <v>1</v>
      </c>
      <c r="AC24" s="1560">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392"/>
      <c r="Q25" s="1556">
        <f>B25</f>
        <v>111</v>
      </c>
      <c r="R25" s="1557" t="s">
        <v>8</v>
      </c>
      <c r="S25" s="1558">
        <f>F25</f>
        <v>100</v>
      </c>
      <c r="T25" s="1557" t="s">
        <v>8</v>
      </c>
      <c r="U25" s="1558">
        <f>H25</f>
        <v>100</v>
      </c>
      <c r="V25" s="1557" t="s">
        <v>8</v>
      </c>
      <c r="W25" s="1558">
        <f>J25</f>
        <v>100</v>
      </c>
      <c r="X25" s="1551"/>
      <c r="Y25" s="3392"/>
      <c r="Z25" s="1559">
        <f>Q25</f>
        <v>111</v>
      </c>
      <c r="AA25" s="1560">
        <f t="shared" si="3"/>
        <v>1</v>
      </c>
      <c r="AB25" s="1560">
        <f t="shared" si="4"/>
        <v>1</v>
      </c>
      <c r="AC25" s="1560">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392"/>
      <c r="Q26" s="1556">
        <f t="shared" ref="Q26:Q40" si="11">B26</f>
        <v>111</v>
      </c>
      <c r="R26" s="1557" t="s">
        <v>8</v>
      </c>
      <c r="S26" s="1558">
        <f>F26</f>
        <v>100</v>
      </c>
      <c r="T26" s="1557" t="s">
        <v>8</v>
      </c>
      <c r="U26" s="1558">
        <f>H26</f>
        <v>100</v>
      </c>
      <c r="V26" s="1557" t="s">
        <v>8</v>
      </c>
      <c r="W26" s="1558">
        <f>J26</f>
        <v>100</v>
      </c>
      <c r="X26" s="1551"/>
      <c r="Y26" s="3392"/>
      <c r="Z26" s="1559">
        <f>Q26</f>
        <v>111</v>
      </c>
      <c r="AA26" s="1560">
        <f t="shared" si="3"/>
        <v>1</v>
      </c>
      <c r="AB26" s="1560">
        <f t="shared" si="4"/>
        <v>1</v>
      </c>
      <c r="AC26" s="1560">
        <f t="shared" si="5"/>
        <v>1</v>
      </c>
    </row>
    <row r="27" spans="1:29" s="1213"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18"/>
      <c r="M27" s="2119"/>
      <c r="N27" s="2119"/>
      <c r="O27" s="2120"/>
      <c r="P27" s="3392"/>
      <c r="Q27" s="1144">
        <f t="shared" si="11"/>
        <v>111</v>
      </c>
      <c r="R27" s="1552" t="s">
        <v>8</v>
      </c>
      <c r="S27" s="1553">
        <f>F27</f>
        <v>100</v>
      </c>
      <c r="T27" s="1552" t="s">
        <v>8</v>
      </c>
      <c r="U27" s="1553">
        <f>H27</f>
        <v>100</v>
      </c>
      <c r="V27" s="1552" t="s">
        <v>8</v>
      </c>
      <c r="W27" s="1553">
        <f>J27</f>
        <v>100</v>
      </c>
      <c r="X27" s="1554"/>
      <c r="Y27" s="3392"/>
      <c r="Z27" s="1143">
        <f>Q27</f>
        <v>111</v>
      </c>
      <c r="AA27" s="1560">
        <f>D27/F27</f>
        <v>1</v>
      </c>
      <c r="AB27" s="1560">
        <f>D27/H27</f>
        <v>1</v>
      </c>
      <c r="AC27" s="1560">
        <f>D27/J27</f>
        <v>1</v>
      </c>
    </row>
    <row r="28" spans="1:29" ht="15.75" thickBot="1">
      <c r="A28" s="542"/>
      <c r="B28" s="875">
        <v>111</v>
      </c>
      <c r="C28" s="544"/>
      <c r="D28" s="545">
        <v>100</v>
      </c>
      <c r="E28" s="538"/>
      <c r="F28" s="864">
        <f>SUMIF(86:86,E28,87:87)-SUMIF(86:86,C28,87:87)+100</f>
        <v>100</v>
      </c>
      <c r="G28" s="877"/>
      <c r="H28" s="545">
        <f>SUMIF(86:86,G28,87:87)-SUMIF(86:86,C28,87:87)+100</f>
        <v>100</v>
      </c>
      <c r="I28" s="877"/>
      <c r="J28" s="545">
        <f>SUMIF(86:86,I28,87:87)-SUMIF(86:86,C28,87:87)+100</f>
        <v>100</v>
      </c>
      <c r="K28" s="580"/>
      <c r="L28" s="2125"/>
      <c r="M28" s="2117"/>
      <c r="N28" s="2117"/>
      <c r="O28" s="2124"/>
      <c r="P28" s="3392"/>
      <c r="Q28" s="1556">
        <f t="shared" si="11"/>
        <v>111</v>
      </c>
      <c r="R28" s="1557" t="s">
        <v>8</v>
      </c>
      <c r="S28" s="1558">
        <f t="shared" ref="S28:S40" si="12">F28</f>
        <v>100</v>
      </c>
      <c r="T28" s="1557" t="s">
        <v>8</v>
      </c>
      <c r="U28" s="1558">
        <f t="shared" ref="U28:U40" si="13">H28</f>
        <v>100</v>
      </c>
      <c r="V28" s="1557" t="s">
        <v>8</v>
      </c>
      <c r="W28" s="1558">
        <f t="shared" ref="W28:W40" si="14">J28</f>
        <v>100</v>
      </c>
      <c r="X28" s="1551"/>
      <c r="Y28" s="3392"/>
      <c r="Z28" s="1559">
        <f t="shared" ref="Z28:Z40" si="15">Q28</f>
        <v>111</v>
      </c>
      <c r="AA28" s="1560">
        <f t="shared" si="3"/>
        <v>1</v>
      </c>
      <c r="AB28" s="1560">
        <f t="shared" si="4"/>
        <v>1</v>
      </c>
      <c r="AC28" s="1560">
        <f t="shared" si="5"/>
        <v>1</v>
      </c>
    </row>
    <row r="29" spans="1:29" ht="15">
      <c r="A29" s="2860" t="s">
        <v>2753</v>
      </c>
      <c r="B29" s="171" t="s">
        <v>779</v>
      </c>
      <c r="C29" s="913"/>
      <c r="D29" s="596">
        <v>100</v>
      </c>
      <c r="E29" s="913"/>
      <c r="F29" s="574">
        <f>SUMIF(88:88,E29,89:89)-SUMIF(88:88,C29,89:89)+100</f>
        <v>100</v>
      </c>
      <c r="G29" s="913"/>
      <c r="H29" s="539">
        <f>SUMIF(88:88,G29,89:89)-SUMIF(88:88,C29,89:89)+100</f>
        <v>100</v>
      </c>
      <c r="I29" s="913"/>
      <c r="J29" s="596">
        <f>SUMIF(88:88,I29,89:89)-SUMIF(88:88,C29,89:89)+100</f>
        <v>100</v>
      </c>
      <c r="K29" s="583"/>
      <c r="L29" s="2125"/>
      <c r="M29" s="2117"/>
      <c r="N29" s="2117"/>
      <c r="O29" s="2124"/>
      <c r="P29" s="3393" t="s">
        <v>550</v>
      </c>
      <c r="Q29" s="1556" t="str">
        <f t="shared" si="11"/>
        <v>建筑类型</v>
      </c>
      <c r="R29" s="1557" t="s">
        <v>8</v>
      </c>
      <c r="S29" s="1558">
        <f t="shared" si="12"/>
        <v>100</v>
      </c>
      <c r="T29" s="1557" t="s">
        <v>8</v>
      </c>
      <c r="U29" s="1558">
        <f t="shared" si="13"/>
        <v>100</v>
      </c>
      <c r="V29" s="1557" t="s">
        <v>8</v>
      </c>
      <c r="W29" s="1558">
        <f t="shared" si="14"/>
        <v>100</v>
      </c>
      <c r="X29" s="1551"/>
      <c r="Y29" s="3394" t="s">
        <v>550</v>
      </c>
      <c r="Z29" s="1559" t="str">
        <f t="shared" si="15"/>
        <v>建筑类型</v>
      </c>
      <c r="AA29" s="1560">
        <f t="shared" si="3"/>
        <v>1</v>
      </c>
      <c r="AB29" s="1560">
        <f t="shared" si="4"/>
        <v>1</v>
      </c>
      <c r="AC29" s="1560">
        <f t="shared" si="5"/>
        <v>1</v>
      </c>
    </row>
    <row r="30" spans="1:29" s="1332" customFormat="1" ht="15">
      <c r="A30" s="602"/>
      <c r="B30" s="526" t="s">
        <v>725</v>
      </c>
      <c r="C30" s="877"/>
      <c r="D30" s="254">
        <v>100</v>
      </c>
      <c r="E30" s="533"/>
      <c r="F30" s="861" t="e">
        <f>LOOKUP(E30,91:91,92:92)-LOOKUP(C30,91:91,92:92)+100</f>
        <v>#N/A</v>
      </c>
      <c r="G30" s="532"/>
      <c r="H30" s="254" t="e">
        <f>LOOKUP(G30,91:91,92:92)-LOOKUP(C30,91:91,92:92)+100</f>
        <v>#N/A</v>
      </c>
      <c r="I30" s="532"/>
      <c r="J30" s="254" t="e">
        <f>LOOKUP(I30,91:91,92:92)-LOOKUP(C30,91:91,92:92)+100</f>
        <v>#N/A</v>
      </c>
      <c r="K30" s="580"/>
      <c r="L30" s="2123"/>
      <c r="M30" s="2154"/>
      <c r="N30" s="2154"/>
      <c r="O30" s="2126"/>
      <c r="P30" s="3394"/>
      <c r="Q30" s="1588" t="str">
        <f t="shared" si="11"/>
        <v>项目建筑规模</v>
      </c>
      <c r="R30" s="1561" t="s">
        <v>8</v>
      </c>
      <c r="S30" s="1562" t="e">
        <f t="shared" si="12"/>
        <v>#N/A</v>
      </c>
      <c r="T30" s="1561" t="s">
        <v>8</v>
      </c>
      <c r="U30" s="1562" t="e">
        <f t="shared" si="13"/>
        <v>#N/A</v>
      </c>
      <c r="V30" s="1561" t="s">
        <v>8</v>
      </c>
      <c r="W30" s="1562" t="e">
        <f t="shared" si="14"/>
        <v>#N/A</v>
      </c>
      <c r="X30" s="1563"/>
      <c r="Y30" s="3394"/>
      <c r="Z30" s="1564" t="str">
        <f t="shared" si="15"/>
        <v>项目建筑规模</v>
      </c>
      <c r="AA30" s="1560" t="e">
        <f t="shared" si="3"/>
        <v>#N/A</v>
      </c>
      <c r="AB30" s="1560" t="e">
        <f t="shared" si="4"/>
        <v>#N/A</v>
      </c>
      <c r="AC30" s="1560"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394"/>
      <c r="Q31" s="1556" t="str">
        <f t="shared" si="11"/>
        <v>建筑结构</v>
      </c>
      <c r="R31" s="1557" t="s">
        <v>8</v>
      </c>
      <c r="S31" s="1558">
        <f t="shared" si="12"/>
        <v>100</v>
      </c>
      <c r="T31" s="1557" t="s">
        <v>8</v>
      </c>
      <c r="U31" s="1558">
        <f t="shared" si="13"/>
        <v>100</v>
      </c>
      <c r="V31" s="1557" t="s">
        <v>8</v>
      </c>
      <c r="W31" s="1558">
        <f t="shared" si="14"/>
        <v>100</v>
      </c>
      <c r="X31" s="1551"/>
      <c r="Y31" s="3394"/>
      <c r="Z31" s="1559" t="str">
        <f t="shared" si="15"/>
        <v>建筑结构</v>
      </c>
      <c r="AA31" s="1560">
        <f t="shared" si="3"/>
        <v>1</v>
      </c>
      <c r="AB31" s="1560">
        <f t="shared" si="4"/>
        <v>1</v>
      </c>
      <c r="AC31" s="1560">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394"/>
      <c r="Q32" s="1556" t="str">
        <f t="shared" si="11"/>
        <v>公共部分装修</v>
      </c>
      <c r="R32" s="1557" t="s">
        <v>8</v>
      </c>
      <c r="S32" s="1558">
        <f t="shared" si="12"/>
        <v>100</v>
      </c>
      <c r="T32" s="1557" t="s">
        <v>8</v>
      </c>
      <c r="U32" s="1558">
        <f t="shared" si="13"/>
        <v>100</v>
      </c>
      <c r="V32" s="1557" t="s">
        <v>8</v>
      </c>
      <c r="W32" s="1558">
        <f t="shared" si="14"/>
        <v>100</v>
      </c>
      <c r="X32" s="1551"/>
      <c r="Y32" s="3394"/>
      <c r="Z32" s="1559" t="str">
        <f t="shared" si="15"/>
        <v>公共部分装修</v>
      </c>
      <c r="AA32" s="1560">
        <f t="shared" si="3"/>
        <v>1</v>
      </c>
      <c r="AB32" s="1560">
        <f t="shared" si="4"/>
        <v>1</v>
      </c>
      <c r="AC32" s="1560">
        <f t="shared" si="5"/>
        <v>1</v>
      </c>
    </row>
    <row r="33" spans="1:29" ht="15">
      <c r="A33" s="593"/>
      <c r="B33" s="526" t="s">
        <v>763</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25"/>
      <c r="M33" s="2117"/>
      <c r="N33" s="2117"/>
      <c r="O33" s="2124"/>
      <c r="P33" s="3394"/>
      <c r="Q33" s="1556" t="str">
        <f t="shared" si="11"/>
        <v>成新度</v>
      </c>
      <c r="R33" s="1557" t="s">
        <v>8</v>
      </c>
      <c r="S33" s="1558" t="e">
        <f t="shared" si="12"/>
        <v>#N/A</v>
      </c>
      <c r="T33" s="1557" t="s">
        <v>8</v>
      </c>
      <c r="U33" s="1558" t="e">
        <f t="shared" si="13"/>
        <v>#N/A</v>
      </c>
      <c r="V33" s="1557" t="s">
        <v>8</v>
      </c>
      <c r="W33" s="1558" t="e">
        <f t="shared" si="14"/>
        <v>#N/A</v>
      </c>
      <c r="X33" s="1551"/>
      <c r="Y33" s="3394"/>
      <c r="Z33" s="1559" t="str">
        <f t="shared" si="15"/>
        <v>成新度</v>
      </c>
      <c r="AA33" s="1560" t="e">
        <f t="shared" si="3"/>
        <v>#N/A</v>
      </c>
      <c r="AB33" s="1560" t="e">
        <f t="shared" si="4"/>
        <v>#N/A</v>
      </c>
      <c r="AC33" s="1560" t="e">
        <f t="shared" si="5"/>
        <v>#N/A</v>
      </c>
    </row>
    <row r="34" spans="1:29" s="1213"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394"/>
      <c r="Q34" s="1144" t="str">
        <f t="shared" si="11"/>
        <v>物业管理</v>
      </c>
      <c r="R34" s="1552" t="s">
        <v>8</v>
      </c>
      <c r="S34" s="1553">
        <f t="shared" si="12"/>
        <v>100</v>
      </c>
      <c r="T34" s="1552" t="s">
        <v>8</v>
      </c>
      <c r="U34" s="1553">
        <f t="shared" si="13"/>
        <v>100</v>
      </c>
      <c r="V34" s="1552" t="s">
        <v>8</v>
      </c>
      <c r="W34" s="1553">
        <f t="shared" si="14"/>
        <v>100</v>
      </c>
      <c r="X34" s="1554"/>
      <c r="Y34" s="3394"/>
      <c r="Z34" s="1143" t="str">
        <f t="shared" si="15"/>
        <v>物业管理</v>
      </c>
      <c r="AA34" s="1555">
        <f t="shared" si="3"/>
        <v>1</v>
      </c>
      <c r="AB34" s="1555">
        <f t="shared" si="4"/>
        <v>1</v>
      </c>
      <c r="AC34" s="1555">
        <f t="shared" si="5"/>
        <v>1</v>
      </c>
    </row>
    <row r="35" spans="1:29" ht="15">
      <c r="A35" s="593"/>
      <c r="B35" s="1878"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394" t="s">
        <v>550</v>
      </c>
      <c r="Q35" s="1556" t="str">
        <f t="shared" si="11"/>
        <v>市政基础设施</v>
      </c>
      <c r="R35" s="1557" t="s">
        <v>8</v>
      </c>
      <c r="S35" s="1558">
        <f t="shared" si="12"/>
        <v>100</v>
      </c>
      <c r="T35" s="1557" t="s">
        <v>8</v>
      </c>
      <c r="U35" s="1558">
        <f t="shared" si="13"/>
        <v>100</v>
      </c>
      <c r="V35" s="1557" t="s">
        <v>8</v>
      </c>
      <c r="W35" s="1558">
        <f t="shared" si="14"/>
        <v>100</v>
      </c>
      <c r="X35" s="1551"/>
      <c r="Y35" s="3394" t="s">
        <v>550</v>
      </c>
      <c r="Z35" s="1559" t="str">
        <f t="shared" si="15"/>
        <v>市政基础设施</v>
      </c>
      <c r="AA35" s="1560">
        <f t="shared" si="3"/>
        <v>1</v>
      </c>
      <c r="AB35" s="1560">
        <f t="shared" si="4"/>
        <v>1</v>
      </c>
      <c r="AC35" s="1560">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394"/>
      <c r="Q36" s="1556" t="str">
        <f t="shared" si="11"/>
        <v>内部装修</v>
      </c>
      <c r="R36" s="1557" t="s">
        <v>8</v>
      </c>
      <c r="S36" s="1558">
        <f t="shared" si="12"/>
        <v>100</v>
      </c>
      <c r="T36" s="1557" t="s">
        <v>8</v>
      </c>
      <c r="U36" s="1558">
        <f t="shared" si="13"/>
        <v>100</v>
      </c>
      <c r="V36" s="1557" t="s">
        <v>8</v>
      </c>
      <c r="W36" s="1558">
        <f t="shared" si="14"/>
        <v>100</v>
      </c>
      <c r="X36" s="1551"/>
      <c r="Y36" s="3394"/>
      <c r="Z36" s="1559" t="str">
        <f t="shared" si="15"/>
        <v>内部装修</v>
      </c>
      <c r="AA36" s="1560">
        <f t="shared" si="3"/>
        <v>1</v>
      </c>
      <c r="AB36" s="1560">
        <f t="shared" si="4"/>
        <v>1</v>
      </c>
      <c r="AC36" s="1560">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394"/>
      <c r="Q37" s="1556" t="str">
        <f t="shared" si="11"/>
        <v>内部装修状况</v>
      </c>
      <c r="R37" s="1557" t="s">
        <v>8</v>
      </c>
      <c r="S37" s="1558">
        <f t="shared" si="12"/>
        <v>100</v>
      </c>
      <c r="T37" s="1557" t="s">
        <v>8</v>
      </c>
      <c r="U37" s="1558">
        <f t="shared" si="13"/>
        <v>100</v>
      </c>
      <c r="V37" s="1557" t="s">
        <v>8</v>
      </c>
      <c r="W37" s="1558">
        <f t="shared" si="14"/>
        <v>100</v>
      </c>
      <c r="X37" s="1551"/>
      <c r="Y37" s="3394"/>
      <c r="Z37" s="1559" t="str">
        <f t="shared" si="15"/>
        <v>内部装修状况</v>
      </c>
      <c r="AA37" s="1560">
        <f t="shared" si="3"/>
        <v>1</v>
      </c>
      <c r="AB37" s="1560">
        <f t="shared" si="4"/>
        <v>1</v>
      </c>
      <c r="AC37" s="1560">
        <f t="shared" si="5"/>
        <v>1</v>
      </c>
    </row>
    <row r="38" spans="1:29" s="1332"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23"/>
      <c r="M38" s="2154"/>
      <c r="N38" s="2154"/>
      <c r="O38" s="2126"/>
      <c r="P38" s="3394"/>
      <c r="Q38" s="1588">
        <f t="shared" si="11"/>
        <v>111</v>
      </c>
      <c r="R38" s="1561" t="s">
        <v>8</v>
      </c>
      <c r="S38" s="1562">
        <f t="shared" si="12"/>
        <v>100</v>
      </c>
      <c r="T38" s="1561" t="s">
        <v>8</v>
      </c>
      <c r="U38" s="1562">
        <f t="shared" si="13"/>
        <v>100</v>
      </c>
      <c r="V38" s="1561" t="s">
        <v>8</v>
      </c>
      <c r="W38" s="1562">
        <f t="shared" si="14"/>
        <v>100</v>
      </c>
      <c r="X38" s="1563"/>
      <c r="Y38" s="3394"/>
      <c r="Z38" s="1564">
        <f t="shared" si="15"/>
        <v>111</v>
      </c>
      <c r="AA38" s="1560">
        <f t="shared" si="3"/>
        <v>1</v>
      </c>
      <c r="AB38" s="1560">
        <f t="shared" si="4"/>
        <v>1</v>
      </c>
      <c r="AC38" s="1560">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25"/>
      <c r="M39" s="2117"/>
      <c r="N39" s="2117"/>
      <c r="O39" s="2124"/>
      <c r="P39" s="3394"/>
      <c r="Q39" s="1556">
        <f t="shared" si="11"/>
        <v>111</v>
      </c>
      <c r="R39" s="1557" t="s">
        <v>8</v>
      </c>
      <c r="S39" s="1558">
        <f t="shared" si="12"/>
        <v>100</v>
      </c>
      <c r="T39" s="1557" t="s">
        <v>8</v>
      </c>
      <c r="U39" s="1558">
        <f t="shared" si="13"/>
        <v>100</v>
      </c>
      <c r="V39" s="1557" t="s">
        <v>8</v>
      </c>
      <c r="W39" s="1558">
        <f t="shared" si="14"/>
        <v>100</v>
      </c>
      <c r="X39" s="1551"/>
      <c r="Y39" s="3394"/>
      <c r="Z39" s="1559">
        <f t="shared" si="15"/>
        <v>111</v>
      </c>
      <c r="AA39" s="1560">
        <f t="shared" si="3"/>
        <v>1</v>
      </c>
      <c r="AB39" s="1560">
        <f t="shared" si="4"/>
        <v>1</v>
      </c>
      <c r="AC39" s="1560">
        <f t="shared" si="5"/>
        <v>1</v>
      </c>
    </row>
    <row r="40" spans="1:29" ht="15.75" thickBot="1">
      <c r="A40" s="883"/>
      <c r="B40" s="543">
        <v>111</v>
      </c>
      <c r="C40" s="544"/>
      <c r="D40" s="545">
        <v>100</v>
      </c>
      <c r="E40" s="538"/>
      <c r="F40" s="864">
        <f>SUMIF(112:112,E40,113:113)-SUMIF(112:112,C40,113:113)+100</f>
        <v>100</v>
      </c>
      <c r="G40" s="877"/>
      <c r="H40" s="545">
        <f>SUMIF(112:112,G40,113:113)-SUMIF(112:112,C40,113:113)+100</f>
        <v>100</v>
      </c>
      <c r="I40" s="877"/>
      <c r="J40" s="545">
        <f>SUMIF(112:112,I40,113:113)-SUMIF(112:112,C40,113:113)+100</f>
        <v>100</v>
      </c>
      <c r="K40" s="580"/>
      <c r="L40" s="2125"/>
      <c r="M40" s="2117"/>
      <c r="N40" s="2117"/>
      <c r="O40" s="2124"/>
      <c r="P40" s="3472"/>
      <c r="Q40" s="1556">
        <f t="shared" si="11"/>
        <v>111</v>
      </c>
      <c r="R40" s="1557" t="s">
        <v>8</v>
      </c>
      <c r="S40" s="1558">
        <f t="shared" si="12"/>
        <v>100</v>
      </c>
      <c r="T40" s="1557" t="s">
        <v>8</v>
      </c>
      <c r="U40" s="1558">
        <f t="shared" si="13"/>
        <v>100</v>
      </c>
      <c r="V40" s="1557" t="s">
        <v>8</v>
      </c>
      <c r="W40" s="1558">
        <f t="shared" si="14"/>
        <v>100</v>
      </c>
      <c r="X40" s="1551"/>
      <c r="Y40" s="3472"/>
      <c r="Z40" s="1559">
        <f t="shared" si="15"/>
        <v>111</v>
      </c>
      <c r="AA40" s="1560">
        <f t="shared" si="3"/>
        <v>1</v>
      </c>
      <c r="AB40" s="1560">
        <f t="shared" si="4"/>
        <v>1</v>
      </c>
      <c r="AC40" s="1560">
        <f t="shared" si="5"/>
        <v>1</v>
      </c>
    </row>
    <row r="41" spans="1:29" ht="15">
      <c r="A41" s="605" t="s">
        <v>735</v>
      </c>
      <c r="B41" s="884"/>
      <c r="C41" s="2589" t="s">
        <v>1</v>
      </c>
      <c r="D41" s="2590"/>
      <c r="E41" s="2591"/>
      <c r="F41" s="2592"/>
      <c r="G41" s="2593"/>
      <c r="H41" s="2594"/>
      <c r="I41" s="2591"/>
      <c r="J41" s="2594"/>
      <c r="K41" s="1594"/>
      <c r="L41" s="2127"/>
      <c r="M41" s="2128"/>
      <c r="N41" s="2117"/>
      <c r="O41" s="2128"/>
      <c r="P41" s="3389" t="str">
        <f>A41</f>
        <v>成交单价（元/平方米）</v>
      </c>
      <c r="Q41" s="3389"/>
      <c r="R41" s="3471">
        <f>E41</f>
        <v>0</v>
      </c>
      <c r="S41" s="3471"/>
      <c r="T41" s="3471">
        <f>G41</f>
        <v>0</v>
      </c>
      <c r="U41" s="3471"/>
      <c r="V41" s="3471">
        <f>I41</f>
        <v>0</v>
      </c>
      <c r="W41" s="3471"/>
      <c r="X41" s="1543"/>
      <c r="Y41" s="1565"/>
      <c r="Z41" s="1543"/>
      <c r="AA41" s="1543"/>
      <c r="AB41" s="1543"/>
      <c r="AC41" s="1543"/>
    </row>
    <row r="42" spans="1:29" ht="15.75" thickBot="1">
      <c r="A42" s="613" t="s">
        <v>2758</v>
      </c>
      <c r="B42" s="885"/>
      <c r="C42" s="2595" t="e">
        <f>R43</f>
        <v>#DIV/0!</v>
      </c>
      <c r="D42" s="2596"/>
      <c r="E42" s="2597" t="e">
        <f>R42</f>
        <v>#DIV/0!</v>
      </c>
      <c r="F42" s="2597"/>
      <c r="G42" s="2595" t="e">
        <f>T42</f>
        <v>#DIV/0!</v>
      </c>
      <c r="H42" s="2596"/>
      <c r="I42" s="2597" t="e">
        <f>V42</f>
        <v>#DIV/0!</v>
      </c>
      <c r="J42" s="2596"/>
      <c r="K42" s="1595"/>
      <c r="L42" s="2127"/>
      <c r="M42" s="2128"/>
      <c r="N42" s="2117"/>
      <c r="O42" s="2128"/>
      <c r="P42" s="3389" t="str">
        <f>A42</f>
        <v>比较价格（元/平方米）</v>
      </c>
      <c r="Q42" s="3389"/>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43"/>
      <c r="Y42" s="1543"/>
      <c r="Z42" s="1543"/>
      <c r="AA42" s="1543"/>
      <c r="AB42" s="1543"/>
      <c r="AC42" s="1543"/>
    </row>
    <row r="43" spans="1:29" ht="15.75" thickBot="1">
      <c r="A43" s="619" t="s">
        <v>2935</v>
      </c>
      <c r="B43" s="620"/>
      <c r="C43" s="2598" t="e">
        <f>R43</f>
        <v>#DIV/0!</v>
      </c>
      <c r="D43" s="2598"/>
      <c r="E43" s="2598"/>
      <c r="F43" s="2598"/>
      <c r="G43" s="2598"/>
      <c r="H43" s="2598"/>
      <c r="I43" s="2598"/>
      <c r="J43" s="2598"/>
      <c r="K43" s="1596"/>
      <c r="L43" s="2127"/>
      <c r="M43" s="2128"/>
      <c r="N43" s="2128"/>
      <c r="O43" s="2128"/>
      <c r="P43" s="3413" t="str">
        <f>A43</f>
        <v>估价对象XX用房的比较价格（楼面单价，元/平方米）</v>
      </c>
      <c r="Q43" s="3414"/>
      <c r="R43" s="3470" t="e">
        <f>IF(F1="售价",ROUND(AVERAGE(R42:V42),0),ROUND(AVERAGE(R42:V42),1))</f>
        <v>#DIV/0!</v>
      </c>
      <c r="S43" s="3470"/>
      <c r="T43" s="3470"/>
      <c r="U43" s="3470"/>
      <c r="V43" s="3470"/>
      <c r="W43" s="347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3" t="s">
        <v>529</v>
      </c>
      <c r="B52" s="644"/>
      <c r="C52" s="2755" t="str">
        <f>YEAR(C7)&amp;"-"&amp;MONTH(C7)</f>
        <v>2019-6</v>
      </c>
      <c r="D52" s="2757">
        <f>EDATE(C52,-1)</f>
        <v>43586</v>
      </c>
      <c r="E52" s="2757">
        <f t="shared" ref="E52:O52" si="16">EDATE(D52,-1)</f>
        <v>43556</v>
      </c>
      <c r="F52" s="2757">
        <f t="shared" si="16"/>
        <v>43525</v>
      </c>
      <c r="G52" s="2757">
        <f t="shared" si="16"/>
        <v>43497</v>
      </c>
      <c r="H52" s="2757">
        <f t="shared" si="16"/>
        <v>43466</v>
      </c>
      <c r="I52" s="2757">
        <f t="shared" si="16"/>
        <v>43435</v>
      </c>
      <c r="J52" s="2757">
        <f t="shared" si="16"/>
        <v>43405</v>
      </c>
      <c r="K52" s="2757">
        <f t="shared" si="16"/>
        <v>43374</v>
      </c>
      <c r="L52" s="2757">
        <f t="shared" si="16"/>
        <v>43344</v>
      </c>
      <c r="M52" s="2757">
        <f t="shared" si="16"/>
        <v>43313</v>
      </c>
      <c r="N52" s="2757">
        <f t="shared" si="16"/>
        <v>43282</v>
      </c>
      <c r="O52" s="2757">
        <f t="shared" si="16"/>
        <v>43252</v>
      </c>
      <c r="P52" s="2143"/>
      <c r="Q52" s="2144"/>
      <c r="R52" s="2144"/>
      <c r="S52" s="2144"/>
      <c r="T52" s="2144"/>
      <c r="U52" s="2144"/>
      <c r="V52" s="2144"/>
      <c r="W52" s="2144"/>
      <c r="X52" s="2144"/>
      <c r="Y52" s="2144"/>
      <c r="Z52" s="2144"/>
      <c r="AA52" s="2144"/>
      <c r="AB52" s="2144"/>
      <c r="AC52" s="2144"/>
    </row>
    <row r="53" spans="1:29" s="1213"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3"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3"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7"/>
      <c r="E57" s="597"/>
      <c r="F57" s="597"/>
      <c r="G57" s="597"/>
      <c r="H57" s="597"/>
      <c r="I57" s="597"/>
      <c r="J57" s="597"/>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40"/>
      <c r="D62" s="540"/>
      <c r="E62" s="540"/>
      <c r="F62" s="540"/>
      <c r="G62" s="540"/>
      <c r="H62" s="540"/>
      <c r="I62" s="540"/>
      <c r="J62" s="540"/>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2556</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2557</v>
      </c>
      <c r="C76" s="2560" t="s">
        <v>2558</v>
      </c>
      <c r="D76" s="2560" t="s">
        <v>2559</v>
      </c>
      <c r="E76" s="2560" t="s">
        <v>2560</v>
      </c>
      <c r="F76" s="2560" t="s">
        <v>2561</v>
      </c>
      <c r="G76" s="2560" t="s">
        <v>2562</v>
      </c>
      <c r="H76" s="932"/>
      <c r="I76" s="932"/>
      <c r="J76" s="932"/>
      <c r="K76" s="932"/>
      <c r="L76" s="932"/>
      <c r="M76" s="558"/>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783</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7"/>
      <c r="B80" s="671">
        <f>B25</f>
        <v>111</v>
      </c>
      <c r="C80" s="686"/>
      <c r="D80" s="686"/>
      <c r="E80" s="686"/>
      <c r="F80" s="686"/>
      <c r="G80" s="686"/>
      <c r="H80" s="686"/>
      <c r="I80" s="686"/>
      <c r="J80" s="686"/>
      <c r="K80" s="686"/>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7"/>
      <c r="B82" s="671">
        <f>B26</f>
        <v>111</v>
      </c>
      <c r="C82" s="686"/>
      <c r="D82" s="686"/>
      <c r="E82" s="686"/>
      <c r="F82" s="686"/>
      <c r="G82" s="686"/>
      <c r="H82" s="686"/>
      <c r="I82" s="686"/>
      <c r="J82" s="686"/>
      <c r="K82" s="686"/>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5"/>
      <c r="B84" s="671">
        <f>B27</f>
        <v>111</v>
      </c>
      <c r="C84" s="686"/>
      <c r="D84" s="686"/>
      <c r="E84" s="686"/>
      <c r="F84" s="686"/>
      <c r="G84" s="686"/>
      <c r="H84" s="686"/>
      <c r="I84" s="686"/>
      <c r="J84" s="686"/>
      <c r="K84" s="686"/>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0"/>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746</v>
      </c>
      <c r="C88" s="597"/>
      <c r="D88" s="597"/>
      <c r="E88" s="597"/>
      <c r="F88" s="597"/>
      <c r="G88" s="597"/>
      <c r="H88" s="597"/>
      <c r="I88" s="597"/>
      <c r="J88" s="597"/>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748</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750</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6"/>
      <c r="B100" s="671" t="s">
        <v>752</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2555</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754</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4" t="s">
        <v>790</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791</v>
      </c>
      <c r="D1" s="847"/>
      <c r="E1" s="505"/>
      <c r="F1" s="2760"/>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8"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IF(B37="元/平方米",C39,ROUND(B2*10000/D3,0))</f>
        <v>#DIV/0!</v>
      </c>
      <c r="C3" s="850" t="s">
        <v>795</v>
      </c>
      <c r="D3" s="849">
        <f>SUMIF('数据-汇总表'!$C19:$C33,D1,'数据-汇总表'!$E19:$E33)</f>
        <v>0</v>
      </c>
      <c r="E3" s="1831" t="s">
        <v>2075</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395" t="s">
        <v>797</v>
      </c>
      <c r="D4" s="3397"/>
      <c r="E4" s="3395" t="s">
        <v>798</v>
      </c>
      <c r="F4" s="3397"/>
      <c r="G4" s="3395" t="s">
        <v>799</v>
      </c>
      <c r="H4" s="3397"/>
      <c r="I4" s="3395" t="s">
        <v>800</v>
      </c>
      <c r="J4" s="3397"/>
      <c r="K4" s="513" t="s">
        <v>801</v>
      </c>
      <c r="L4" s="2116"/>
      <c r="M4" s="2117"/>
      <c r="N4" s="2117"/>
      <c r="O4" s="2117"/>
      <c r="P4" s="3398" t="s">
        <v>802</v>
      </c>
      <c r="Q4" s="3399"/>
      <c r="R4" s="3383" t="s">
        <v>798</v>
      </c>
      <c r="S4" s="3384"/>
      <c r="T4" s="3383" t="s">
        <v>799</v>
      </c>
      <c r="U4" s="3384"/>
      <c r="V4" s="3404" t="s">
        <v>800</v>
      </c>
      <c r="W4" s="3404"/>
      <c r="X4" s="1551"/>
      <c r="Y4" s="3383" t="s">
        <v>802</v>
      </c>
      <c r="Z4" s="3384"/>
      <c r="AA4" s="3378" t="s">
        <v>798</v>
      </c>
      <c r="AB4" s="3379" t="s">
        <v>799</v>
      </c>
      <c r="AC4" s="3378" t="s">
        <v>800</v>
      </c>
    </row>
    <row r="5" spans="1:29" ht="15">
      <c r="A5" s="514"/>
      <c r="B5" s="515"/>
      <c r="C5" s="3407" t="s">
        <v>2929</v>
      </c>
      <c r="D5" s="3408"/>
      <c r="E5" s="3407" t="s">
        <v>2930</v>
      </c>
      <c r="F5" s="3408"/>
      <c r="G5" s="3407" t="s">
        <v>2931</v>
      </c>
      <c r="H5" s="3408"/>
      <c r="I5" s="3407" t="s">
        <v>2932</v>
      </c>
      <c r="J5" s="3408"/>
      <c r="K5" s="513"/>
      <c r="L5" s="2116"/>
      <c r="M5" s="2117"/>
      <c r="N5" s="2117"/>
      <c r="O5" s="2117"/>
      <c r="P5" s="3400"/>
      <c r="Q5" s="3401"/>
      <c r="R5" s="3385"/>
      <c r="S5" s="3386"/>
      <c r="T5" s="3385"/>
      <c r="U5" s="3386"/>
      <c r="V5" s="3404"/>
      <c r="W5" s="3404"/>
      <c r="X5" s="1551"/>
      <c r="Y5" s="3385"/>
      <c r="Z5" s="3386"/>
      <c r="AA5" s="3379"/>
      <c r="AB5" s="3379"/>
      <c r="AC5" s="3379"/>
    </row>
    <row r="6" spans="1:29" ht="15.75" thickBot="1">
      <c r="A6" s="516"/>
      <c r="B6" s="517"/>
      <c r="C6" s="3405" t="s">
        <v>2933</v>
      </c>
      <c r="D6" s="3406"/>
      <c r="E6" s="3410" t="s">
        <v>2933</v>
      </c>
      <c r="F6" s="3412"/>
      <c r="G6" s="3405" t="s">
        <v>2933</v>
      </c>
      <c r="H6" s="3406"/>
      <c r="I6" s="3405" t="s">
        <v>2933</v>
      </c>
      <c r="J6" s="3406"/>
      <c r="K6" s="513" t="s">
        <v>528</v>
      </c>
      <c r="L6" s="2116"/>
      <c r="M6" s="2117"/>
      <c r="N6" s="2117"/>
      <c r="O6" s="2117"/>
      <c r="P6" s="3402"/>
      <c r="Q6" s="3403"/>
      <c r="R6" s="3385"/>
      <c r="S6" s="3386"/>
      <c r="T6" s="3387"/>
      <c r="U6" s="3388"/>
      <c r="V6" s="3404"/>
      <c r="W6" s="3404"/>
      <c r="X6" s="1551"/>
      <c r="Y6" s="3387"/>
      <c r="Z6" s="3388"/>
      <c r="AA6" s="3380"/>
      <c r="AB6" s="3380"/>
      <c r="AC6" s="3380"/>
    </row>
    <row r="7" spans="1:29" s="1213" customFormat="1" ht="15.75" thickBot="1">
      <c r="A7" s="2865"/>
      <c r="B7" s="2872" t="s">
        <v>529</v>
      </c>
      <c r="C7" s="518">
        <f>'数据-取费表'!B2</f>
        <v>43630</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81" t="s">
        <v>530</v>
      </c>
      <c r="Q7" s="3390"/>
      <c r="R7" s="1552" t="s">
        <v>8</v>
      </c>
      <c r="S7" s="1553">
        <f t="shared" ref="S7:S14" si="0">F7</f>
        <v>0</v>
      </c>
      <c r="T7" s="1552" t="s">
        <v>8</v>
      </c>
      <c r="U7" s="1553">
        <f t="shared" ref="U7:U14" si="1">H7</f>
        <v>0</v>
      </c>
      <c r="V7" s="1552" t="s">
        <v>8</v>
      </c>
      <c r="W7" s="1553">
        <f t="shared" ref="W7:W14" si="2">J7</f>
        <v>0</v>
      </c>
      <c r="X7" s="1554"/>
      <c r="Y7" s="3381" t="s">
        <v>530</v>
      </c>
      <c r="Z7" s="3382"/>
      <c r="AA7" s="1555" t="e">
        <f>D7/F7</f>
        <v>#DIV/0!</v>
      </c>
      <c r="AB7" s="1555" t="e">
        <f>D7/H7</f>
        <v>#DIV/0!</v>
      </c>
      <c r="AC7" s="1555" t="e">
        <f>D7/J7</f>
        <v>#DIV/0!</v>
      </c>
    </row>
    <row r="8" spans="1:29" s="1213"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81" t="s">
        <v>533</v>
      </c>
      <c r="Q8" s="3382"/>
      <c r="R8" s="1552" t="s">
        <v>8</v>
      </c>
      <c r="S8" s="1553">
        <f t="shared" si="0"/>
        <v>0</v>
      </c>
      <c r="T8" s="1552" t="s">
        <v>8</v>
      </c>
      <c r="U8" s="1553">
        <f t="shared" si="1"/>
        <v>0</v>
      </c>
      <c r="V8" s="1552" t="s">
        <v>8</v>
      </c>
      <c r="W8" s="1553">
        <f t="shared" si="2"/>
        <v>0</v>
      </c>
      <c r="X8" s="1554"/>
      <c r="Y8" s="3381" t="s">
        <v>533</v>
      </c>
      <c r="Z8" s="3382"/>
      <c r="AA8" s="1555" t="e">
        <f t="shared" ref="AA8:AA36" si="3">D8/F8</f>
        <v>#DIV/0!</v>
      </c>
      <c r="AB8" s="1555" t="e">
        <f t="shared" ref="AB8:AB36" si="4">D8/H8</f>
        <v>#DIV/0!</v>
      </c>
      <c r="AC8" s="1555" t="e">
        <f t="shared" ref="AC8:AC36" si="5">D8/J8</f>
        <v>#DIV/0!</v>
      </c>
    </row>
    <row r="9" spans="1:29" s="1213" customFormat="1" ht="15">
      <c r="A9" s="2867"/>
      <c r="B9" s="2874" t="s">
        <v>2754</v>
      </c>
      <c r="C9" s="855"/>
      <c r="D9" s="253">
        <v>100</v>
      </c>
      <c r="E9" s="858"/>
      <c r="F9" s="253">
        <f>SUMIF(53:53,E9,54:54)-SUMIF(53:53,C9,54:54)+100</f>
        <v>100</v>
      </c>
      <c r="G9" s="856"/>
      <c r="H9" s="253">
        <f>SUMIF(53:53,G9,54:54)-SUMIF(53:53,C9,54:54)+100</f>
        <v>100</v>
      </c>
      <c r="I9" s="856"/>
      <c r="J9" s="253">
        <f>SUMIF(53:53,I9,54:54)-SUMIF(53:53,C9,54:54)+100</f>
        <v>100</v>
      </c>
      <c r="K9" s="523"/>
      <c r="L9" s="2118"/>
      <c r="M9" s="2119"/>
      <c r="N9" s="2119"/>
      <c r="O9" s="2120"/>
      <c r="P9" s="3389" t="s">
        <v>535</v>
      </c>
      <c r="Q9" s="1144" t="str">
        <f t="shared" ref="Q9:Q14" si="6">B9</f>
        <v>用途</v>
      </c>
      <c r="R9" s="1552" t="s">
        <v>8</v>
      </c>
      <c r="S9" s="1553">
        <f t="shared" si="0"/>
        <v>100</v>
      </c>
      <c r="T9" s="1552" t="s">
        <v>8</v>
      </c>
      <c r="U9" s="1553">
        <f t="shared" si="1"/>
        <v>100</v>
      </c>
      <c r="V9" s="1552" t="s">
        <v>8</v>
      </c>
      <c r="W9" s="1553">
        <f t="shared" si="2"/>
        <v>100</v>
      </c>
      <c r="X9" s="1554"/>
      <c r="Y9" s="3346" t="s">
        <v>536</v>
      </c>
      <c r="Z9" s="1143" t="str">
        <f t="shared" ref="Z9:Z14" si="7">Q9</f>
        <v>用途</v>
      </c>
      <c r="AA9" s="1555">
        <f t="shared" si="3"/>
        <v>1</v>
      </c>
      <c r="AB9" s="1555">
        <f t="shared" si="4"/>
        <v>1</v>
      </c>
      <c r="AC9" s="1555">
        <f t="shared" si="5"/>
        <v>1</v>
      </c>
    </row>
    <row r="10" spans="1:29" s="1331" customFormat="1" ht="27">
      <c r="A10" s="2868"/>
      <c r="B10" s="2873" t="s">
        <v>2755</v>
      </c>
      <c r="C10" s="859"/>
      <c r="D10" s="254">
        <v>100</v>
      </c>
      <c r="E10" s="859"/>
      <c r="F10" s="254">
        <f>SUMIF(55:55,E10,56:56)-SUMIF(55:55,C10,56:56)+100</f>
        <v>100</v>
      </c>
      <c r="G10" s="860"/>
      <c r="H10" s="254">
        <f>SUMIF(55:55,G10,56:56)-SUMIF(55:55,C10,56:56)+100</f>
        <v>100</v>
      </c>
      <c r="I10" s="859"/>
      <c r="J10" s="254">
        <f>SUMIF(55:55,I10,56:56)-SUMIF(55:55,C10,56:56)+100</f>
        <v>100</v>
      </c>
      <c r="K10" s="583"/>
      <c r="L10" s="2121"/>
      <c r="M10" s="2161"/>
      <c r="N10" s="2161"/>
      <c r="O10" s="2122"/>
      <c r="P10" s="3389"/>
      <c r="Q10" s="1144" t="str">
        <f t="shared" si="6"/>
        <v>土地使用年限（年）</v>
      </c>
      <c r="R10" s="1552" t="s">
        <v>8</v>
      </c>
      <c r="S10" s="1553">
        <f t="shared" si="0"/>
        <v>100</v>
      </c>
      <c r="T10" s="1552" t="s">
        <v>8</v>
      </c>
      <c r="U10" s="1553">
        <f t="shared" si="1"/>
        <v>100</v>
      </c>
      <c r="V10" s="1552" t="s">
        <v>8</v>
      </c>
      <c r="W10" s="1553">
        <f t="shared" si="2"/>
        <v>100</v>
      </c>
      <c r="X10" s="1554"/>
      <c r="Y10" s="3346"/>
      <c r="Z10" s="1143"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89"/>
      <c r="Q11" s="1144">
        <f t="shared" si="6"/>
        <v>111</v>
      </c>
      <c r="R11" s="1552" t="s">
        <v>8</v>
      </c>
      <c r="S11" s="1553">
        <f t="shared" si="0"/>
        <v>100</v>
      </c>
      <c r="T11" s="1552" t="s">
        <v>8</v>
      </c>
      <c r="U11" s="1553">
        <f t="shared" si="1"/>
        <v>100</v>
      </c>
      <c r="V11" s="1552" t="s">
        <v>8</v>
      </c>
      <c r="W11" s="1553">
        <f t="shared" si="2"/>
        <v>100</v>
      </c>
      <c r="X11" s="1554"/>
      <c r="Y11" s="3346"/>
      <c r="Z11" s="1143">
        <f t="shared" si="7"/>
        <v>111</v>
      </c>
      <c r="AA11" s="1555">
        <f t="shared" si="3"/>
        <v>1</v>
      </c>
      <c r="AB11" s="1555">
        <f t="shared" si="4"/>
        <v>1</v>
      </c>
      <c r="AC11" s="1555">
        <f t="shared" si="5"/>
        <v>1</v>
      </c>
    </row>
    <row r="12" spans="1:29" s="1213"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89"/>
      <c r="Q12" s="1144">
        <f t="shared" si="6"/>
        <v>111</v>
      </c>
      <c r="R12" s="1552" t="s">
        <v>8</v>
      </c>
      <c r="S12" s="1553">
        <f t="shared" si="0"/>
        <v>100</v>
      </c>
      <c r="T12" s="1552" t="s">
        <v>8</v>
      </c>
      <c r="U12" s="1553">
        <f t="shared" si="1"/>
        <v>100</v>
      </c>
      <c r="V12" s="1552" t="s">
        <v>8</v>
      </c>
      <c r="W12" s="1553">
        <f t="shared" si="2"/>
        <v>100</v>
      </c>
      <c r="X12" s="1554"/>
      <c r="Y12" s="3346"/>
      <c r="Z12" s="1143">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89"/>
      <c r="Q13" s="1144">
        <f t="shared" si="6"/>
        <v>111</v>
      </c>
      <c r="R13" s="1552" t="s">
        <v>8</v>
      </c>
      <c r="S13" s="1553">
        <f t="shared" si="0"/>
        <v>100</v>
      </c>
      <c r="T13" s="1552" t="s">
        <v>8</v>
      </c>
      <c r="U13" s="1553">
        <f t="shared" si="1"/>
        <v>100</v>
      </c>
      <c r="V13" s="1552" t="s">
        <v>8</v>
      </c>
      <c r="W13" s="1553">
        <f t="shared" si="2"/>
        <v>100</v>
      </c>
      <c r="X13" s="1554"/>
      <c r="Y13" s="3346"/>
      <c r="Z13" s="1143">
        <f t="shared" si="7"/>
        <v>111</v>
      </c>
      <c r="AA13" s="1555">
        <f t="shared" si="3"/>
        <v>1</v>
      </c>
      <c r="AB13" s="1555">
        <f t="shared" si="4"/>
        <v>1</v>
      </c>
      <c r="AC13" s="1555">
        <f t="shared" si="5"/>
        <v>1</v>
      </c>
    </row>
    <row r="14" spans="1:29" ht="85.5">
      <c r="A14" s="2863" t="s">
        <v>2752</v>
      </c>
      <c r="B14" s="546" t="s">
        <v>543</v>
      </c>
      <c r="C14" s="918"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25"/>
      <c r="M14" s="2117"/>
      <c r="N14" s="2117"/>
      <c r="O14" s="2124"/>
      <c r="P14" s="3391" t="s">
        <v>540</v>
      </c>
      <c r="Q14" s="1556" t="str">
        <f t="shared" si="6"/>
        <v>交通便捷度</v>
      </c>
      <c r="R14" s="1557" t="s">
        <v>8</v>
      </c>
      <c r="S14" s="1558">
        <f t="shared" si="0"/>
        <v>100</v>
      </c>
      <c r="T14" s="1557" t="s">
        <v>8</v>
      </c>
      <c r="U14" s="1558">
        <f t="shared" si="1"/>
        <v>100</v>
      </c>
      <c r="V14" s="1557" t="s">
        <v>8</v>
      </c>
      <c r="W14" s="1558">
        <f t="shared" si="2"/>
        <v>100</v>
      </c>
      <c r="X14" s="1551"/>
      <c r="Y14" s="3391" t="s">
        <v>540</v>
      </c>
      <c r="Z14" s="1559" t="str">
        <f t="shared" si="7"/>
        <v>交通便捷度</v>
      </c>
      <c r="AA14" s="1560">
        <f t="shared" si="3"/>
        <v>1</v>
      </c>
      <c r="AB14" s="1560">
        <f t="shared" si="4"/>
        <v>1</v>
      </c>
      <c r="AC14" s="1560">
        <f t="shared" si="5"/>
        <v>1</v>
      </c>
    </row>
    <row r="15" spans="1:29" ht="15">
      <c r="A15" s="514"/>
      <c r="B15" s="921"/>
      <c r="C15" s="575"/>
      <c r="D15" s="554"/>
      <c r="E15" s="575"/>
      <c r="F15" s="556"/>
      <c r="G15" s="575"/>
      <c r="H15" s="558"/>
      <c r="I15" s="575"/>
      <c r="J15" s="554"/>
      <c r="K15" s="896"/>
      <c r="L15" s="2125"/>
      <c r="M15" s="2117"/>
      <c r="N15" s="2117"/>
      <c r="O15" s="2124"/>
      <c r="P15" s="3392"/>
      <c r="Q15" s="1556"/>
      <c r="R15" s="1557"/>
      <c r="S15" s="1558"/>
      <c r="T15" s="1557"/>
      <c r="U15" s="1558"/>
      <c r="V15" s="1557"/>
      <c r="W15" s="1558"/>
      <c r="X15" s="1551"/>
      <c r="Y15" s="3392"/>
      <c r="Z15" s="1559"/>
      <c r="AA15" s="1560">
        <v>1</v>
      </c>
      <c r="AB15" s="1560">
        <v>1</v>
      </c>
      <c r="AC15" s="1560">
        <v>1</v>
      </c>
    </row>
    <row r="16" spans="1:29" ht="42.75">
      <c r="A16" s="514"/>
      <c r="B16" s="2565" t="s">
        <v>2545</v>
      </c>
      <c r="C16" s="870"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25"/>
      <c r="M16" s="2117"/>
      <c r="N16" s="2117"/>
      <c r="O16" s="2124"/>
      <c r="P16" s="3392"/>
      <c r="Q16" s="1556" t="str">
        <f>B16</f>
        <v>公共配套设施</v>
      </c>
      <c r="R16" s="1557" t="s">
        <v>8</v>
      </c>
      <c r="S16" s="1558">
        <f>F16</f>
        <v>100</v>
      </c>
      <c r="T16" s="1557" t="s">
        <v>8</v>
      </c>
      <c r="U16" s="1558">
        <f>H16</f>
        <v>100</v>
      </c>
      <c r="V16" s="1557" t="s">
        <v>8</v>
      </c>
      <c r="W16" s="1558">
        <f>J16</f>
        <v>100</v>
      </c>
      <c r="X16" s="1551"/>
      <c r="Y16" s="3392"/>
      <c r="Z16" s="1559" t="str">
        <f>Q16</f>
        <v>公共配套设施</v>
      </c>
      <c r="AA16" s="1560">
        <f t="shared" si="3"/>
        <v>1</v>
      </c>
      <c r="AB16" s="1560">
        <f t="shared" si="4"/>
        <v>1</v>
      </c>
      <c r="AC16" s="1560">
        <f t="shared" si="5"/>
        <v>1</v>
      </c>
    </row>
    <row r="17" spans="1:29" ht="15">
      <c r="A17" s="514"/>
      <c r="B17" s="565"/>
      <c r="C17" s="871"/>
      <c r="D17" s="554"/>
      <c r="E17" s="575"/>
      <c r="F17" s="556"/>
      <c r="G17" s="575"/>
      <c r="H17" s="554"/>
      <c r="I17" s="575"/>
      <c r="J17" s="554"/>
      <c r="K17" s="896"/>
      <c r="L17" s="2125"/>
      <c r="M17" s="2117"/>
      <c r="N17" s="2117"/>
      <c r="O17" s="2124"/>
      <c r="P17" s="3392"/>
      <c r="Q17" s="1556"/>
      <c r="R17" s="1557"/>
      <c r="S17" s="1558"/>
      <c r="T17" s="1557"/>
      <c r="U17" s="1558"/>
      <c r="V17" s="1557"/>
      <c r="W17" s="1558"/>
      <c r="X17" s="1551"/>
      <c r="Y17" s="3392"/>
      <c r="Z17" s="1559"/>
      <c r="AA17" s="1560">
        <v>1</v>
      </c>
      <c r="AB17" s="1560">
        <v>1</v>
      </c>
      <c r="AC17" s="1560">
        <v>1</v>
      </c>
    </row>
    <row r="18" spans="1:29" ht="28.5">
      <c r="A18" s="514"/>
      <c r="B18" s="2553" t="s">
        <v>2557</v>
      </c>
      <c r="C18" s="870"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25"/>
      <c r="M18" s="2117"/>
      <c r="N18" s="2117"/>
      <c r="O18" s="2124"/>
      <c r="P18" s="3392"/>
      <c r="Q18" s="2541" t="str">
        <f>B18</f>
        <v>基础设施水平</v>
      </c>
      <c r="R18" s="1557" t="s">
        <v>8</v>
      </c>
      <c r="S18" s="1558">
        <f>F18</f>
        <v>100</v>
      </c>
      <c r="T18" s="1557" t="s">
        <v>8</v>
      </c>
      <c r="U18" s="1558">
        <f>H18</f>
        <v>100</v>
      </c>
      <c r="V18" s="1557" t="s">
        <v>8</v>
      </c>
      <c r="W18" s="1558">
        <f>J18</f>
        <v>100</v>
      </c>
      <c r="X18" s="2543"/>
      <c r="Y18" s="3392"/>
      <c r="Z18" s="2542" t="str">
        <f>Q18</f>
        <v>基础设施水平</v>
      </c>
      <c r="AA18" s="1560">
        <f t="shared" ref="AA18" si="8">D18/F18</f>
        <v>1</v>
      </c>
      <c r="AB18" s="1560">
        <f t="shared" ref="AB18" si="9">D18/H18</f>
        <v>1</v>
      </c>
      <c r="AC18" s="1560">
        <f t="shared" ref="AC18" si="10">D18/J18</f>
        <v>1</v>
      </c>
    </row>
    <row r="19" spans="1:29" ht="15">
      <c r="A19" s="514"/>
      <c r="B19" s="577"/>
      <c r="C19" s="871"/>
      <c r="D19" s="558"/>
      <c r="E19" s="575"/>
      <c r="F19" s="556"/>
      <c r="G19" s="575"/>
      <c r="H19" s="554"/>
      <c r="I19" s="575"/>
      <c r="J19" s="554"/>
      <c r="K19" s="2564"/>
      <c r="L19" s="2125"/>
      <c r="M19" s="2117"/>
      <c r="N19" s="2117"/>
      <c r="O19" s="2124"/>
      <c r="P19" s="3392"/>
      <c r="Q19" s="2541"/>
      <c r="R19" s="1557"/>
      <c r="S19" s="1558"/>
      <c r="T19" s="1557"/>
      <c r="U19" s="1558"/>
      <c r="V19" s="1557"/>
      <c r="W19" s="1558"/>
      <c r="X19" s="2543"/>
      <c r="Y19" s="3392"/>
      <c r="Z19" s="2542"/>
      <c r="AA19" s="1560">
        <v>1</v>
      </c>
      <c r="AB19" s="1560">
        <v>1</v>
      </c>
      <c r="AC19" s="1560">
        <v>1</v>
      </c>
    </row>
    <row r="20" spans="1:29" ht="57">
      <c r="A20" s="514"/>
      <c r="B20" s="559" t="s">
        <v>803</v>
      </c>
      <c r="C20" s="870"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25"/>
      <c r="M20" s="2117"/>
      <c r="N20" s="2117"/>
      <c r="O20" s="2124"/>
      <c r="P20" s="3392"/>
      <c r="Q20" s="1556" t="str">
        <f>B20</f>
        <v>自然及人文环境</v>
      </c>
      <c r="R20" s="1557" t="s">
        <v>8</v>
      </c>
      <c r="S20" s="1558">
        <f>F20</f>
        <v>100</v>
      </c>
      <c r="T20" s="1557" t="s">
        <v>8</v>
      </c>
      <c r="U20" s="1558">
        <f>H20</f>
        <v>100</v>
      </c>
      <c r="V20" s="1557" t="s">
        <v>8</v>
      </c>
      <c r="W20" s="1558">
        <f>J20</f>
        <v>100</v>
      </c>
      <c r="X20" s="1551"/>
      <c r="Y20" s="3392"/>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6"/>
      <c r="L21" s="2125"/>
      <c r="M21" s="2117"/>
      <c r="N21" s="2117"/>
      <c r="O21" s="2124"/>
      <c r="P21" s="3392"/>
      <c r="Q21" s="1556"/>
      <c r="R21" s="1557"/>
      <c r="S21" s="1558"/>
      <c r="T21" s="1557"/>
      <c r="U21" s="1558"/>
      <c r="V21" s="1557"/>
      <c r="W21" s="1558"/>
      <c r="X21" s="1551"/>
      <c r="Y21" s="3392"/>
      <c r="Z21" s="1559"/>
      <c r="AA21" s="1560">
        <v>1</v>
      </c>
      <c r="AB21" s="1560">
        <v>1</v>
      </c>
      <c r="AC21" s="1560">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392"/>
      <c r="Q22" s="1556" t="str">
        <f>B22</f>
        <v>楼层</v>
      </c>
      <c r="R22" s="1557" t="s">
        <v>8</v>
      </c>
      <c r="S22" s="1558">
        <f>F22</f>
        <v>100</v>
      </c>
      <c r="T22" s="1557" t="s">
        <v>8</v>
      </c>
      <c r="U22" s="1558">
        <f>H22</f>
        <v>100</v>
      </c>
      <c r="V22" s="1557" t="s">
        <v>8</v>
      </c>
      <c r="W22" s="1558">
        <f>J22</f>
        <v>100</v>
      </c>
      <c r="X22" s="1551"/>
      <c r="Y22" s="3392"/>
      <c r="Z22" s="1559" t="str">
        <f>Q22</f>
        <v>楼层</v>
      </c>
      <c r="AA22" s="1560">
        <f t="shared" si="3"/>
        <v>1</v>
      </c>
      <c r="AB22" s="1560">
        <f t="shared" si="4"/>
        <v>1</v>
      </c>
      <c r="AC22" s="1560">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392"/>
      <c r="Q23" s="1556">
        <f>B23</f>
        <v>111</v>
      </c>
      <c r="R23" s="1557" t="s">
        <v>8</v>
      </c>
      <c r="S23" s="1558">
        <f>F23</f>
        <v>100</v>
      </c>
      <c r="T23" s="1557" t="s">
        <v>8</v>
      </c>
      <c r="U23" s="1558">
        <f>H23</f>
        <v>100</v>
      </c>
      <c r="V23" s="1557" t="s">
        <v>8</v>
      </c>
      <c r="W23" s="1558">
        <f>J23</f>
        <v>100</v>
      </c>
      <c r="X23" s="1551"/>
      <c r="Y23" s="3392"/>
      <c r="Z23" s="1559">
        <f>Q23</f>
        <v>111</v>
      </c>
      <c r="AA23" s="1560">
        <f t="shared" si="3"/>
        <v>1</v>
      </c>
      <c r="AB23" s="1560">
        <f t="shared" si="4"/>
        <v>1</v>
      </c>
      <c r="AC23" s="1560">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392"/>
      <c r="Q24" s="1556">
        <f t="shared" ref="Q24:Q36" si="11">B24</f>
        <v>111</v>
      </c>
      <c r="R24" s="1557" t="s">
        <v>8</v>
      </c>
      <c r="S24" s="1558">
        <f>F24</f>
        <v>100</v>
      </c>
      <c r="T24" s="1557" t="s">
        <v>8</v>
      </c>
      <c r="U24" s="1558">
        <f>H24</f>
        <v>100</v>
      </c>
      <c r="V24" s="1557" t="s">
        <v>8</v>
      </c>
      <c r="W24" s="1558">
        <f>J24</f>
        <v>100</v>
      </c>
      <c r="X24" s="1551"/>
      <c r="Y24" s="3392"/>
      <c r="Z24" s="1559">
        <f>Q24</f>
        <v>111</v>
      </c>
      <c r="AA24" s="1560">
        <f t="shared" si="3"/>
        <v>1</v>
      </c>
      <c r="AB24" s="1560">
        <f t="shared" si="4"/>
        <v>1</v>
      </c>
      <c r="AC24" s="1560">
        <f t="shared" si="5"/>
        <v>1</v>
      </c>
    </row>
    <row r="25" spans="1:29" s="1213"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18"/>
      <c r="M25" s="2119"/>
      <c r="N25" s="2119"/>
      <c r="O25" s="2120"/>
      <c r="P25" s="3392"/>
      <c r="Q25" s="1144">
        <f t="shared" si="11"/>
        <v>111</v>
      </c>
      <c r="R25" s="1552" t="s">
        <v>8</v>
      </c>
      <c r="S25" s="1553">
        <f>F25</f>
        <v>100</v>
      </c>
      <c r="T25" s="1552" t="s">
        <v>8</v>
      </c>
      <c r="U25" s="1553">
        <f>H25</f>
        <v>100</v>
      </c>
      <c r="V25" s="1552" t="s">
        <v>8</v>
      </c>
      <c r="W25" s="1553">
        <f>J25</f>
        <v>100</v>
      </c>
      <c r="X25" s="1554"/>
      <c r="Y25" s="3392"/>
      <c r="Z25" s="1143">
        <f>Q25</f>
        <v>111</v>
      </c>
      <c r="AA25" s="1560">
        <f>D25/F25</f>
        <v>1</v>
      </c>
      <c r="AB25" s="1560">
        <f>D25/H25</f>
        <v>1</v>
      </c>
      <c r="AC25" s="1560">
        <f>D25/J25</f>
        <v>1</v>
      </c>
    </row>
    <row r="26" spans="1:29" ht="15">
      <c r="A26" s="2860" t="s">
        <v>2753</v>
      </c>
      <c r="B26" s="169" t="s">
        <v>805</v>
      </c>
      <c r="C26" s="925">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393"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394" t="s">
        <v>550</v>
      </c>
      <c r="Z26" s="1559" t="str">
        <f t="shared" ref="Z26:Z36" si="15">Q26</f>
        <v>配套类型</v>
      </c>
      <c r="AA26" s="1560">
        <f t="shared" si="3"/>
        <v>1</v>
      </c>
      <c r="AB26" s="1560">
        <f t="shared" si="4"/>
        <v>1</v>
      </c>
      <c r="AC26" s="1560">
        <f t="shared" si="5"/>
        <v>1</v>
      </c>
    </row>
    <row r="27" spans="1:29" s="1332" customFormat="1" ht="15">
      <c r="A27" s="926"/>
      <c r="B27" s="581" t="s">
        <v>806</v>
      </c>
      <c r="C27" s="927"/>
      <c r="D27" s="254">
        <v>100</v>
      </c>
      <c r="E27" s="927"/>
      <c r="F27" s="574">
        <f>SUMIF(81:81,E27,82:82)-SUMIF(81:81,C27,82:82)+100</f>
        <v>100</v>
      </c>
      <c r="G27" s="927"/>
      <c r="H27" s="539">
        <f>SUMIF(81:81,G27,82:82)-SUMIF(81:81,C27,82:82)+100</f>
        <v>100</v>
      </c>
      <c r="I27" s="927"/>
      <c r="J27" s="539">
        <f>SUMIF(81:81,I27,82:82)-SUMIF(81:81,C27,82:82)+100</f>
        <v>100</v>
      </c>
      <c r="K27" s="580"/>
      <c r="L27" s="2123"/>
      <c r="M27" s="2154"/>
      <c r="N27" s="2154"/>
      <c r="O27" s="2126"/>
      <c r="P27" s="3394"/>
      <c r="Q27" s="1588" t="str">
        <f t="shared" si="11"/>
        <v>项目停车位配比</v>
      </c>
      <c r="R27" s="1561" t="s">
        <v>8</v>
      </c>
      <c r="S27" s="1562">
        <f t="shared" si="12"/>
        <v>100</v>
      </c>
      <c r="T27" s="1561" t="s">
        <v>8</v>
      </c>
      <c r="U27" s="1562">
        <f t="shared" si="13"/>
        <v>100</v>
      </c>
      <c r="V27" s="1561" t="s">
        <v>8</v>
      </c>
      <c r="W27" s="1562">
        <f t="shared" si="14"/>
        <v>100</v>
      </c>
      <c r="X27" s="1563"/>
      <c r="Y27" s="3394"/>
      <c r="Z27" s="1564" t="str">
        <f t="shared" si="15"/>
        <v>项目停车位配比</v>
      </c>
      <c r="AA27" s="1560">
        <f t="shared" si="3"/>
        <v>1</v>
      </c>
      <c r="AB27" s="1560">
        <f t="shared" si="4"/>
        <v>1</v>
      </c>
      <c r="AC27" s="1560">
        <f t="shared" si="5"/>
        <v>1</v>
      </c>
    </row>
    <row r="28" spans="1:29" ht="15">
      <c r="A28" s="928"/>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394"/>
      <c r="Q28" s="1556" t="str">
        <f t="shared" si="11"/>
        <v>公共部分装修</v>
      </c>
      <c r="R28" s="1557" t="s">
        <v>8</v>
      </c>
      <c r="S28" s="1558">
        <f t="shared" si="12"/>
        <v>100</v>
      </c>
      <c r="T28" s="1557" t="s">
        <v>8</v>
      </c>
      <c r="U28" s="1558">
        <f t="shared" si="13"/>
        <v>100</v>
      </c>
      <c r="V28" s="1557" t="s">
        <v>8</v>
      </c>
      <c r="W28" s="1558">
        <f t="shared" si="14"/>
        <v>100</v>
      </c>
      <c r="X28" s="1551"/>
      <c r="Y28" s="3394"/>
      <c r="Z28" s="1559" t="str">
        <f t="shared" si="15"/>
        <v>公共部分装修</v>
      </c>
      <c r="AA28" s="1560">
        <f t="shared" si="3"/>
        <v>1</v>
      </c>
      <c r="AB28" s="1560">
        <f t="shared" si="4"/>
        <v>1</v>
      </c>
      <c r="AC28" s="1560">
        <f t="shared" si="5"/>
        <v>1</v>
      </c>
    </row>
    <row r="29" spans="1:29" ht="15">
      <c r="A29" s="928"/>
      <c r="B29" s="581" t="s">
        <v>808</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25"/>
      <c r="M29" s="2117"/>
      <c r="N29" s="2117"/>
      <c r="O29" s="2124"/>
      <c r="P29" s="3394"/>
      <c r="Q29" s="1556" t="str">
        <f t="shared" si="11"/>
        <v>成新率</v>
      </c>
      <c r="R29" s="1557" t="s">
        <v>8</v>
      </c>
      <c r="S29" s="1558" t="e">
        <f t="shared" si="12"/>
        <v>#N/A</v>
      </c>
      <c r="T29" s="1557" t="s">
        <v>8</v>
      </c>
      <c r="U29" s="1558" t="e">
        <f t="shared" si="13"/>
        <v>#N/A</v>
      </c>
      <c r="V29" s="1557" t="s">
        <v>8</v>
      </c>
      <c r="W29" s="1558" t="e">
        <f t="shared" si="14"/>
        <v>#N/A</v>
      </c>
      <c r="X29" s="1551"/>
      <c r="Y29" s="3394"/>
      <c r="Z29" s="1559" t="str">
        <f t="shared" si="15"/>
        <v>成新率</v>
      </c>
      <c r="AA29" s="1560" t="e">
        <f t="shared" si="3"/>
        <v>#N/A</v>
      </c>
      <c r="AB29" s="1560" t="e">
        <f t="shared" si="4"/>
        <v>#N/A</v>
      </c>
      <c r="AC29" s="1560" t="e">
        <f t="shared" si="5"/>
        <v>#N/A</v>
      </c>
    </row>
    <row r="30" spans="1:29" ht="15">
      <c r="A30" s="928"/>
      <c r="B30" s="581" t="s">
        <v>809</v>
      </c>
      <c r="C30" s="929"/>
      <c r="D30" s="539">
        <v>100</v>
      </c>
      <c r="E30" s="929"/>
      <c r="F30" s="574">
        <f>SUMIF(88:88,E30,89:89)-SUMIF(88:88,C30,89:89)+100</f>
        <v>100</v>
      </c>
      <c r="G30" s="929"/>
      <c r="H30" s="539">
        <f>SUMIF(88:88,E30,89:89)-SUMIF(88:88,C30,89:89)+100</f>
        <v>100</v>
      </c>
      <c r="I30" s="929"/>
      <c r="J30" s="539">
        <f>SUMIF(88:88,E30,89:89)-SUMIF(88:88,C30,89:89)+100</f>
        <v>100</v>
      </c>
      <c r="K30" s="583"/>
      <c r="L30" s="2125"/>
      <c r="M30" s="2117"/>
      <c r="N30" s="2117"/>
      <c r="O30" s="2124"/>
      <c r="P30" s="3394"/>
      <c r="Q30" s="1556" t="str">
        <f t="shared" si="11"/>
        <v>物业等级</v>
      </c>
      <c r="R30" s="1557" t="s">
        <v>8</v>
      </c>
      <c r="S30" s="1558">
        <f t="shared" si="12"/>
        <v>100</v>
      </c>
      <c r="T30" s="1557" t="s">
        <v>8</v>
      </c>
      <c r="U30" s="1558">
        <f t="shared" si="13"/>
        <v>100</v>
      </c>
      <c r="V30" s="1557" t="s">
        <v>8</v>
      </c>
      <c r="W30" s="1558">
        <f t="shared" si="14"/>
        <v>100</v>
      </c>
      <c r="X30" s="1551"/>
      <c r="Y30" s="3394"/>
      <c r="Z30" s="1559" t="str">
        <f t="shared" si="15"/>
        <v>物业等级</v>
      </c>
      <c r="AA30" s="1560">
        <f t="shared" si="3"/>
        <v>1</v>
      </c>
      <c r="AB30" s="1560">
        <f t="shared" si="4"/>
        <v>1</v>
      </c>
      <c r="AC30" s="1560">
        <f t="shared" si="5"/>
        <v>1</v>
      </c>
    </row>
    <row r="31" spans="1:29" s="1213" customFormat="1" ht="15">
      <c r="A31" s="930"/>
      <c r="B31" s="581" t="s">
        <v>810</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18"/>
      <c r="M31" s="2119"/>
      <c r="N31" s="2119"/>
      <c r="O31" s="2120"/>
      <c r="P31" s="3394"/>
      <c r="Q31" s="1144" t="str">
        <f t="shared" si="11"/>
        <v>停车位面积</v>
      </c>
      <c r="R31" s="1552" t="s">
        <v>8</v>
      </c>
      <c r="S31" s="1553" t="e">
        <f t="shared" si="12"/>
        <v>#N/A</v>
      </c>
      <c r="T31" s="1552" t="s">
        <v>8</v>
      </c>
      <c r="U31" s="1553" t="e">
        <f t="shared" si="13"/>
        <v>#N/A</v>
      </c>
      <c r="V31" s="1552" t="s">
        <v>8</v>
      </c>
      <c r="W31" s="1553" t="e">
        <f t="shared" si="14"/>
        <v>#N/A</v>
      </c>
      <c r="X31" s="1554"/>
      <c r="Y31" s="3394"/>
      <c r="Z31" s="1143" t="str">
        <f t="shared" si="15"/>
        <v>停车位面积</v>
      </c>
      <c r="AA31" s="1555" t="e">
        <f t="shared" si="3"/>
        <v>#N/A</v>
      </c>
      <c r="AB31" s="1555" t="e">
        <f t="shared" si="4"/>
        <v>#N/A</v>
      </c>
      <c r="AC31" s="1555" t="e">
        <f t="shared" si="5"/>
        <v>#N/A</v>
      </c>
    </row>
    <row r="32" spans="1:29" ht="15">
      <c r="A32" s="928"/>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394" t="s">
        <v>550</v>
      </c>
      <c r="Q32" s="1556" t="str">
        <f t="shared" si="11"/>
        <v>车位类型</v>
      </c>
      <c r="R32" s="1557" t="s">
        <v>8</v>
      </c>
      <c r="S32" s="1558">
        <f t="shared" si="12"/>
        <v>100</v>
      </c>
      <c r="T32" s="1557" t="s">
        <v>8</v>
      </c>
      <c r="U32" s="1558">
        <f t="shared" si="13"/>
        <v>100</v>
      </c>
      <c r="V32" s="1557" t="s">
        <v>8</v>
      </c>
      <c r="W32" s="1558">
        <f t="shared" si="14"/>
        <v>100</v>
      </c>
      <c r="X32" s="1551"/>
      <c r="Y32" s="3394" t="s">
        <v>550</v>
      </c>
      <c r="Z32" s="1559" t="str">
        <f t="shared" si="15"/>
        <v>车位类型</v>
      </c>
      <c r="AA32" s="1560">
        <f t="shared" si="3"/>
        <v>1</v>
      </c>
      <c r="AB32" s="1560">
        <f t="shared" si="4"/>
        <v>1</v>
      </c>
      <c r="AC32" s="1560">
        <f t="shared" si="5"/>
        <v>1</v>
      </c>
    </row>
    <row r="33" spans="1:29" ht="15">
      <c r="A33" s="928"/>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394"/>
      <c r="Q33" s="1556" t="str">
        <f t="shared" si="11"/>
        <v>是否直接入户</v>
      </c>
      <c r="R33" s="1557" t="s">
        <v>8</v>
      </c>
      <c r="S33" s="1558">
        <f t="shared" si="12"/>
        <v>100</v>
      </c>
      <c r="T33" s="1557" t="s">
        <v>8</v>
      </c>
      <c r="U33" s="1558">
        <f t="shared" si="13"/>
        <v>100</v>
      </c>
      <c r="V33" s="1557" t="s">
        <v>8</v>
      </c>
      <c r="W33" s="1558">
        <f t="shared" si="14"/>
        <v>100</v>
      </c>
      <c r="X33" s="1551"/>
      <c r="Y33" s="3394"/>
      <c r="Z33" s="1559" t="str">
        <f t="shared" si="15"/>
        <v>是否直接入户</v>
      </c>
      <c r="AA33" s="1560">
        <f t="shared" si="3"/>
        <v>1</v>
      </c>
      <c r="AB33" s="1560">
        <f t="shared" si="4"/>
        <v>1</v>
      </c>
      <c r="AC33" s="1560">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394"/>
      <c r="Q34" s="1556">
        <f t="shared" si="11"/>
        <v>111</v>
      </c>
      <c r="R34" s="1557" t="s">
        <v>8</v>
      </c>
      <c r="S34" s="1558">
        <f t="shared" si="12"/>
        <v>100</v>
      </c>
      <c r="T34" s="1557" t="s">
        <v>8</v>
      </c>
      <c r="U34" s="1558">
        <f t="shared" si="13"/>
        <v>100</v>
      </c>
      <c r="V34" s="1557" t="s">
        <v>8</v>
      </c>
      <c r="W34" s="1558">
        <f t="shared" si="14"/>
        <v>100</v>
      </c>
      <c r="X34" s="1551"/>
      <c r="Y34" s="3394"/>
      <c r="Z34" s="1559">
        <f t="shared" si="15"/>
        <v>111</v>
      </c>
      <c r="AA34" s="1560">
        <f t="shared" si="3"/>
        <v>1</v>
      </c>
      <c r="AB34" s="1560">
        <f t="shared" si="4"/>
        <v>1</v>
      </c>
      <c r="AC34" s="1560">
        <f t="shared" si="5"/>
        <v>1</v>
      </c>
    </row>
    <row r="35" spans="1:29" s="1332"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394"/>
      <c r="Q35" s="1588">
        <f t="shared" si="11"/>
        <v>111</v>
      </c>
      <c r="R35" s="1561" t="s">
        <v>8</v>
      </c>
      <c r="S35" s="1562">
        <f t="shared" si="12"/>
        <v>100</v>
      </c>
      <c r="T35" s="1561" t="s">
        <v>8</v>
      </c>
      <c r="U35" s="1562">
        <f t="shared" si="13"/>
        <v>100</v>
      </c>
      <c r="V35" s="1561" t="s">
        <v>8</v>
      </c>
      <c r="W35" s="1562">
        <f t="shared" si="14"/>
        <v>100</v>
      </c>
      <c r="X35" s="1563"/>
      <c r="Y35" s="3394"/>
      <c r="Z35" s="1564">
        <f t="shared" si="15"/>
        <v>111</v>
      </c>
      <c r="AA35" s="1560">
        <f t="shared" si="3"/>
        <v>1</v>
      </c>
      <c r="AB35" s="1560">
        <f t="shared" si="4"/>
        <v>1</v>
      </c>
      <c r="AC35" s="1560">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394"/>
      <c r="Q36" s="1556">
        <f t="shared" si="11"/>
        <v>111</v>
      </c>
      <c r="R36" s="1557" t="s">
        <v>8</v>
      </c>
      <c r="S36" s="1558">
        <f t="shared" si="12"/>
        <v>100</v>
      </c>
      <c r="T36" s="1557" t="s">
        <v>8</v>
      </c>
      <c r="U36" s="1558">
        <f t="shared" si="13"/>
        <v>100</v>
      </c>
      <c r="V36" s="1557" t="s">
        <v>8</v>
      </c>
      <c r="W36" s="1558">
        <f t="shared" si="14"/>
        <v>100</v>
      </c>
      <c r="X36" s="1551"/>
      <c r="Y36" s="3394"/>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389" t="str">
        <f>A37</f>
        <v>成交单价</v>
      </c>
      <c r="Q37" s="3389"/>
      <c r="R37" s="3471">
        <f>E37</f>
        <v>0</v>
      </c>
      <c r="S37" s="3471"/>
      <c r="T37" s="3471">
        <f>G37</f>
        <v>0</v>
      </c>
      <c r="U37" s="3471"/>
      <c r="V37" s="3471">
        <f>I37</f>
        <v>0</v>
      </c>
      <c r="W37" s="3471"/>
      <c r="X37" s="1543"/>
      <c r="Y37" s="1565"/>
      <c r="Z37" s="1543"/>
      <c r="AA37" s="1543"/>
      <c r="AB37" s="1543"/>
      <c r="AC37" s="1543"/>
    </row>
    <row r="38" spans="1:29" ht="15.75" thickBot="1">
      <c r="A38" s="613" t="s">
        <v>2758</v>
      </c>
      <c r="B38" s="885"/>
      <c r="C38" s="2595" t="e">
        <f>R39</f>
        <v>#DIV/0!</v>
      </c>
      <c r="D38" s="2596"/>
      <c r="E38" s="2597" t="e">
        <f>R38</f>
        <v>#DIV/0!</v>
      </c>
      <c r="F38" s="2597"/>
      <c r="G38" s="2595" t="e">
        <f>T38</f>
        <v>#DIV/0!</v>
      </c>
      <c r="H38" s="2596"/>
      <c r="I38" s="2597" t="e">
        <f>V38</f>
        <v>#DIV/0!</v>
      </c>
      <c r="J38" s="2596"/>
      <c r="K38" s="1595"/>
      <c r="L38" s="2127"/>
      <c r="M38" s="2128"/>
      <c r="N38" s="2128"/>
      <c r="O38" s="2128"/>
      <c r="P38" s="3389" t="str">
        <f>A38</f>
        <v>比较价格（元/平方米）</v>
      </c>
      <c r="Q38" s="3389"/>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43"/>
      <c r="Y38" s="1543"/>
      <c r="Z38" s="1543"/>
      <c r="AA38" s="1543"/>
      <c r="AB38" s="1543"/>
      <c r="AC38" s="1543"/>
    </row>
    <row r="39" spans="1:29" ht="15.75" thickBot="1">
      <c r="A39" s="619" t="s">
        <v>2935</v>
      </c>
      <c r="B39" s="620"/>
      <c r="C39" s="2598" t="e">
        <f>R39</f>
        <v>#DIV/0!</v>
      </c>
      <c r="D39" s="2598"/>
      <c r="E39" s="2598"/>
      <c r="F39" s="2598"/>
      <c r="G39" s="2598"/>
      <c r="H39" s="2598"/>
      <c r="I39" s="2598"/>
      <c r="J39" s="2598"/>
      <c r="K39" s="1596"/>
      <c r="L39" s="2127"/>
      <c r="M39" s="2128"/>
      <c r="N39" s="2128"/>
      <c r="O39" s="2128"/>
      <c r="P39" s="3413" t="str">
        <f>A39</f>
        <v>估价对象XX用房的比较价格（楼面单价，元/平方米）</v>
      </c>
      <c r="Q39" s="3414"/>
      <c r="R39" s="3470" t="e">
        <f>IF(F1="售价",ROUND(AVERAGE(R38:V38),0),ROUND(AVERAGE(R38:V38),1))</f>
        <v>#DIV/0!</v>
      </c>
      <c r="S39" s="3470"/>
      <c r="T39" s="3470"/>
      <c r="U39" s="3470"/>
      <c r="V39" s="3470"/>
      <c r="W39" s="347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3" t="s">
        <v>529</v>
      </c>
      <c r="B48" s="644"/>
      <c r="C48" s="2755" t="str">
        <f>YEAR(C7)&amp;"-"&amp;MONTH(C7)</f>
        <v>2019-6</v>
      </c>
      <c r="D48" s="2757">
        <f>EDATE(C48,-1)</f>
        <v>43586</v>
      </c>
      <c r="E48" s="2757">
        <f t="shared" ref="E48:O48" si="16">EDATE(D48,-1)</f>
        <v>43556</v>
      </c>
      <c r="F48" s="2757">
        <f t="shared" si="16"/>
        <v>43525</v>
      </c>
      <c r="G48" s="2757">
        <f t="shared" si="16"/>
        <v>43497</v>
      </c>
      <c r="H48" s="2757">
        <f t="shared" si="16"/>
        <v>43466</v>
      </c>
      <c r="I48" s="2757">
        <f t="shared" si="16"/>
        <v>43435</v>
      </c>
      <c r="J48" s="2757">
        <f t="shared" si="16"/>
        <v>43405</v>
      </c>
      <c r="K48" s="2757">
        <f t="shared" si="16"/>
        <v>43374</v>
      </c>
      <c r="L48" s="2757">
        <f t="shared" si="16"/>
        <v>43344</v>
      </c>
      <c r="M48" s="2757">
        <f t="shared" si="16"/>
        <v>43313</v>
      </c>
      <c r="N48" s="2757">
        <f t="shared" si="16"/>
        <v>43282</v>
      </c>
      <c r="O48" s="2757">
        <f t="shared" si="16"/>
        <v>43252</v>
      </c>
      <c r="P48" s="2143"/>
      <c r="Q48" s="2144"/>
      <c r="R48" s="2144"/>
      <c r="S48" s="2144"/>
      <c r="T48" s="2144"/>
      <c r="U48" s="2144"/>
      <c r="V48" s="2144"/>
      <c r="W48" s="2144"/>
      <c r="X48" s="2144"/>
      <c r="Y48" s="2144"/>
      <c r="Z48" s="2144"/>
      <c r="AA48" s="2144"/>
      <c r="AB48" s="2144"/>
      <c r="AC48" s="2144"/>
    </row>
    <row r="49" spans="1:29" s="1213" customFormat="1" ht="15">
      <c r="A49" s="645"/>
      <c r="B49" s="646"/>
      <c r="C49" s="2756">
        <v>100</v>
      </c>
      <c r="D49" s="648"/>
      <c r="E49" s="648"/>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3"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3"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f>C9</f>
        <v>0</v>
      </c>
      <c r="D53" s="597"/>
      <c r="E53" s="597"/>
      <c r="F53" s="597"/>
      <c r="G53" s="597"/>
      <c r="H53" s="597"/>
      <c r="I53" s="597"/>
      <c r="J53" s="597"/>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2">
        <f>B11</f>
        <v>111</v>
      </c>
      <c r="C57" s="540"/>
      <c r="D57" s="540"/>
      <c r="E57" s="540"/>
      <c r="F57" s="540"/>
      <c r="G57" s="540"/>
      <c r="H57" s="540"/>
      <c r="I57" s="540"/>
      <c r="J57" s="540"/>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5"/>
      <c r="B59" s="671">
        <f>B12</f>
        <v>111</v>
      </c>
      <c r="C59" s="540"/>
      <c r="D59" s="540"/>
      <c r="E59" s="540"/>
      <c r="F59" s="540"/>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2556</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2557</v>
      </c>
      <c r="C67" s="2560" t="s">
        <v>2558</v>
      </c>
      <c r="D67" s="2560" t="s">
        <v>2559</v>
      </c>
      <c r="E67" s="2560" t="s">
        <v>2560</v>
      </c>
      <c r="F67" s="2560" t="s">
        <v>2561</v>
      </c>
      <c r="G67" s="2560" t="s">
        <v>2562</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100</v>
      </c>
      <c r="E68" s="677">
        <f>D68-$K18</f>
        <v>100</v>
      </c>
      <c r="F68" s="677">
        <f>E68-$K18</f>
        <v>100</v>
      </c>
      <c r="G68" s="677">
        <f>F68-$K18</f>
        <v>100</v>
      </c>
      <c r="H68" s="932"/>
      <c r="I68" s="932"/>
      <c r="J68" s="932"/>
      <c r="K68" s="932"/>
      <c r="L68" s="932"/>
      <c r="M68" s="55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743</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744</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7"/>
      <c r="B73" s="671">
        <f>B23</f>
        <v>111</v>
      </c>
      <c r="C73" s="540"/>
      <c r="D73" s="540"/>
      <c r="E73" s="540"/>
      <c r="F73" s="540"/>
      <c r="G73" s="686"/>
      <c r="H73" s="686"/>
      <c r="I73" s="686"/>
      <c r="J73" s="686"/>
      <c r="K73" s="686"/>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7"/>
      <c r="B75" s="671">
        <f>B24</f>
        <v>111</v>
      </c>
      <c r="C75" s="540"/>
      <c r="D75" s="540"/>
      <c r="E75" s="540"/>
      <c r="F75" s="540"/>
      <c r="G75" s="686"/>
      <c r="H75" s="686"/>
      <c r="I75" s="686"/>
      <c r="J75" s="686"/>
      <c r="K75" s="686"/>
      <c r="L75" s="686"/>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813</v>
      </c>
      <c r="C79" s="702">
        <f>C26</f>
        <v>0</v>
      </c>
      <c r="D79" s="597"/>
      <c r="E79" s="597"/>
      <c r="F79" s="597"/>
      <c r="G79" s="597"/>
      <c r="H79" s="597"/>
      <c r="I79" s="597"/>
      <c r="J79" s="597"/>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814</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750</v>
      </c>
      <c r="C83" s="686"/>
      <c r="D83" s="686"/>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816</v>
      </c>
      <c r="C88" s="597"/>
      <c r="D88" s="597"/>
      <c r="E88" s="597"/>
      <c r="F88" s="597"/>
      <c r="G88" s="597"/>
      <c r="H88" s="597"/>
      <c r="I88" s="597"/>
      <c r="J88" s="597"/>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6"/>
      <c r="B91" s="679"/>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5"/>
      <c r="B92" s="676"/>
      <c r="C92" s="690"/>
      <c r="D92" s="669"/>
      <c r="E92" s="669"/>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818</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819</v>
      </c>
      <c r="C95" s="597"/>
      <c r="D95" s="597"/>
      <c r="E95" s="597"/>
      <c r="F95" s="597"/>
      <c r="G95" s="597"/>
      <c r="H95" s="597"/>
      <c r="I95" s="597"/>
      <c r="J95" s="597"/>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4">
        <f>B34</f>
        <v>111</v>
      </c>
      <c r="C97" s="540"/>
      <c r="D97" s="540"/>
      <c r="E97" s="540"/>
      <c r="F97" s="540"/>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2" customFormat="1" ht="15" thickTop="1">
      <c r="A99" s="726"/>
      <c r="B99" s="671">
        <f>B35</f>
        <v>111</v>
      </c>
      <c r="C99" s="540"/>
      <c r="D99" s="540"/>
      <c r="E99" s="540"/>
      <c r="F99" s="540"/>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0"/>
      <c r="C1" s="503" t="s">
        <v>791</v>
      </c>
      <c r="D1" s="847"/>
      <c r="E1" s="505"/>
      <c r="F1" s="2760"/>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C37</f>
        <v>#DIV/0!</v>
      </c>
      <c r="C3" s="850" t="s">
        <v>795</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395" t="s">
        <v>797</v>
      </c>
      <c r="D4" s="3397"/>
      <c r="E4" s="3422" t="s">
        <v>798</v>
      </c>
      <c r="F4" s="3396"/>
      <c r="G4" s="3395" t="s">
        <v>799</v>
      </c>
      <c r="H4" s="3397"/>
      <c r="I4" s="3395" t="s">
        <v>800</v>
      </c>
      <c r="J4" s="3397"/>
      <c r="K4" s="513" t="s">
        <v>801</v>
      </c>
      <c r="L4" s="2116"/>
      <c r="M4" s="2117"/>
      <c r="N4" s="2117"/>
      <c r="O4" s="2117"/>
      <c r="P4" s="3398" t="s">
        <v>802</v>
      </c>
      <c r="Q4" s="3399"/>
      <c r="R4" s="3383" t="s">
        <v>798</v>
      </c>
      <c r="S4" s="3384"/>
      <c r="T4" s="3383" t="s">
        <v>799</v>
      </c>
      <c r="U4" s="3384"/>
      <c r="V4" s="3404" t="s">
        <v>800</v>
      </c>
      <c r="W4" s="3404"/>
      <c r="X4" s="1551"/>
      <c r="Y4" s="3383" t="s">
        <v>802</v>
      </c>
      <c r="Z4" s="3384"/>
      <c r="AA4" s="3378" t="s">
        <v>798</v>
      </c>
      <c r="AB4" s="3379" t="s">
        <v>799</v>
      </c>
      <c r="AC4" s="3378" t="s">
        <v>800</v>
      </c>
    </row>
    <row r="5" spans="1:29" ht="15">
      <c r="A5" s="514"/>
      <c r="B5" s="515"/>
      <c r="C5" s="3407" t="s">
        <v>2929</v>
      </c>
      <c r="D5" s="3408"/>
      <c r="E5" s="3423" t="s">
        <v>2930</v>
      </c>
      <c r="F5" s="3409"/>
      <c r="G5" s="3407" t="s">
        <v>2931</v>
      </c>
      <c r="H5" s="3408"/>
      <c r="I5" s="3407" t="s">
        <v>2932</v>
      </c>
      <c r="J5" s="3408"/>
      <c r="K5" s="513"/>
      <c r="L5" s="2116"/>
      <c r="M5" s="2117"/>
      <c r="N5" s="2117"/>
      <c r="O5" s="2117"/>
      <c r="P5" s="3400"/>
      <c r="Q5" s="3401"/>
      <c r="R5" s="3385"/>
      <c r="S5" s="3386"/>
      <c r="T5" s="3385"/>
      <c r="U5" s="3386"/>
      <c r="V5" s="3404"/>
      <c r="W5" s="3404"/>
      <c r="X5" s="1551"/>
      <c r="Y5" s="3385"/>
      <c r="Z5" s="3386"/>
      <c r="AA5" s="3379"/>
      <c r="AB5" s="3379"/>
      <c r="AC5" s="3379"/>
    </row>
    <row r="6" spans="1:29" ht="15.75" thickBot="1">
      <c r="A6" s="516"/>
      <c r="B6" s="517"/>
      <c r="C6" s="3405" t="s">
        <v>2933</v>
      </c>
      <c r="D6" s="3406"/>
      <c r="E6" s="3424" t="s">
        <v>2933</v>
      </c>
      <c r="F6" s="3425"/>
      <c r="G6" s="3405" t="s">
        <v>2933</v>
      </c>
      <c r="H6" s="3406"/>
      <c r="I6" s="3405" t="s">
        <v>2933</v>
      </c>
      <c r="J6" s="3406"/>
      <c r="K6" s="513" t="s">
        <v>528</v>
      </c>
      <c r="L6" s="2116"/>
      <c r="M6" s="2117"/>
      <c r="N6" s="2117"/>
      <c r="O6" s="2117"/>
      <c r="P6" s="3402"/>
      <c r="Q6" s="3403"/>
      <c r="R6" s="3385"/>
      <c r="S6" s="3386"/>
      <c r="T6" s="3387"/>
      <c r="U6" s="3388"/>
      <c r="V6" s="3404"/>
      <c r="W6" s="3404"/>
      <c r="X6" s="1551"/>
      <c r="Y6" s="3387"/>
      <c r="Z6" s="3388"/>
      <c r="AA6" s="3380"/>
      <c r="AB6" s="3380"/>
      <c r="AC6" s="3380"/>
    </row>
    <row r="7" spans="1:29" s="1213" customFormat="1" ht="15.75" thickBot="1">
      <c r="A7" s="2865"/>
      <c r="B7" s="2872" t="s">
        <v>529</v>
      </c>
      <c r="C7" s="518">
        <f>'数据-取费表'!B2</f>
        <v>43630</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81" t="s">
        <v>530</v>
      </c>
      <c r="Q7" s="3390"/>
      <c r="R7" s="1552" t="s">
        <v>8</v>
      </c>
      <c r="S7" s="1553">
        <f t="shared" ref="S7:S14" si="0">F7</f>
        <v>0</v>
      </c>
      <c r="T7" s="1552" t="s">
        <v>8</v>
      </c>
      <c r="U7" s="1553">
        <f t="shared" ref="U7:U14" si="1">H7</f>
        <v>0</v>
      </c>
      <c r="V7" s="1552" t="s">
        <v>8</v>
      </c>
      <c r="W7" s="1553">
        <f t="shared" ref="W7:W14" si="2">J7</f>
        <v>0</v>
      </c>
      <c r="X7" s="1554"/>
      <c r="Y7" s="3381" t="s">
        <v>530</v>
      </c>
      <c r="Z7" s="3382"/>
      <c r="AA7" s="1555" t="e">
        <f>D7/F7</f>
        <v>#DIV/0!</v>
      </c>
      <c r="AB7" s="1555" t="e">
        <f>D7/H7</f>
        <v>#DIV/0!</v>
      </c>
      <c r="AC7" s="1555" t="e">
        <f>D7/J7</f>
        <v>#DIV/0!</v>
      </c>
    </row>
    <row r="8" spans="1:29" s="1213"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81" t="s">
        <v>533</v>
      </c>
      <c r="Q8" s="3382"/>
      <c r="R8" s="1552" t="s">
        <v>8</v>
      </c>
      <c r="S8" s="1553">
        <f t="shared" si="0"/>
        <v>0</v>
      </c>
      <c r="T8" s="1552" t="s">
        <v>8</v>
      </c>
      <c r="U8" s="1553">
        <f t="shared" si="1"/>
        <v>0</v>
      </c>
      <c r="V8" s="1552" t="s">
        <v>8</v>
      </c>
      <c r="W8" s="1553">
        <f t="shared" si="2"/>
        <v>0</v>
      </c>
      <c r="X8" s="1554"/>
      <c r="Y8" s="3381" t="s">
        <v>533</v>
      </c>
      <c r="Z8" s="3382"/>
      <c r="AA8" s="1555" t="e">
        <f t="shared" ref="AA8:AA34" si="3">D8/F8</f>
        <v>#DIV/0!</v>
      </c>
      <c r="AB8" s="1555" t="e">
        <f t="shared" ref="AB8:AB34" si="4">D8/H8</f>
        <v>#DIV/0!</v>
      </c>
      <c r="AC8" s="1555" t="e">
        <f t="shared" ref="AC8:AC34" si="5">D8/J8</f>
        <v>#DIV/0!</v>
      </c>
    </row>
    <row r="9" spans="1:29" s="1213" customFormat="1" ht="15">
      <c r="A9" s="2867"/>
      <c r="B9" s="2874" t="s">
        <v>2754</v>
      </c>
      <c r="C9" s="855"/>
      <c r="D9" s="253">
        <v>100</v>
      </c>
      <c r="E9" s="858"/>
      <c r="F9" s="253">
        <f>SUMIF(51:51,E9,52:52)-SUMIF(51:51,C9,52:52)+100</f>
        <v>100</v>
      </c>
      <c r="G9" s="858"/>
      <c r="H9" s="253">
        <f>SUMIF(51:51,G9,52:52)-SUMIF(51:51,C9,52:52)+100</f>
        <v>100</v>
      </c>
      <c r="I9" s="858"/>
      <c r="J9" s="253">
        <f>SUMIF(51:51,I9,52:52)-SUMIF(51:51,C9,52:52)+100</f>
        <v>100</v>
      </c>
      <c r="K9" s="523"/>
      <c r="L9" s="2118"/>
      <c r="M9" s="2119"/>
      <c r="N9" s="2119"/>
      <c r="O9" s="2120"/>
      <c r="P9" s="3389" t="s">
        <v>535</v>
      </c>
      <c r="Q9" s="1144" t="str">
        <f t="shared" ref="Q9:Q14" si="6">B9</f>
        <v>用途</v>
      </c>
      <c r="R9" s="1552" t="s">
        <v>8</v>
      </c>
      <c r="S9" s="1553">
        <f t="shared" si="0"/>
        <v>100</v>
      </c>
      <c r="T9" s="1552" t="s">
        <v>8</v>
      </c>
      <c r="U9" s="1553">
        <f t="shared" si="1"/>
        <v>100</v>
      </c>
      <c r="V9" s="1552" t="s">
        <v>8</v>
      </c>
      <c r="W9" s="1553">
        <f t="shared" si="2"/>
        <v>100</v>
      </c>
      <c r="X9" s="1554"/>
      <c r="Y9" s="3346" t="s">
        <v>536</v>
      </c>
      <c r="Z9" s="1143" t="str">
        <f t="shared" ref="Z9:Z14" si="7">Q9</f>
        <v>用途</v>
      </c>
      <c r="AA9" s="1555">
        <f t="shared" si="3"/>
        <v>1</v>
      </c>
      <c r="AB9" s="1555">
        <f t="shared" si="4"/>
        <v>1</v>
      </c>
      <c r="AC9" s="1555">
        <f t="shared" si="5"/>
        <v>1</v>
      </c>
    </row>
    <row r="10" spans="1:29" s="1331" customFormat="1" ht="27">
      <c r="A10" s="2868"/>
      <c r="B10" s="2873" t="s">
        <v>2755</v>
      </c>
      <c r="C10" s="859"/>
      <c r="D10" s="254">
        <v>100</v>
      </c>
      <c r="E10" s="859"/>
      <c r="F10" s="254">
        <f>SUMIF(53:53,E10,54:54)-SUMIF(53:53,C10,54:54)+100</f>
        <v>100</v>
      </c>
      <c r="G10" s="860"/>
      <c r="H10" s="254">
        <f>SUMIF(53:53,G10,54:54)-SUMIF(53:53,C10,54:54)+100</f>
        <v>100</v>
      </c>
      <c r="I10" s="859"/>
      <c r="J10" s="254">
        <f>SUMIF(53:53,I10,54:54)-SUMIF(53:53,C10,54:54)+100</f>
        <v>100</v>
      </c>
      <c r="K10" s="583"/>
      <c r="L10" s="2121"/>
      <c r="M10" s="2161"/>
      <c r="N10" s="2161"/>
      <c r="O10" s="2122"/>
      <c r="P10" s="3389"/>
      <c r="Q10" s="1144" t="str">
        <f t="shared" si="6"/>
        <v>土地使用年限（年）</v>
      </c>
      <c r="R10" s="1552" t="s">
        <v>8</v>
      </c>
      <c r="S10" s="1553">
        <f t="shared" si="0"/>
        <v>100</v>
      </c>
      <c r="T10" s="1552" t="s">
        <v>8</v>
      </c>
      <c r="U10" s="1553">
        <f t="shared" si="1"/>
        <v>100</v>
      </c>
      <c r="V10" s="1552" t="s">
        <v>8</v>
      </c>
      <c r="W10" s="1553">
        <f t="shared" si="2"/>
        <v>100</v>
      </c>
      <c r="X10" s="1554"/>
      <c r="Y10" s="3346"/>
      <c r="Z10" s="1143" t="str">
        <f t="shared" si="7"/>
        <v>土地使用年限（年）</v>
      </c>
      <c r="AA10" s="1555">
        <f t="shared" si="3"/>
        <v>1</v>
      </c>
      <c r="AB10" s="1555">
        <f t="shared" si="4"/>
        <v>1</v>
      </c>
      <c r="AC10" s="1555">
        <f t="shared" si="5"/>
        <v>1</v>
      </c>
    </row>
    <row r="11" spans="1:29" ht="15">
      <c r="A11" s="2870"/>
      <c r="B11" s="2876">
        <v>111</v>
      </c>
      <c r="C11" s="527"/>
      <c r="D11" s="254">
        <v>100</v>
      </c>
      <c r="E11" s="877"/>
      <c r="F11" s="254">
        <f>SUMIF(55:55,E11,56:56)-SUMIF(55:55,C11,56:56)+100</f>
        <v>100</v>
      </c>
      <c r="G11" s="877"/>
      <c r="H11" s="254">
        <f>SUMIF(55:55,G11,56:56)-SUMIF(55:55,C11,56:56)+100</f>
        <v>100</v>
      </c>
      <c r="I11" s="877"/>
      <c r="J11" s="254">
        <f>SUMIF(55:55,I11,56:56)-SUMIF(55:55,C11,56:56)+100</f>
        <v>100</v>
      </c>
      <c r="K11" s="580"/>
      <c r="L11" s="2123"/>
      <c r="M11" s="2117"/>
      <c r="N11" s="2117"/>
      <c r="O11" s="2124"/>
      <c r="P11" s="3389"/>
      <c r="Q11" s="1144">
        <f t="shared" si="6"/>
        <v>111</v>
      </c>
      <c r="R11" s="1552" t="s">
        <v>8</v>
      </c>
      <c r="S11" s="1553">
        <f t="shared" si="0"/>
        <v>100</v>
      </c>
      <c r="T11" s="1552" t="s">
        <v>8</v>
      </c>
      <c r="U11" s="1553">
        <f t="shared" si="1"/>
        <v>100</v>
      </c>
      <c r="V11" s="1552" t="s">
        <v>8</v>
      </c>
      <c r="W11" s="1553">
        <f t="shared" si="2"/>
        <v>100</v>
      </c>
      <c r="X11" s="1554"/>
      <c r="Y11" s="3346"/>
      <c r="Z11" s="1143">
        <f t="shared" si="7"/>
        <v>111</v>
      </c>
      <c r="AA11" s="1555">
        <f t="shared" si="3"/>
        <v>1</v>
      </c>
      <c r="AB11" s="1555">
        <f t="shared" si="4"/>
        <v>1</v>
      </c>
      <c r="AC11" s="1555">
        <f t="shared" si="5"/>
        <v>1</v>
      </c>
    </row>
    <row r="12" spans="1:29" s="1213" customFormat="1" ht="15">
      <c r="A12" s="2870"/>
      <c r="B12" s="2876">
        <v>111</v>
      </c>
      <c r="C12" s="527"/>
      <c r="D12" s="537">
        <v>100</v>
      </c>
      <c r="E12" s="877"/>
      <c r="F12" s="254">
        <f>SUMIF(57:57,E12,58:58)-SUMIF(57:57,C12,58:58)+100</f>
        <v>100</v>
      </c>
      <c r="G12" s="877"/>
      <c r="H12" s="254">
        <f>SUMIF(57:57,G12,58:58)-SUMIF(57:57,C12,58:58)+100</f>
        <v>100</v>
      </c>
      <c r="I12" s="877"/>
      <c r="J12" s="254">
        <f>SUMIF(57:57,I12,58:58)-SUMIF(57:57,C12,58:58)+100</f>
        <v>100</v>
      </c>
      <c r="K12" s="580"/>
      <c r="L12" s="2118"/>
      <c r="M12" s="2119"/>
      <c r="N12" s="2119"/>
      <c r="O12" s="2120"/>
      <c r="P12" s="3389"/>
      <c r="Q12" s="1144">
        <f t="shared" si="6"/>
        <v>111</v>
      </c>
      <c r="R12" s="1552" t="s">
        <v>8</v>
      </c>
      <c r="S12" s="1553">
        <f t="shared" si="0"/>
        <v>100</v>
      </c>
      <c r="T12" s="1552" t="s">
        <v>8</v>
      </c>
      <c r="U12" s="1553">
        <f t="shared" si="1"/>
        <v>100</v>
      </c>
      <c r="V12" s="1552" t="s">
        <v>8</v>
      </c>
      <c r="W12" s="1553">
        <f t="shared" si="2"/>
        <v>100</v>
      </c>
      <c r="X12" s="1554"/>
      <c r="Y12" s="3346"/>
      <c r="Z12" s="1143">
        <f t="shared" si="7"/>
        <v>111</v>
      </c>
      <c r="AA12" s="1555">
        <f>D12/F12</f>
        <v>1</v>
      </c>
      <c r="AB12" s="1555">
        <f>D12/H12</f>
        <v>1</v>
      </c>
      <c r="AC12" s="1555">
        <f>D12/J12</f>
        <v>1</v>
      </c>
    </row>
    <row r="13" spans="1:29" ht="15.75" thickBot="1">
      <c r="A13" s="2871"/>
      <c r="B13" s="2877">
        <v>111</v>
      </c>
      <c r="C13" s="538"/>
      <c r="D13" s="539">
        <v>100</v>
      </c>
      <c r="E13" s="877"/>
      <c r="F13" s="254">
        <f>SUMIF(59:59,E13,60:60)-SUMIF(59:59,C13,60:60)+100</f>
        <v>100</v>
      </c>
      <c r="G13" s="877"/>
      <c r="H13" s="539">
        <f>SUMIF(59:59,G13,60:60)-SUMIF(59:59,C13,60:60)+100</f>
        <v>100</v>
      </c>
      <c r="I13" s="877"/>
      <c r="J13" s="539">
        <f>SUMIF(59:59,I13,60:60)-SUMIF(59:59,C13,60:60)+100</f>
        <v>100</v>
      </c>
      <c r="K13" s="580"/>
      <c r="L13" s="2125"/>
      <c r="M13" s="2117"/>
      <c r="N13" s="2117"/>
      <c r="O13" s="2124"/>
      <c r="P13" s="3389"/>
      <c r="Q13" s="1144">
        <f t="shared" si="6"/>
        <v>111</v>
      </c>
      <c r="R13" s="1552" t="s">
        <v>8</v>
      </c>
      <c r="S13" s="1553">
        <f t="shared" si="0"/>
        <v>100</v>
      </c>
      <c r="T13" s="1552" t="s">
        <v>8</v>
      </c>
      <c r="U13" s="1553">
        <f t="shared" si="1"/>
        <v>100</v>
      </c>
      <c r="V13" s="1552" t="s">
        <v>8</v>
      </c>
      <c r="W13" s="1553">
        <f t="shared" si="2"/>
        <v>100</v>
      </c>
      <c r="X13" s="1554"/>
      <c r="Y13" s="3346"/>
      <c r="Z13" s="1143">
        <f t="shared" si="7"/>
        <v>111</v>
      </c>
      <c r="AA13" s="1555">
        <f t="shared" si="3"/>
        <v>1</v>
      </c>
      <c r="AB13" s="1555">
        <f t="shared" si="4"/>
        <v>1</v>
      </c>
      <c r="AC13" s="1555">
        <f t="shared" si="5"/>
        <v>1</v>
      </c>
    </row>
    <row r="14" spans="1:29" ht="85.5">
      <c r="A14" s="2863" t="s">
        <v>2752</v>
      </c>
      <c r="B14" s="165" t="s">
        <v>543</v>
      </c>
      <c r="C14" s="918"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25"/>
      <c r="M14" s="2117"/>
      <c r="N14" s="2117"/>
      <c r="O14" s="2124"/>
      <c r="P14" s="3391" t="s">
        <v>540</v>
      </c>
      <c r="Q14" s="1556" t="str">
        <f t="shared" si="6"/>
        <v>交通便捷度</v>
      </c>
      <c r="R14" s="1557" t="s">
        <v>8</v>
      </c>
      <c r="S14" s="1558">
        <f t="shared" si="0"/>
        <v>100</v>
      </c>
      <c r="T14" s="1557" t="s">
        <v>8</v>
      </c>
      <c r="U14" s="1558">
        <f t="shared" si="1"/>
        <v>100</v>
      </c>
      <c r="V14" s="1557" t="s">
        <v>8</v>
      </c>
      <c r="W14" s="1558">
        <f t="shared" si="2"/>
        <v>100</v>
      </c>
      <c r="X14" s="1551"/>
      <c r="Y14" s="3391" t="s">
        <v>540</v>
      </c>
      <c r="Z14" s="1559" t="str">
        <f t="shared" si="7"/>
        <v>交通便捷度</v>
      </c>
      <c r="AA14" s="1560">
        <f t="shared" si="3"/>
        <v>1</v>
      </c>
      <c r="AB14" s="1560">
        <f t="shared" si="4"/>
        <v>1</v>
      </c>
      <c r="AC14" s="1560">
        <f t="shared" si="5"/>
        <v>1</v>
      </c>
    </row>
    <row r="15" spans="1:29" ht="15">
      <c r="A15" s="531"/>
      <c r="B15" s="867"/>
      <c r="C15" s="575"/>
      <c r="D15" s="554"/>
      <c r="E15" s="575"/>
      <c r="F15" s="556"/>
      <c r="G15" s="575"/>
      <c r="H15" s="558"/>
      <c r="I15" s="575"/>
      <c r="J15" s="554"/>
      <c r="K15" s="896"/>
      <c r="L15" s="2125"/>
      <c r="M15" s="2117"/>
      <c r="N15" s="2117"/>
      <c r="O15" s="2124"/>
      <c r="P15" s="3392"/>
      <c r="Q15" s="1556"/>
      <c r="R15" s="1557"/>
      <c r="S15" s="1558"/>
      <c r="T15" s="1557"/>
      <c r="U15" s="1558"/>
      <c r="V15" s="1557"/>
      <c r="W15" s="1558"/>
      <c r="X15" s="1551"/>
      <c r="Y15" s="3392"/>
      <c r="Z15" s="1559"/>
      <c r="AA15" s="1560">
        <v>1</v>
      </c>
      <c r="AB15" s="1560">
        <v>1</v>
      </c>
      <c r="AC15" s="1560">
        <v>1</v>
      </c>
    </row>
    <row r="16" spans="1:29" ht="42.75">
      <c r="A16" s="531"/>
      <c r="B16" s="2565" t="s">
        <v>2545</v>
      </c>
      <c r="C16" s="870"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25"/>
      <c r="M16" s="2117"/>
      <c r="N16" s="2117"/>
      <c r="O16" s="2124"/>
      <c r="P16" s="3392"/>
      <c r="Q16" s="1556" t="str">
        <f>B16</f>
        <v>公共配套设施</v>
      </c>
      <c r="R16" s="1557" t="s">
        <v>8</v>
      </c>
      <c r="S16" s="1558">
        <f>F16</f>
        <v>100</v>
      </c>
      <c r="T16" s="1557" t="s">
        <v>8</v>
      </c>
      <c r="U16" s="1558">
        <f>H16</f>
        <v>100</v>
      </c>
      <c r="V16" s="1557" t="s">
        <v>8</v>
      </c>
      <c r="W16" s="1558">
        <f>J16</f>
        <v>100</v>
      </c>
      <c r="X16" s="1551"/>
      <c r="Y16" s="3392"/>
      <c r="Z16" s="1559" t="str">
        <f>Q16</f>
        <v>公共配套设施</v>
      </c>
      <c r="AA16" s="1560">
        <f t="shared" si="3"/>
        <v>1</v>
      </c>
      <c r="AB16" s="1560">
        <f t="shared" si="4"/>
        <v>1</v>
      </c>
      <c r="AC16" s="1560">
        <f t="shared" si="5"/>
        <v>1</v>
      </c>
    </row>
    <row r="17" spans="1:29" ht="15">
      <c r="A17" s="531"/>
      <c r="B17" s="565"/>
      <c r="C17" s="871"/>
      <c r="D17" s="554"/>
      <c r="E17" s="575"/>
      <c r="F17" s="556"/>
      <c r="G17" s="575"/>
      <c r="H17" s="554"/>
      <c r="I17" s="575"/>
      <c r="J17" s="554"/>
      <c r="K17" s="896"/>
      <c r="L17" s="2125"/>
      <c r="M17" s="2117"/>
      <c r="N17" s="2117"/>
      <c r="O17" s="2124"/>
      <c r="P17" s="3392"/>
      <c r="Q17" s="1556"/>
      <c r="R17" s="1557"/>
      <c r="S17" s="1558"/>
      <c r="T17" s="1557"/>
      <c r="U17" s="1558"/>
      <c r="V17" s="1557"/>
      <c r="W17" s="1558"/>
      <c r="X17" s="1551"/>
      <c r="Y17" s="3392"/>
      <c r="Z17" s="1559"/>
      <c r="AA17" s="1560">
        <v>1</v>
      </c>
      <c r="AB17" s="1560">
        <v>1</v>
      </c>
      <c r="AC17" s="1560">
        <v>1</v>
      </c>
    </row>
    <row r="18" spans="1:29" ht="28.5">
      <c r="A18" s="531"/>
      <c r="B18" s="2553" t="s">
        <v>2557</v>
      </c>
      <c r="C18" s="870"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25"/>
      <c r="M18" s="2117"/>
      <c r="N18" s="2117"/>
      <c r="O18" s="2124"/>
      <c r="P18" s="3392"/>
      <c r="Q18" s="2541" t="str">
        <f>B18</f>
        <v>基础设施水平</v>
      </c>
      <c r="R18" s="1557" t="s">
        <v>8</v>
      </c>
      <c r="S18" s="1558">
        <f>F18</f>
        <v>100</v>
      </c>
      <c r="T18" s="1557" t="s">
        <v>8</v>
      </c>
      <c r="U18" s="1558">
        <f>H18</f>
        <v>100</v>
      </c>
      <c r="V18" s="1557" t="s">
        <v>8</v>
      </c>
      <c r="W18" s="1558">
        <f>J18</f>
        <v>100</v>
      </c>
      <c r="X18" s="2543"/>
      <c r="Y18" s="3392"/>
      <c r="Z18" s="2542" t="str">
        <f>Q18</f>
        <v>基础设施水平</v>
      </c>
      <c r="AA18" s="1560">
        <f t="shared" ref="AA18" si="8">D18/F18</f>
        <v>1</v>
      </c>
      <c r="AB18" s="1560">
        <f t="shared" ref="AB18" si="9">D18/H18</f>
        <v>1</v>
      </c>
      <c r="AC18" s="1560">
        <f t="shared" ref="AC18" si="10">D18/J18</f>
        <v>1</v>
      </c>
    </row>
    <row r="19" spans="1:29" ht="15">
      <c r="A19" s="531"/>
      <c r="B19" s="577"/>
      <c r="C19" s="871"/>
      <c r="D19" s="558"/>
      <c r="E19" s="871"/>
      <c r="F19" s="562"/>
      <c r="G19" s="871"/>
      <c r="H19" s="554"/>
      <c r="I19" s="575"/>
      <c r="J19" s="554"/>
      <c r="K19" s="2564"/>
      <c r="L19" s="2125"/>
      <c r="M19" s="2117"/>
      <c r="N19" s="2117"/>
      <c r="O19" s="2124"/>
      <c r="P19" s="3392"/>
      <c r="Q19" s="2541"/>
      <c r="R19" s="1557"/>
      <c r="S19" s="1558"/>
      <c r="T19" s="1557"/>
      <c r="U19" s="1558"/>
      <c r="V19" s="1557"/>
      <c r="W19" s="1558"/>
      <c r="X19" s="2543"/>
      <c r="Y19" s="3392"/>
      <c r="Z19" s="2542"/>
      <c r="AA19" s="1560">
        <v>1</v>
      </c>
      <c r="AB19" s="1560">
        <v>1</v>
      </c>
      <c r="AC19" s="1560">
        <v>1</v>
      </c>
    </row>
    <row r="20" spans="1:29" ht="57">
      <c r="A20" s="531"/>
      <c r="B20" s="869" t="s">
        <v>803</v>
      </c>
      <c r="C20" s="870"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25"/>
      <c r="M20" s="2117"/>
      <c r="N20" s="2117"/>
      <c r="O20" s="2124"/>
      <c r="P20" s="3392"/>
      <c r="Q20" s="1556" t="str">
        <f>B20</f>
        <v>自然及人文环境</v>
      </c>
      <c r="R20" s="1557" t="s">
        <v>8</v>
      </c>
      <c r="S20" s="1558">
        <f>F20</f>
        <v>100</v>
      </c>
      <c r="T20" s="1557" t="s">
        <v>8</v>
      </c>
      <c r="U20" s="1558">
        <f>H20</f>
        <v>100</v>
      </c>
      <c r="V20" s="1557" t="s">
        <v>8</v>
      </c>
      <c r="W20" s="1558">
        <f>J20</f>
        <v>100</v>
      </c>
      <c r="X20" s="1551"/>
      <c r="Y20" s="3392"/>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6"/>
      <c r="L21" s="2125"/>
      <c r="M21" s="2117"/>
      <c r="N21" s="2117"/>
      <c r="O21" s="2124"/>
      <c r="P21" s="3392"/>
      <c r="Q21" s="1556"/>
      <c r="R21" s="1557"/>
      <c r="S21" s="1558"/>
      <c r="T21" s="1557"/>
      <c r="U21" s="1558"/>
      <c r="V21" s="1557"/>
      <c r="W21" s="1558"/>
      <c r="X21" s="1551"/>
      <c r="Y21" s="3392"/>
      <c r="Z21" s="1559"/>
      <c r="AA21" s="1560">
        <v>1</v>
      </c>
      <c r="AB21" s="1560">
        <v>1</v>
      </c>
      <c r="AC21" s="1560">
        <v>1</v>
      </c>
    </row>
    <row r="22" spans="1:29" ht="15">
      <c r="A22" s="531"/>
      <c r="B22" s="869" t="s">
        <v>804</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392"/>
      <c r="Q22" s="1556" t="str">
        <f>B22</f>
        <v>楼层</v>
      </c>
      <c r="R22" s="1557" t="s">
        <v>8</v>
      </c>
      <c r="S22" s="1558">
        <f>F22</f>
        <v>100</v>
      </c>
      <c r="T22" s="1557" t="s">
        <v>8</v>
      </c>
      <c r="U22" s="1558">
        <f>H22</f>
        <v>100</v>
      </c>
      <c r="V22" s="1557" t="s">
        <v>8</v>
      </c>
      <c r="W22" s="1558">
        <f>J22</f>
        <v>100</v>
      </c>
      <c r="X22" s="1551"/>
      <c r="Y22" s="3392"/>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392"/>
      <c r="Q23" s="1556">
        <f>B23</f>
        <v>111</v>
      </c>
      <c r="R23" s="1557" t="s">
        <v>8</v>
      </c>
      <c r="S23" s="1558">
        <f>F23</f>
        <v>100</v>
      </c>
      <c r="T23" s="1557" t="s">
        <v>8</v>
      </c>
      <c r="U23" s="1558">
        <f>H23</f>
        <v>100</v>
      </c>
      <c r="V23" s="1557" t="s">
        <v>8</v>
      </c>
      <c r="W23" s="1558">
        <f>J23</f>
        <v>100</v>
      </c>
      <c r="X23" s="1551"/>
      <c r="Y23" s="3392"/>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392"/>
      <c r="Q24" s="1556">
        <f t="shared" ref="Q24:Q34" si="11">B24</f>
        <v>111</v>
      </c>
      <c r="R24" s="1557" t="s">
        <v>8</v>
      </c>
      <c r="S24" s="1558">
        <f>F24</f>
        <v>100</v>
      </c>
      <c r="T24" s="1557" t="s">
        <v>8</v>
      </c>
      <c r="U24" s="1558">
        <f>H24</f>
        <v>100</v>
      </c>
      <c r="V24" s="1557" t="s">
        <v>8</v>
      </c>
      <c r="W24" s="1558">
        <f>J24</f>
        <v>100</v>
      </c>
      <c r="X24" s="1551"/>
      <c r="Y24" s="3392"/>
      <c r="Z24" s="1559">
        <f>Q24</f>
        <v>111</v>
      </c>
      <c r="AA24" s="1560">
        <f t="shared" si="3"/>
        <v>1</v>
      </c>
      <c r="AB24" s="1560">
        <f t="shared" si="4"/>
        <v>1</v>
      </c>
      <c r="AC24" s="1560">
        <f t="shared" si="5"/>
        <v>1</v>
      </c>
    </row>
    <row r="25" spans="1:29" s="1213"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18"/>
      <c r="M25" s="2119"/>
      <c r="N25" s="2119"/>
      <c r="O25" s="2120"/>
      <c r="P25" s="3392"/>
      <c r="Q25" s="1144">
        <f t="shared" si="11"/>
        <v>111</v>
      </c>
      <c r="R25" s="1552" t="s">
        <v>8</v>
      </c>
      <c r="S25" s="1553">
        <f>F25</f>
        <v>100</v>
      </c>
      <c r="T25" s="1552" t="s">
        <v>8</v>
      </c>
      <c r="U25" s="1553">
        <f>H25</f>
        <v>100</v>
      </c>
      <c r="V25" s="1552" t="s">
        <v>8</v>
      </c>
      <c r="W25" s="1553">
        <f>J25</f>
        <v>100</v>
      </c>
      <c r="X25" s="1554"/>
      <c r="Y25" s="3392"/>
      <c r="Z25" s="1143">
        <f>Q25</f>
        <v>111</v>
      </c>
      <c r="AA25" s="1560">
        <f>D25/F25</f>
        <v>1</v>
      </c>
      <c r="AB25" s="1560">
        <f>D25/H25</f>
        <v>1</v>
      </c>
      <c r="AC25" s="1560">
        <f>D25/J25</f>
        <v>1</v>
      </c>
    </row>
    <row r="26" spans="1:29" ht="15">
      <c r="A26" s="2860" t="s">
        <v>2753</v>
      </c>
      <c r="B26" s="171" t="s">
        <v>807</v>
      </c>
      <c r="C26" s="913"/>
      <c r="D26" s="596">
        <v>100</v>
      </c>
      <c r="E26" s="913"/>
      <c r="F26" s="940">
        <f>SUMIF(77:77,E26,78:78)-SUMIF(77:77,C26,78:78)+100</f>
        <v>100</v>
      </c>
      <c r="G26" s="913"/>
      <c r="H26" s="596">
        <f>SUMIF(77:77,G26,78:78)-SUMIF(77:77,C26,78:78)+100</f>
        <v>100</v>
      </c>
      <c r="I26" s="913"/>
      <c r="J26" s="596">
        <f>SUMIF(77:77,I26,78:78)-SUMIF(77:77,C26,78:78)+100</f>
        <v>100</v>
      </c>
      <c r="K26" s="583"/>
      <c r="L26" s="2125"/>
      <c r="M26" s="2117"/>
      <c r="N26" s="2117"/>
      <c r="O26" s="2124"/>
      <c r="P26" s="3393" t="s">
        <v>820</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394" t="s">
        <v>820</v>
      </c>
      <c r="Z26" s="1559" t="str">
        <f t="shared" ref="Z26:Z34" si="15">Q26</f>
        <v>公共部分装修</v>
      </c>
      <c r="AA26" s="1560">
        <f t="shared" si="3"/>
        <v>1</v>
      </c>
      <c r="AB26" s="1560">
        <f t="shared" si="4"/>
        <v>1</v>
      </c>
      <c r="AC26" s="1560">
        <f t="shared" si="5"/>
        <v>1</v>
      </c>
    </row>
    <row r="27" spans="1:29" s="1332" customFormat="1" ht="15">
      <c r="A27" s="602"/>
      <c r="B27" s="526" t="s">
        <v>808</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23"/>
      <c r="M27" s="2154"/>
      <c r="N27" s="2154"/>
      <c r="O27" s="2126"/>
      <c r="P27" s="3394"/>
      <c r="Q27" s="1588" t="str">
        <f t="shared" si="11"/>
        <v>成新率</v>
      </c>
      <c r="R27" s="1561" t="s">
        <v>8</v>
      </c>
      <c r="S27" s="1562" t="e">
        <f t="shared" si="12"/>
        <v>#N/A</v>
      </c>
      <c r="T27" s="1561" t="s">
        <v>8</v>
      </c>
      <c r="U27" s="1562" t="e">
        <f t="shared" si="13"/>
        <v>#N/A</v>
      </c>
      <c r="V27" s="1561" t="s">
        <v>8</v>
      </c>
      <c r="W27" s="1562" t="e">
        <f t="shared" si="14"/>
        <v>#N/A</v>
      </c>
      <c r="X27" s="1563"/>
      <c r="Y27" s="3394"/>
      <c r="Z27" s="1564" t="str">
        <f t="shared" si="15"/>
        <v>成新率</v>
      </c>
      <c r="AA27" s="1560" t="e">
        <f t="shared" si="3"/>
        <v>#N/A</v>
      </c>
      <c r="AB27" s="1560" t="e">
        <f t="shared" si="4"/>
        <v>#N/A</v>
      </c>
      <c r="AC27" s="1560"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394"/>
      <c r="Q28" s="1556" t="str">
        <f t="shared" si="11"/>
        <v>物业等级</v>
      </c>
      <c r="R28" s="1557" t="s">
        <v>8</v>
      </c>
      <c r="S28" s="1558">
        <f t="shared" si="12"/>
        <v>100</v>
      </c>
      <c r="T28" s="1557" t="s">
        <v>8</v>
      </c>
      <c r="U28" s="1558">
        <f t="shared" si="13"/>
        <v>100</v>
      </c>
      <c r="V28" s="1557" t="s">
        <v>8</v>
      </c>
      <c r="W28" s="1558">
        <f t="shared" si="14"/>
        <v>100</v>
      </c>
      <c r="X28" s="1551"/>
      <c r="Y28" s="3394"/>
      <c r="Z28" s="1559" t="str">
        <f t="shared" si="15"/>
        <v>物业等级</v>
      </c>
      <c r="AA28" s="1560">
        <f t="shared" si="3"/>
        <v>1</v>
      </c>
      <c r="AB28" s="1560">
        <f t="shared" si="4"/>
        <v>1</v>
      </c>
      <c r="AC28" s="1560">
        <f t="shared" si="5"/>
        <v>1</v>
      </c>
    </row>
    <row r="29" spans="1:29" ht="15">
      <c r="A29" s="593"/>
      <c r="B29" s="526" t="s">
        <v>821</v>
      </c>
      <c r="C29" s="929"/>
      <c r="D29" s="539">
        <v>100</v>
      </c>
      <c r="E29" s="929"/>
      <c r="F29" s="574">
        <f>SUMIF(84:84,E29,85:85)-SUMIF(84:84,C29,85:85)+100</f>
        <v>100</v>
      </c>
      <c r="G29" s="929"/>
      <c r="H29" s="539">
        <f>SUMIF(84:84,G29,85:85)-SUMIF(84:84,C29,85:85)+100</f>
        <v>100</v>
      </c>
      <c r="I29" s="929"/>
      <c r="J29" s="539">
        <f>SUMIF(84:84,I29,85:85)-SUMIF(84:84,C29,85:85)+100</f>
        <v>100</v>
      </c>
      <c r="K29" s="583"/>
      <c r="L29" s="2125"/>
      <c r="M29" s="2117"/>
      <c r="N29" s="2117"/>
      <c r="O29" s="2124"/>
      <c r="P29" s="3394"/>
      <c r="Q29" s="1556" t="str">
        <f t="shared" si="11"/>
        <v>有无电梯</v>
      </c>
      <c r="R29" s="1557" t="s">
        <v>8</v>
      </c>
      <c r="S29" s="1558">
        <f t="shared" si="12"/>
        <v>100</v>
      </c>
      <c r="T29" s="1557" t="s">
        <v>8</v>
      </c>
      <c r="U29" s="1558">
        <f t="shared" si="13"/>
        <v>100</v>
      </c>
      <c r="V29" s="1557" t="s">
        <v>8</v>
      </c>
      <c r="W29" s="1558">
        <f t="shared" si="14"/>
        <v>100</v>
      </c>
      <c r="X29" s="1551"/>
      <c r="Y29" s="3394"/>
      <c r="Z29" s="1559" t="str">
        <f t="shared" si="15"/>
        <v>有无电梯</v>
      </c>
      <c r="AA29" s="1560">
        <f t="shared" si="3"/>
        <v>1</v>
      </c>
      <c r="AB29" s="1560">
        <f t="shared" si="4"/>
        <v>1</v>
      </c>
      <c r="AC29" s="1560">
        <f t="shared" si="5"/>
        <v>1</v>
      </c>
    </row>
    <row r="30" spans="1:29" ht="15">
      <c r="A30" s="593"/>
      <c r="B30" s="526" t="s">
        <v>822</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25"/>
      <c r="M30" s="2117"/>
      <c r="N30" s="2117"/>
      <c r="O30" s="2124"/>
      <c r="P30" s="3394"/>
      <c r="Q30" s="1556" t="str">
        <f t="shared" si="11"/>
        <v>建筑面积</v>
      </c>
      <c r="R30" s="1557" t="s">
        <v>8</v>
      </c>
      <c r="S30" s="1558" t="e">
        <f t="shared" si="12"/>
        <v>#N/A</v>
      </c>
      <c r="T30" s="1557" t="s">
        <v>8</v>
      </c>
      <c r="U30" s="1558" t="e">
        <f t="shared" si="13"/>
        <v>#N/A</v>
      </c>
      <c r="V30" s="1557" t="s">
        <v>8</v>
      </c>
      <c r="W30" s="1558" t="e">
        <f t="shared" si="14"/>
        <v>#N/A</v>
      </c>
      <c r="X30" s="1551"/>
      <c r="Y30" s="3394"/>
      <c r="Z30" s="1559" t="str">
        <f t="shared" si="15"/>
        <v>建筑面积</v>
      </c>
      <c r="AA30" s="1560" t="e">
        <f t="shared" si="3"/>
        <v>#N/A</v>
      </c>
      <c r="AB30" s="1560" t="e">
        <f t="shared" si="4"/>
        <v>#N/A</v>
      </c>
      <c r="AC30" s="1560" t="e">
        <f t="shared" si="5"/>
        <v>#N/A</v>
      </c>
    </row>
    <row r="31" spans="1:29" s="1213" customFormat="1" ht="15">
      <c r="A31" s="599"/>
      <c r="B31" s="526" t="s">
        <v>823</v>
      </c>
      <c r="C31" s="929"/>
      <c r="D31" s="254">
        <v>100</v>
      </c>
      <c r="E31" s="929"/>
      <c r="F31" s="574">
        <f>SUMIF(89:89,E31,90:90)-SUMIF(89:89,C31,90:90)+100</f>
        <v>100</v>
      </c>
      <c r="G31" s="929"/>
      <c r="H31" s="539">
        <f>SUMIF(89:89,G31,90:90)-SUMIF(89:89,C31,90:90)+100</f>
        <v>100</v>
      </c>
      <c r="I31" s="929"/>
      <c r="J31" s="539">
        <f>SUMIF(89:89,I31,90:90)-SUMIF(89:89,C31,90:90)+100</f>
        <v>100</v>
      </c>
      <c r="K31" s="583"/>
      <c r="L31" s="2118"/>
      <c r="M31" s="2119"/>
      <c r="N31" s="2119"/>
      <c r="O31" s="2120"/>
      <c r="P31" s="3394"/>
      <c r="Q31" s="1144" t="str">
        <f t="shared" si="11"/>
        <v>是否封闭</v>
      </c>
      <c r="R31" s="1552" t="s">
        <v>8</v>
      </c>
      <c r="S31" s="1553">
        <f t="shared" si="12"/>
        <v>100</v>
      </c>
      <c r="T31" s="1552" t="s">
        <v>8</v>
      </c>
      <c r="U31" s="1553">
        <f t="shared" si="13"/>
        <v>100</v>
      </c>
      <c r="V31" s="1552" t="s">
        <v>8</v>
      </c>
      <c r="W31" s="1553">
        <f t="shared" si="14"/>
        <v>100</v>
      </c>
      <c r="X31" s="1554"/>
      <c r="Y31" s="3394"/>
      <c r="Z31" s="1143" t="str">
        <f t="shared" si="15"/>
        <v>是否封闭</v>
      </c>
      <c r="AA31" s="1555">
        <f t="shared" si="3"/>
        <v>1</v>
      </c>
      <c r="AB31" s="1555">
        <f t="shared" si="4"/>
        <v>1</v>
      </c>
      <c r="AC31" s="1555">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25"/>
      <c r="M32" s="2117"/>
      <c r="N32" s="2117"/>
      <c r="O32" s="2124"/>
      <c r="P32" s="3394" t="s">
        <v>550</v>
      </c>
      <c r="Q32" s="1556">
        <f t="shared" si="11"/>
        <v>111</v>
      </c>
      <c r="R32" s="1557" t="s">
        <v>8</v>
      </c>
      <c r="S32" s="1558">
        <f t="shared" si="12"/>
        <v>100</v>
      </c>
      <c r="T32" s="1557" t="s">
        <v>8</v>
      </c>
      <c r="U32" s="1558">
        <f t="shared" si="13"/>
        <v>100</v>
      </c>
      <c r="V32" s="1557" t="s">
        <v>8</v>
      </c>
      <c r="W32" s="1558">
        <f t="shared" si="14"/>
        <v>100</v>
      </c>
      <c r="X32" s="1551"/>
      <c r="Y32" s="3394" t="s">
        <v>550</v>
      </c>
      <c r="Z32" s="1559">
        <f t="shared" si="15"/>
        <v>111</v>
      </c>
      <c r="AA32" s="1560">
        <f t="shared" si="3"/>
        <v>1</v>
      </c>
      <c r="AB32" s="1560">
        <f t="shared" si="4"/>
        <v>1</v>
      </c>
      <c r="AC32" s="1560">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25"/>
      <c r="M33" s="2117"/>
      <c r="N33" s="2117"/>
      <c r="O33" s="2124"/>
      <c r="P33" s="3394"/>
      <c r="Q33" s="1556">
        <f t="shared" si="11"/>
        <v>111</v>
      </c>
      <c r="R33" s="1557" t="s">
        <v>8</v>
      </c>
      <c r="S33" s="1558">
        <f t="shared" si="12"/>
        <v>100</v>
      </c>
      <c r="T33" s="1557" t="s">
        <v>8</v>
      </c>
      <c r="U33" s="1558">
        <f t="shared" si="13"/>
        <v>100</v>
      </c>
      <c r="V33" s="1557" t="s">
        <v>8</v>
      </c>
      <c r="W33" s="1558">
        <f t="shared" si="14"/>
        <v>100</v>
      </c>
      <c r="X33" s="1551"/>
      <c r="Y33" s="3394"/>
      <c r="Z33" s="1559">
        <f t="shared" si="15"/>
        <v>111</v>
      </c>
      <c r="AA33" s="1560">
        <f t="shared" si="3"/>
        <v>1</v>
      </c>
      <c r="AB33" s="1560">
        <f t="shared" si="4"/>
        <v>1</v>
      </c>
      <c r="AC33" s="1560">
        <f t="shared" si="5"/>
        <v>1</v>
      </c>
    </row>
    <row r="34" spans="1:29" ht="15.75" thickBot="1">
      <c r="A34" s="883"/>
      <c r="B34" s="543">
        <v>111</v>
      </c>
      <c r="C34" s="544"/>
      <c r="D34" s="545">
        <v>100</v>
      </c>
      <c r="E34" s="941"/>
      <c r="F34" s="864">
        <f>SUMIF(95:95,E34,96:96)-SUMIF(95:95,C34,96:96)+100</f>
        <v>100</v>
      </c>
      <c r="G34" s="941"/>
      <c r="H34" s="545">
        <f>SUMIF(95:95,G34,96:96)-SUMIF(95:95,C34,96:96)+100</f>
        <v>100</v>
      </c>
      <c r="I34" s="941"/>
      <c r="J34" s="545">
        <f>SUMIF(95:95,I34,96:96)-SUMIF(95:95,C34,96:96)+100</f>
        <v>100</v>
      </c>
      <c r="K34" s="580"/>
      <c r="L34" s="2125"/>
      <c r="M34" s="2117"/>
      <c r="N34" s="2117"/>
      <c r="O34" s="2124"/>
      <c r="P34" s="3394"/>
      <c r="Q34" s="1556">
        <f t="shared" si="11"/>
        <v>111</v>
      </c>
      <c r="R34" s="1557" t="s">
        <v>8</v>
      </c>
      <c r="S34" s="1558">
        <f t="shared" si="12"/>
        <v>100</v>
      </c>
      <c r="T34" s="1557" t="s">
        <v>8</v>
      </c>
      <c r="U34" s="1558">
        <f t="shared" si="13"/>
        <v>100</v>
      </c>
      <c r="V34" s="1557" t="s">
        <v>8</v>
      </c>
      <c r="W34" s="1558">
        <f t="shared" si="14"/>
        <v>100</v>
      </c>
      <c r="X34" s="1551"/>
      <c r="Y34" s="3394"/>
      <c r="Z34" s="1559">
        <f t="shared" si="15"/>
        <v>111</v>
      </c>
      <c r="AA34" s="1560">
        <f t="shared" si="3"/>
        <v>1</v>
      </c>
      <c r="AB34" s="1560">
        <f t="shared" si="4"/>
        <v>1</v>
      </c>
      <c r="AC34" s="1560">
        <f t="shared" si="5"/>
        <v>1</v>
      </c>
    </row>
    <row r="35" spans="1:29" ht="15">
      <c r="A35" s="605" t="s">
        <v>735</v>
      </c>
      <c r="B35" s="884"/>
      <c r="C35" s="2589" t="s">
        <v>1</v>
      </c>
      <c r="D35" s="2590"/>
      <c r="E35" s="2591"/>
      <c r="F35" s="2592"/>
      <c r="G35" s="2593"/>
      <c r="H35" s="2594"/>
      <c r="I35" s="2591"/>
      <c r="J35" s="2594"/>
      <c r="K35" s="1594"/>
      <c r="L35" s="2127"/>
      <c r="M35" s="2128"/>
      <c r="N35" s="2117"/>
      <c r="O35" s="2128"/>
      <c r="P35" s="3389" t="str">
        <f>A35</f>
        <v>成交单价（元/平方米）</v>
      </c>
      <c r="Q35" s="3389"/>
      <c r="R35" s="3471">
        <f>E35</f>
        <v>0</v>
      </c>
      <c r="S35" s="3471"/>
      <c r="T35" s="3471">
        <f>G35</f>
        <v>0</v>
      </c>
      <c r="U35" s="3471"/>
      <c r="V35" s="3471">
        <f>I35</f>
        <v>0</v>
      </c>
      <c r="W35" s="3471"/>
      <c r="X35" s="1543"/>
      <c r="Y35" s="1565"/>
      <c r="Z35" s="1543"/>
      <c r="AA35" s="1543"/>
      <c r="AB35" s="1543"/>
      <c r="AC35" s="1543"/>
    </row>
    <row r="36" spans="1:29" ht="15.75" thickBot="1">
      <c r="A36" s="613" t="s">
        <v>2758</v>
      </c>
      <c r="B36" s="885"/>
      <c r="C36" s="2595" t="e">
        <f>R37</f>
        <v>#DIV/0!</v>
      </c>
      <c r="D36" s="2596"/>
      <c r="E36" s="2597" t="e">
        <f>R36</f>
        <v>#DIV/0!</v>
      </c>
      <c r="F36" s="2597"/>
      <c r="G36" s="2595" t="e">
        <f>T36</f>
        <v>#DIV/0!</v>
      </c>
      <c r="H36" s="2596"/>
      <c r="I36" s="2597" t="e">
        <f>V36</f>
        <v>#DIV/0!</v>
      </c>
      <c r="J36" s="2596"/>
      <c r="K36" s="1595"/>
      <c r="L36" s="2127"/>
      <c r="M36" s="2128"/>
      <c r="N36" s="2117"/>
      <c r="O36" s="2128"/>
      <c r="P36" s="3389" t="str">
        <f>A36</f>
        <v>比较价格（元/平方米）</v>
      </c>
      <c r="Q36" s="3389"/>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43"/>
      <c r="Y36" s="1543"/>
      <c r="Z36" s="1543"/>
      <c r="AA36" s="1543"/>
      <c r="AB36" s="1543"/>
      <c r="AC36" s="1543"/>
    </row>
    <row r="37" spans="1:29" ht="15.75" thickBot="1">
      <c r="A37" s="619" t="s">
        <v>2935</v>
      </c>
      <c r="B37" s="620"/>
      <c r="C37" s="2598" t="e">
        <f>R37</f>
        <v>#DIV/0!</v>
      </c>
      <c r="D37" s="2598"/>
      <c r="E37" s="2598"/>
      <c r="F37" s="2598"/>
      <c r="G37" s="2598"/>
      <c r="H37" s="2598"/>
      <c r="I37" s="2598"/>
      <c r="J37" s="2598"/>
      <c r="K37" s="1596"/>
      <c r="L37" s="2127"/>
      <c r="M37" s="2128"/>
      <c r="N37" s="2128"/>
      <c r="O37" s="2128"/>
      <c r="P37" s="3413" t="str">
        <f>A37</f>
        <v>估价对象XX用房的比较价格（楼面单价，元/平方米）</v>
      </c>
      <c r="Q37" s="3414"/>
      <c r="R37" s="3470" t="e">
        <f>IF(F1="售价",ROUND(AVERAGE(R36:V36),0),ROUND(AVERAGE(R36:V36),1))</f>
        <v>#DIV/0!</v>
      </c>
      <c r="S37" s="3470"/>
      <c r="T37" s="3470"/>
      <c r="U37" s="3470"/>
      <c r="V37" s="3470"/>
      <c r="W37" s="347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3" t="s">
        <v>529</v>
      </c>
      <c r="B46" s="644"/>
      <c r="C46" s="2755" t="str">
        <f>YEAR(C7)&amp;"-"&amp;MONTH(C7)</f>
        <v>2019-6</v>
      </c>
      <c r="D46" s="2757">
        <f>EDATE(C46,-1)</f>
        <v>43586</v>
      </c>
      <c r="E46" s="2757">
        <f t="shared" ref="E46:O46" si="16">EDATE(D46,-1)</f>
        <v>43556</v>
      </c>
      <c r="F46" s="2757">
        <f t="shared" si="16"/>
        <v>43525</v>
      </c>
      <c r="G46" s="2757">
        <f t="shared" si="16"/>
        <v>43497</v>
      </c>
      <c r="H46" s="2757">
        <f t="shared" si="16"/>
        <v>43466</v>
      </c>
      <c r="I46" s="2757">
        <f t="shared" si="16"/>
        <v>43435</v>
      </c>
      <c r="J46" s="2757">
        <f t="shared" si="16"/>
        <v>43405</v>
      </c>
      <c r="K46" s="2757">
        <f t="shared" si="16"/>
        <v>43374</v>
      </c>
      <c r="L46" s="2757">
        <f t="shared" si="16"/>
        <v>43344</v>
      </c>
      <c r="M46" s="2757">
        <f t="shared" si="16"/>
        <v>43313</v>
      </c>
      <c r="N46" s="2757">
        <f t="shared" si="16"/>
        <v>43282</v>
      </c>
      <c r="O46" s="2757">
        <f t="shared" si="16"/>
        <v>43252</v>
      </c>
      <c r="P46" s="2143"/>
      <c r="Q46" s="2144"/>
      <c r="R46" s="2144"/>
      <c r="S46" s="2144"/>
      <c r="T46" s="2144"/>
      <c r="U46" s="2144"/>
      <c r="V46" s="2144"/>
      <c r="W46" s="2144"/>
      <c r="X46" s="2144"/>
      <c r="Y46" s="2144"/>
      <c r="Z46" s="2144"/>
      <c r="AA46" s="2144"/>
      <c r="AB46" s="2144"/>
      <c r="AC46" s="2144"/>
    </row>
    <row r="47" spans="1:29" s="1213"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3"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3"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7"/>
      <c r="E51" s="597"/>
      <c r="F51" s="597"/>
      <c r="G51" s="597"/>
      <c r="H51" s="597"/>
      <c r="I51" s="597"/>
      <c r="J51" s="597"/>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2">
        <f>B11</f>
        <v>111</v>
      </c>
      <c r="C55" s="540"/>
      <c r="D55" s="540"/>
      <c r="E55" s="540"/>
      <c r="F55" s="540"/>
      <c r="G55" s="540"/>
      <c r="H55" s="540"/>
      <c r="I55" s="540"/>
      <c r="J55" s="540"/>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5"/>
      <c r="B57" s="671">
        <f>B12</f>
        <v>111</v>
      </c>
      <c r="C57" s="540"/>
      <c r="D57" s="540"/>
      <c r="E57" s="540"/>
      <c r="F57" s="540"/>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5"/>
      <c r="B59" s="671">
        <f>B13</f>
        <v>111</v>
      </c>
      <c r="C59" s="540"/>
      <c r="D59" s="540"/>
      <c r="E59" s="540"/>
      <c r="F59" s="540"/>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2556</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2557</v>
      </c>
      <c r="C65" s="2560" t="s">
        <v>2558</v>
      </c>
      <c r="D65" s="2560" t="s">
        <v>2559</v>
      </c>
      <c r="E65" s="2560" t="s">
        <v>2560</v>
      </c>
      <c r="F65" s="2560" t="s">
        <v>2561</v>
      </c>
      <c r="G65" s="2560" t="s">
        <v>2562</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2"/>
      <c r="I66" s="932"/>
      <c r="J66" s="932"/>
      <c r="K66" s="932"/>
      <c r="L66" s="932"/>
      <c r="M66" s="558"/>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743</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7"/>
      <c r="B71" s="671">
        <f>B23</f>
        <v>111</v>
      </c>
      <c r="C71" s="540"/>
      <c r="D71" s="540"/>
      <c r="E71" s="540"/>
      <c r="F71" s="540"/>
      <c r="G71" s="686"/>
      <c r="H71" s="686"/>
      <c r="I71" s="686"/>
      <c r="J71" s="686"/>
      <c r="K71" s="686"/>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7"/>
      <c r="B73" s="671">
        <f>B24</f>
        <v>111</v>
      </c>
      <c r="C73" s="540"/>
      <c r="D73" s="540"/>
      <c r="E73" s="540"/>
      <c r="F73" s="540"/>
      <c r="G73" s="686"/>
      <c r="H73" s="686"/>
      <c r="I73" s="686"/>
      <c r="J73" s="686"/>
      <c r="K73" s="686"/>
      <c r="L73" s="686"/>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5"/>
      <c r="B75" s="671">
        <f>B25</f>
        <v>111</v>
      </c>
      <c r="C75" s="540"/>
      <c r="D75" s="540"/>
      <c r="E75" s="540"/>
      <c r="F75" s="540"/>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750</v>
      </c>
      <c r="C77" s="686"/>
      <c r="D77" s="686"/>
      <c r="E77" s="597"/>
      <c r="F77" s="597"/>
      <c r="G77" s="597"/>
      <c r="H77" s="597"/>
      <c r="I77" s="597"/>
      <c r="J77" s="597"/>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816</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824</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2" customFormat="1" ht="15" thickTop="1">
      <c r="A89" s="726"/>
      <c r="B89" s="671" t="s">
        <v>826</v>
      </c>
      <c r="C89" s="686"/>
      <c r="D89" s="686"/>
      <c r="E89" s="686"/>
      <c r="F89" s="686"/>
      <c r="G89" s="686"/>
      <c r="H89" s="686"/>
      <c r="I89" s="686"/>
      <c r="J89" s="686"/>
      <c r="K89" s="686"/>
      <c r="L89" s="686"/>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40"/>
      <c r="D91" s="540"/>
      <c r="E91" s="540"/>
      <c r="F91" s="540"/>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40"/>
      <c r="D93" s="540"/>
      <c r="E93" s="540"/>
      <c r="F93" s="540"/>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4">
        <f>B34</f>
        <v>111</v>
      </c>
      <c r="C95" s="540"/>
      <c r="D95" s="540"/>
      <c r="E95" s="540"/>
      <c r="F95" s="540"/>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光大兴陇有限责任公司：</v>
      </c>
    </row>
    <row r="4" spans="1:4" ht="37.5">
      <c r="A4" s="1774" t="str">
        <f>"受贵公司委托，我公司对"&amp;项目基本情况!K2&amp;项目基本情况!B9&amp;"进行了预评估。"</f>
        <v>受贵公司委托，我公司对四川省成都市天府新区华阳街道广福社区“恒大天府半岛”居住项目七期出让国有建设用地使用权市场价格进行了预评估。</v>
      </c>
    </row>
    <row r="5" spans="1:4" ht="18.75">
      <c r="A5" s="1777" t="s">
        <v>1904</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心怡房地产开发有限公司使用的、位于四川省成都市天府新区华阳街道广福社区“恒大天府半岛”居住项目七期出让国有建设用地使用权。根据《国有土地使用证》[]，估价对象（分摊）出让国有建设用地使用权面积为285760.2平方米。根据《建设工程规划许可证》[]、《出让合同》[]，估价对象规划建筑面积为939662.47平方米。</v>
      </c>
    </row>
    <row r="7" spans="1:4" ht="93.75">
      <c r="A7" s="2826" t="s">
        <v>2746</v>
      </c>
    </row>
    <row r="8" spans="1:4" ht="18.75">
      <c r="A8" s="1777" t="s">
        <v>1905</v>
      </c>
    </row>
    <row r="9" spans="1:4" ht="112.5">
      <c r="A9" s="1779" t="str">
        <f>IF(项目基本情况!B8="抵押",IF(项目基本情况!B5=项目基本情况!B6,定义!C51,定义!B51),定义!D51)</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2019年6月14日（评估专业人员勘察现场之日）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根据《国有土地使用证》[]，估价对象（分摊）出让国有建设用地使用权面积为285760.2平方米。根据《建设工程规划许可证》[]、《出让合同》[]，估价对象规划建筑面积为939662.47平方米。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7" t="s">
        <v>2302</v>
      </c>
      <c r="C1" s="3503" t="s">
        <v>2303</v>
      </c>
      <c r="D1" s="3504"/>
      <c r="E1" s="3504"/>
      <c r="F1" s="3504"/>
      <c r="G1" s="3504"/>
      <c r="H1" s="3504"/>
      <c r="I1" s="3504"/>
      <c r="J1" s="3504"/>
      <c r="K1" s="3504"/>
      <c r="L1" s="3504"/>
      <c r="M1" s="3504"/>
      <c r="N1" s="3504"/>
      <c r="O1" s="3504"/>
      <c r="P1" s="3504"/>
      <c r="Q1" s="3504"/>
      <c r="R1" s="3504"/>
      <c r="S1" s="3505"/>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2928</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2927</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2926</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2939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2925</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2924</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827</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828</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829</v>
      </c>
      <c r="B22" s="52">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2">
        <f>SUM(S24:S10000)</f>
        <v>0</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598"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9">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9">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9">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9">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9">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9">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9">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9">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9">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9">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9">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9">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9">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9">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9">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9">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9">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9">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9">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9">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9">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9">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9">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9">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9">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9">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9">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9">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9">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9">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9">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9">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9">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9">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9">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9">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9">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9">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9">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9">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9">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9">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9">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9">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9">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9">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9">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9">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9">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9">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9">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9">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9">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9">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9">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9">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9">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9">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9">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9">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9">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9">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9">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9">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9">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9">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9">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9">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9">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9">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9">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9">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9">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9">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9">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9">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9">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9">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9">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9">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9">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9">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9">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9">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9">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9">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9">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9">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9">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9">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9">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9">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9">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9">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9">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9">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9">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9">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9">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9">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9">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9">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9">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9">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9">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9">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9">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9">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9">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9">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9">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9">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9">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9">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9">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9">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9">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9">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9">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9">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9">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9">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9">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9">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9">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9">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9">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9">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9">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9">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9">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9">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9">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9">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9">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9">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9">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9">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9">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9">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9">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9">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9">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9">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9">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9">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9">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9">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9">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9">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9">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9">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9">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9">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9">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9">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9">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9">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9">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9">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9">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9">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9">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9">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9">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9">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9">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9">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9">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9">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9">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9">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9">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9">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9">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9">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9">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9">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9">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9">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9">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9">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9">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9">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9">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9">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9">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9">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9">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9">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9">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9">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9">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9">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9">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9">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9">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9">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9">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9">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9">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9">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9">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9">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9">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9">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9">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9">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9">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9">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9">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9">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9">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9">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9">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9">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9">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9">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9">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9">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9">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9">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9">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9">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9">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9">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9">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9">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9">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9">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9">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9">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9">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9">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9">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9">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9">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9">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9">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9">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9">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9">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9">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9">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9">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9">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9">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9">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9">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9">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9">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9">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9">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9">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9">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9">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9">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9">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9">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9">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9">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9">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9">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9">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9">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9">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9">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9">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9">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9">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9">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9">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9">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9">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9">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9">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9">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9">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9">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9">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9">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9">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9">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9">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9">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9">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9">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9">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9">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9">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9">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9">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9">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9">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9">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9">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9">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9">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9">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9">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9">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9">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9">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9">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9">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9">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9">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9">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9">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9">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9">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9">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9">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9">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9">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9">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9">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9">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9">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9">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9">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9">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9">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9">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9">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9">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9">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9">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9">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9">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9">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9">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9">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9">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9">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9">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9">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9">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9">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9">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9">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9">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9">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9">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9">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9">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9">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9">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9">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9">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9">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9">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9">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9">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9">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9">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9">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9">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9">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9">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9">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9">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9">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9">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9">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9">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9">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9">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9">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9">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9">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9">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9">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9">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9">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9">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9">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9">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9">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9">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9">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9">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9">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9">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9">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9">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9">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9">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9">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9">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9">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9">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9">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9">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9">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9">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9">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9">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9">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9">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9">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9">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9">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9">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9">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9">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9">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9">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9">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9">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9">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9">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9">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9">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9">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9">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9">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9">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9">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9">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9">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9">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9">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9">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9">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9">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9">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9">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9">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9">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9">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9">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9">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9">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9">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9">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9">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9">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9">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9">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9">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9">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9">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9">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9">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9">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9">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9">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9">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9">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9">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9">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9">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9">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9">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9">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9">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9">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9">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9">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9">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9">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9">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9">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9">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9">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9">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9">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9">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9">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9">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9">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9">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9">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9">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9">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9">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9">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9">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9">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9">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9">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9">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9">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9">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9">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9">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9">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9">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9">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9">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9">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9">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9">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9">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9">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9">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9">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9">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9">
        <f t="shared" si="93"/>
        <v>0</v>
      </c>
      <c r="S524" s="797">
        <f t="shared" si="94"/>
        <v>0</v>
      </c>
    </row>
    <row r="525" spans="1:19">
      <c r="A525" s="256"/>
      <c r="B525" s="56"/>
      <c r="C525" s="56"/>
      <c r="D525" s="56"/>
      <c r="E525" s="56"/>
      <c r="F525" s="56"/>
      <c r="G525" s="56"/>
      <c r="H525" s="56"/>
      <c r="I525" s="56"/>
      <c r="J525" s="56"/>
      <c r="K525" s="56"/>
      <c r="L525" s="56"/>
      <c r="M525" s="56"/>
      <c r="N525" s="56"/>
      <c r="O525" s="56"/>
      <c r="P525" s="56"/>
      <c r="Q525" s="56"/>
      <c r="R525" s="2209"/>
      <c r="S525" s="256"/>
    </row>
    <row r="526" spans="1:19">
      <c r="A526" s="256"/>
      <c r="B526" s="56"/>
      <c r="C526" s="56"/>
      <c r="D526" s="56"/>
      <c r="E526" s="56"/>
      <c r="F526" s="56"/>
      <c r="G526" s="56"/>
      <c r="H526" s="56"/>
      <c r="I526" s="56"/>
      <c r="J526" s="56"/>
      <c r="K526" s="56"/>
      <c r="L526" s="56"/>
      <c r="M526" s="56"/>
      <c r="N526" s="56"/>
      <c r="O526" s="56"/>
      <c r="P526" s="56"/>
      <c r="Q526" s="56"/>
      <c r="R526" s="2209"/>
      <c r="S526" s="256"/>
    </row>
    <row r="527" spans="1:19">
      <c r="A527" s="256"/>
      <c r="B527" s="56"/>
      <c r="C527" s="56"/>
      <c r="D527" s="56"/>
      <c r="E527" s="56"/>
      <c r="F527" s="56"/>
      <c r="G527" s="56"/>
      <c r="H527" s="56"/>
      <c r="I527" s="56"/>
      <c r="J527" s="56"/>
      <c r="K527" s="56"/>
      <c r="L527" s="56"/>
      <c r="M527" s="56"/>
      <c r="N527" s="56"/>
      <c r="O527" s="56"/>
      <c r="P527" s="56"/>
      <c r="Q527" s="56"/>
      <c r="R527" s="2209"/>
      <c r="S527" s="256"/>
    </row>
    <row r="528" spans="1:19">
      <c r="A528" s="256"/>
      <c r="B528" s="56"/>
      <c r="C528" s="56"/>
      <c r="D528" s="56"/>
      <c r="E528" s="56"/>
      <c r="F528" s="56"/>
      <c r="G528" s="56"/>
      <c r="H528" s="56"/>
      <c r="I528" s="56"/>
      <c r="J528" s="56"/>
      <c r="K528" s="56"/>
      <c r="L528" s="56"/>
      <c r="M528" s="56"/>
      <c r="N528" s="56"/>
      <c r="O528" s="56"/>
      <c r="P528" s="56"/>
      <c r="Q528" s="56"/>
      <c r="R528" s="2209"/>
      <c r="S528" s="256"/>
    </row>
    <row r="529" spans="1:19">
      <c r="A529" s="256"/>
      <c r="B529" s="56"/>
      <c r="C529" s="56"/>
      <c r="D529" s="56"/>
      <c r="E529" s="56"/>
      <c r="F529" s="56"/>
      <c r="G529" s="56"/>
      <c r="H529" s="56"/>
      <c r="I529" s="56"/>
      <c r="J529" s="56"/>
      <c r="K529" s="56"/>
      <c r="L529" s="56"/>
      <c r="M529" s="56"/>
      <c r="N529" s="56"/>
      <c r="O529" s="56"/>
      <c r="P529" s="56"/>
      <c r="Q529" s="56"/>
      <c r="R529" s="2209"/>
      <c r="S529" s="256"/>
    </row>
    <row r="530" spans="1:19">
      <c r="A530" s="256"/>
      <c r="B530" s="56"/>
      <c r="C530" s="56"/>
      <c r="D530" s="56"/>
      <c r="E530" s="56"/>
      <c r="F530" s="56"/>
      <c r="G530" s="56"/>
      <c r="H530" s="56"/>
      <c r="I530" s="56"/>
      <c r="J530" s="56"/>
      <c r="K530" s="56"/>
      <c r="L530" s="56"/>
      <c r="M530" s="56"/>
      <c r="N530" s="56"/>
      <c r="O530" s="56"/>
      <c r="P530" s="56"/>
      <c r="Q530" s="56"/>
      <c r="R530" s="2209"/>
      <c r="S530" s="256"/>
    </row>
    <row r="531" spans="1:19">
      <c r="A531" s="256"/>
      <c r="B531" s="56"/>
      <c r="C531" s="56"/>
      <c r="D531" s="56"/>
      <c r="E531" s="56"/>
      <c r="F531" s="56"/>
      <c r="G531" s="56"/>
      <c r="H531" s="56"/>
      <c r="I531" s="56"/>
      <c r="J531" s="56"/>
      <c r="K531" s="56"/>
      <c r="L531" s="56"/>
      <c r="M531" s="56"/>
      <c r="N531" s="56"/>
      <c r="O531" s="56"/>
      <c r="P531" s="56"/>
      <c r="Q531" s="56"/>
      <c r="R531" s="2209"/>
      <c r="S531" s="256"/>
    </row>
    <row r="532" spans="1:19">
      <c r="A532" s="256"/>
      <c r="B532" s="56"/>
      <c r="C532" s="56"/>
      <c r="D532" s="56"/>
      <c r="E532" s="56"/>
      <c r="F532" s="56"/>
      <c r="G532" s="56"/>
      <c r="H532" s="56"/>
      <c r="I532" s="56"/>
      <c r="J532" s="56"/>
      <c r="K532" s="56"/>
      <c r="L532" s="56"/>
      <c r="M532" s="56"/>
      <c r="N532" s="56"/>
      <c r="O532" s="56"/>
      <c r="P532" s="56"/>
      <c r="Q532" s="56"/>
      <c r="R532" s="2209"/>
      <c r="S532" s="256"/>
    </row>
    <row r="533" spans="1:19">
      <c r="A533" s="256"/>
      <c r="B533" s="56"/>
      <c r="C533" s="56"/>
      <c r="D533" s="56"/>
      <c r="E533" s="56"/>
      <c r="F533" s="56"/>
      <c r="G533" s="56"/>
      <c r="H533" s="56"/>
      <c r="I533" s="56"/>
      <c r="J533" s="56"/>
      <c r="K533" s="56"/>
      <c r="L533" s="56"/>
      <c r="M533" s="56"/>
      <c r="N533" s="56"/>
      <c r="O533" s="56"/>
      <c r="P533" s="56"/>
      <c r="Q533" s="56"/>
      <c r="R533" s="2209"/>
      <c r="S533" s="256"/>
    </row>
    <row r="534" spans="1:19">
      <c r="A534" s="256"/>
      <c r="B534" s="56"/>
      <c r="C534" s="56"/>
      <c r="D534" s="56"/>
      <c r="E534" s="56"/>
      <c r="F534" s="56"/>
      <c r="G534" s="56"/>
      <c r="H534" s="56"/>
      <c r="I534" s="56"/>
      <c r="J534" s="56"/>
      <c r="K534" s="56"/>
      <c r="L534" s="56"/>
      <c r="M534" s="56"/>
      <c r="N534" s="56"/>
      <c r="O534" s="56"/>
      <c r="P534" s="56"/>
      <c r="Q534" s="56"/>
      <c r="R534" s="2209"/>
      <c r="S534" s="256"/>
    </row>
    <row r="535" spans="1:19">
      <c r="A535" s="256"/>
      <c r="B535" s="56"/>
      <c r="C535" s="56"/>
      <c r="D535" s="56"/>
      <c r="E535" s="56"/>
      <c r="F535" s="56"/>
      <c r="G535" s="56"/>
      <c r="H535" s="56"/>
      <c r="I535" s="56"/>
      <c r="J535" s="56"/>
      <c r="K535" s="56"/>
      <c r="L535" s="56"/>
      <c r="M535" s="56"/>
      <c r="N535" s="56"/>
      <c r="O535" s="56"/>
      <c r="P535" s="56"/>
      <c r="Q535" s="56"/>
      <c r="R535" s="2209"/>
      <c r="S535" s="256"/>
    </row>
    <row r="536" spans="1:19">
      <c r="A536" s="256"/>
      <c r="B536" s="56"/>
      <c r="C536" s="56"/>
      <c r="D536" s="56"/>
      <c r="E536" s="56"/>
      <c r="F536" s="56"/>
      <c r="G536" s="56"/>
      <c r="H536" s="56"/>
      <c r="I536" s="56"/>
      <c r="J536" s="56"/>
      <c r="K536" s="56"/>
      <c r="L536" s="56"/>
      <c r="M536" s="56"/>
      <c r="N536" s="56"/>
      <c r="O536" s="56"/>
      <c r="P536" s="56"/>
      <c r="Q536" s="56"/>
      <c r="R536" s="2209"/>
      <c r="S536" s="256"/>
    </row>
    <row r="537" spans="1:19">
      <c r="A537" s="256"/>
      <c r="B537" s="56"/>
      <c r="C537" s="56"/>
      <c r="D537" s="56"/>
      <c r="E537" s="56"/>
      <c r="F537" s="56"/>
      <c r="G537" s="56"/>
      <c r="H537" s="56"/>
      <c r="I537" s="56"/>
      <c r="J537" s="56"/>
      <c r="K537" s="56"/>
      <c r="L537" s="56"/>
      <c r="M537" s="56"/>
      <c r="N537" s="56"/>
      <c r="O537" s="56"/>
      <c r="P537" s="56"/>
      <c r="Q537" s="56"/>
      <c r="R537" s="2209"/>
      <c r="S537" s="256"/>
    </row>
    <row r="538" spans="1:19">
      <c r="A538" s="256"/>
      <c r="B538" s="56"/>
      <c r="C538" s="56"/>
      <c r="D538" s="56"/>
      <c r="E538" s="56"/>
      <c r="F538" s="56"/>
      <c r="G538" s="56"/>
      <c r="H538" s="56"/>
      <c r="I538" s="56"/>
      <c r="J538" s="56"/>
      <c r="K538" s="56"/>
      <c r="L538" s="56"/>
      <c r="M538" s="56"/>
      <c r="N538" s="56"/>
      <c r="O538" s="56"/>
      <c r="P538" s="56"/>
      <c r="Q538" s="56"/>
      <c r="R538" s="2209"/>
      <c r="S538" s="256"/>
    </row>
    <row r="539" spans="1:19">
      <c r="A539" s="256"/>
      <c r="B539" s="56"/>
      <c r="C539" s="56"/>
      <c r="D539" s="56"/>
      <c r="E539" s="56"/>
      <c r="F539" s="56"/>
      <c r="G539" s="56"/>
      <c r="H539" s="56"/>
      <c r="I539" s="56"/>
      <c r="J539" s="56"/>
      <c r="K539" s="56"/>
      <c r="L539" s="56"/>
      <c r="M539" s="56"/>
      <c r="N539" s="56"/>
      <c r="O539" s="56"/>
      <c r="P539" s="56"/>
      <c r="Q539" s="56"/>
      <c r="R539" s="2209"/>
      <c r="S539" s="256"/>
    </row>
    <row r="540" spans="1:19">
      <c r="A540" s="256"/>
      <c r="B540" s="56"/>
      <c r="C540" s="56"/>
      <c r="D540" s="56"/>
      <c r="E540" s="56"/>
      <c r="F540" s="56"/>
      <c r="G540" s="56"/>
      <c r="H540" s="56"/>
      <c r="I540" s="56"/>
      <c r="J540" s="56"/>
      <c r="K540" s="56"/>
      <c r="L540" s="56"/>
      <c r="M540" s="56"/>
      <c r="N540" s="56"/>
      <c r="O540" s="56"/>
      <c r="P540" s="56"/>
      <c r="Q540" s="56"/>
      <c r="R540" s="2209"/>
      <c r="S540" s="256"/>
    </row>
    <row r="541" spans="1:19">
      <c r="A541" s="256"/>
      <c r="B541" s="56"/>
      <c r="C541" s="56"/>
      <c r="D541" s="56"/>
      <c r="E541" s="56"/>
      <c r="F541" s="56"/>
      <c r="G541" s="56"/>
      <c r="H541" s="56"/>
      <c r="I541" s="56"/>
      <c r="J541" s="56"/>
      <c r="K541" s="56"/>
      <c r="L541" s="56"/>
      <c r="M541" s="56"/>
      <c r="N541" s="56"/>
      <c r="O541" s="56"/>
      <c r="P541" s="56"/>
      <c r="Q541" s="56"/>
      <c r="R541" s="2209"/>
      <c r="S541" s="256"/>
    </row>
    <row r="542" spans="1:19">
      <c r="A542" s="256"/>
      <c r="B542" s="56"/>
      <c r="C542" s="56"/>
      <c r="D542" s="56"/>
      <c r="E542" s="56"/>
      <c r="F542" s="56"/>
      <c r="G542" s="56"/>
      <c r="H542" s="56"/>
      <c r="I542" s="56"/>
      <c r="J542" s="56"/>
      <c r="K542" s="56"/>
      <c r="L542" s="56"/>
      <c r="M542" s="56"/>
      <c r="N542" s="56"/>
      <c r="O542" s="56"/>
      <c r="P542" s="56"/>
      <c r="Q542" s="56"/>
      <c r="R542" s="2209"/>
      <c r="S542" s="256"/>
    </row>
    <row r="543" spans="1:19">
      <c r="A543" s="256"/>
      <c r="B543" s="56"/>
      <c r="C543" s="56"/>
      <c r="D543" s="56"/>
      <c r="E543" s="56"/>
      <c r="F543" s="56"/>
      <c r="G543" s="56"/>
      <c r="H543" s="56"/>
      <c r="I543" s="56"/>
      <c r="J543" s="56"/>
      <c r="K543" s="56"/>
      <c r="L543" s="56"/>
      <c r="M543" s="56"/>
      <c r="N543" s="56"/>
      <c r="O543" s="56"/>
      <c r="P543" s="56"/>
      <c r="Q543" s="56"/>
      <c r="R543" s="2209"/>
      <c r="S543" s="256"/>
    </row>
    <row r="544" spans="1:19">
      <c r="A544" s="256"/>
      <c r="B544" s="56"/>
      <c r="C544" s="56"/>
      <c r="D544" s="56"/>
      <c r="E544" s="56"/>
      <c r="F544" s="56"/>
      <c r="G544" s="56"/>
      <c r="H544" s="56"/>
      <c r="I544" s="56"/>
      <c r="J544" s="56"/>
      <c r="K544" s="56"/>
      <c r="L544" s="56"/>
      <c r="M544" s="56"/>
      <c r="N544" s="56"/>
      <c r="O544" s="56"/>
      <c r="P544" s="56"/>
      <c r="Q544" s="56"/>
      <c r="R544" s="2209"/>
      <c r="S544" s="256"/>
    </row>
    <row r="545" spans="1:19">
      <c r="A545" s="256"/>
      <c r="B545" s="56"/>
      <c r="C545" s="56"/>
      <c r="D545" s="56"/>
      <c r="E545" s="56"/>
      <c r="F545" s="56"/>
      <c r="G545" s="56"/>
      <c r="H545" s="56"/>
      <c r="I545" s="56"/>
      <c r="J545" s="56"/>
      <c r="K545" s="56"/>
      <c r="L545" s="56"/>
      <c r="M545" s="56"/>
      <c r="N545" s="56"/>
      <c r="O545" s="56"/>
      <c r="P545" s="56"/>
      <c r="Q545" s="56"/>
      <c r="R545" s="2209"/>
      <c r="S545" s="256"/>
    </row>
    <row r="546" spans="1:19">
      <c r="A546" s="256"/>
      <c r="B546" s="56"/>
      <c r="C546" s="56"/>
      <c r="D546" s="56"/>
      <c r="E546" s="56"/>
      <c r="F546" s="56"/>
      <c r="G546" s="56"/>
      <c r="H546" s="56"/>
      <c r="I546" s="56"/>
      <c r="J546" s="56"/>
      <c r="K546" s="56"/>
      <c r="L546" s="56"/>
      <c r="M546" s="56"/>
      <c r="N546" s="56"/>
      <c r="O546" s="56"/>
      <c r="P546" s="56"/>
      <c r="Q546" s="56"/>
      <c r="R546" s="2209"/>
      <c r="S546" s="256"/>
    </row>
    <row r="547" spans="1:19">
      <c r="A547" s="256"/>
      <c r="B547" s="56"/>
      <c r="C547" s="56"/>
      <c r="D547" s="56"/>
      <c r="E547" s="56"/>
      <c r="F547" s="56"/>
      <c r="G547" s="56"/>
      <c r="H547" s="56"/>
      <c r="I547" s="56"/>
      <c r="J547" s="56"/>
      <c r="K547" s="56"/>
      <c r="L547" s="56"/>
      <c r="M547" s="56"/>
      <c r="N547" s="56"/>
      <c r="O547" s="56"/>
      <c r="P547" s="56"/>
      <c r="Q547" s="56"/>
      <c r="R547" s="2209"/>
      <c r="S547" s="256"/>
    </row>
    <row r="548" spans="1:19">
      <c r="A548" s="256"/>
      <c r="B548" s="56"/>
      <c r="C548" s="56"/>
      <c r="D548" s="56"/>
      <c r="E548" s="56"/>
      <c r="F548" s="56"/>
      <c r="G548" s="56"/>
      <c r="H548" s="56"/>
      <c r="I548" s="56"/>
      <c r="J548" s="56"/>
      <c r="K548" s="56"/>
      <c r="L548" s="56"/>
      <c r="M548" s="56"/>
      <c r="N548" s="56"/>
      <c r="O548" s="56"/>
      <c r="P548" s="56"/>
      <c r="Q548" s="56"/>
      <c r="R548" s="2209"/>
      <c r="S548" s="256"/>
    </row>
    <row r="549" spans="1:19">
      <c r="A549" s="256"/>
      <c r="B549" s="56"/>
      <c r="C549" s="56"/>
      <c r="D549" s="56"/>
      <c r="E549" s="56"/>
      <c r="F549" s="56"/>
      <c r="G549" s="56"/>
      <c r="H549" s="56"/>
      <c r="I549" s="56"/>
      <c r="J549" s="56"/>
      <c r="K549" s="56"/>
      <c r="L549" s="56"/>
      <c r="M549" s="56"/>
      <c r="N549" s="56"/>
      <c r="O549" s="56"/>
      <c r="P549" s="56"/>
      <c r="Q549" s="56"/>
      <c r="R549" s="2209"/>
      <c r="S549" s="256"/>
    </row>
    <row r="550" spans="1:19">
      <c r="A550" s="256"/>
      <c r="B550" s="56"/>
      <c r="C550" s="56"/>
      <c r="D550" s="56"/>
      <c r="E550" s="56"/>
      <c r="F550" s="56"/>
      <c r="G550" s="56"/>
      <c r="H550" s="56"/>
      <c r="I550" s="56"/>
      <c r="J550" s="56"/>
      <c r="K550" s="56"/>
      <c r="L550" s="56"/>
      <c r="M550" s="56"/>
      <c r="N550" s="56"/>
      <c r="O550" s="56"/>
      <c r="P550" s="56"/>
      <c r="Q550" s="56"/>
      <c r="R550" s="2209"/>
      <c r="S550" s="256"/>
    </row>
    <row r="551" spans="1:19">
      <c r="A551" s="256"/>
      <c r="B551" s="56"/>
      <c r="C551" s="56"/>
      <c r="D551" s="56"/>
      <c r="E551" s="56"/>
      <c r="F551" s="56"/>
      <c r="G551" s="56"/>
      <c r="H551" s="56"/>
      <c r="I551" s="56"/>
      <c r="J551" s="56"/>
      <c r="K551" s="56"/>
      <c r="L551" s="56"/>
      <c r="M551" s="56"/>
      <c r="N551" s="56"/>
      <c r="O551" s="56"/>
      <c r="P551" s="56"/>
      <c r="Q551" s="56"/>
      <c r="R551" s="2209"/>
      <c r="S551" s="256"/>
    </row>
    <row r="552" spans="1:19">
      <c r="A552" s="256"/>
      <c r="B552" s="56"/>
      <c r="C552" s="56"/>
      <c r="D552" s="56"/>
      <c r="E552" s="56"/>
      <c r="F552" s="56"/>
      <c r="G552" s="56"/>
      <c r="H552" s="56"/>
      <c r="I552" s="56"/>
      <c r="J552" s="56"/>
      <c r="K552" s="56"/>
      <c r="L552" s="56"/>
      <c r="M552" s="56"/>
      <c r="N552" s="56"/>
      <c r="O552" s="56"/>
      <c r="P552" s="56"/>
      <c r="Q552" s="56"/>
      <c r="R552" s="2209"/>
      <c r="S552" s="256"/>
    </row>
    <row r="553" spans="1:19">
      <c r="A553" s="256"/>
      <c r="B553" s="56"/>
      <c r="C553" s="56"/>
      <c r="D553" s="56"/>
      <c r="E553" s="56"/>
      <c r="F553" s="56"/>
      <c r="G553" s="56"/>
      <c r="H553" s="56"/>
      <c r="I553" s="56"/>
      <c r="J553" s="56"/>
      <c r="K553" s="56"/>
      <c r="L553" s="56"/>
      <c r="M553" s="56"/>
      <c r="N553" s="56"/>
      <c r="O553" s="56"/>
      <c r="P553" s="56"/>
      <c r="Q553" s="56"/>
      <c r="R553" s="2209"/>
      <c r="S553" s="256"/>
    </row>
    <row r="554" spans="1:19">
      <c r="A554" s="256"/>
      <c r="B554" s="56"/>
      <c r="C554" s="56"/>
      <c r="D554" s="56"/>
      <c r="E554" s="56"/>
      <c r="F554" s="56"/>
      <c r="G554" s="56"/>
      <c r="H554" s="56"/>
      <c r="I554" s="56"/>
      <c r="J554" s="56"/>
      <c r="K554" s="56"/>
      <c r="L554" s="56"/>
      <c r="M554" s="56"/>
      <c r="N554" s="56"/>
      <c r="O554" s="56"/>
      <c r="P554" s="56"/>
      <c r="Q554" s="56"/>
      <c r="R554" s="2209"/>
      <c r="S554" s="256"/>
    </row>
    <row r="555" spans="1:19">
      <c r="A555" s="256"/>
      <c r="B555" s="56"/>
      <c r="C555" s="56"/>
      <c r="D555" s="56"/>
      <c r="E555" s="56"/>
      <c r="F555" s="56"/>
      <c r="G555" s="56"/>
      <c r="H555" s="56"/>
      <c r="I555" s="56"/>
      <c r="J555" s="56"/>
      <c r="K555" s="56"/>
      <c r="L555" s="56"/>
      <c r="M555" s="56"/>
      <c r="N555" s="56"/>
      <c r="O555" s="56"/>
      <c r="P555" s="56"/>
      <c r="Q555" s="56"/>
      <c r="R555" s="2209"/>
      <c r="S555" s="256"/>
    </row>
    <row r="556" spans="1:19">
      <c r="A556" s="256"/>
      <c r="B556" s="56"/>
      <c r="C556" s="56"/>
      <c r="D556" s="56"/>
      <c r="E556" s="56"/>
      <c r="F556" s="56"/>
      <c r="G556" s="56"/>
      <c r="H556" s="56"/>
      <c r="I556" s="56"/>
      <c r="J556" s="56"/>
      <c r="K556" s="56"/>
      <c r="L556" s="56"/>
      <c r="M556" s="56"/>
      <c r="N556" s="56"/>
      <c r="O556" s="56"/>
      <c r="P556" s="56"/>
      <c r="Q556" s="56"/>
      <c r="R556" s="2209"/>
      <c r="S556" s="256"/>
    </row>
    <row r="557" spans="1:19">
      <c r="A557" s="256"/>
      <c r="B557" s="56"/>
      <c r="C557" s="56"/>
      <c r="D557" s="56"/>
      <c r="E557" s="56"/>
      <c r="F557" s="56"/>
      <c r="G557" s="56"/>
      <c r="H557" s="56"/>
      <c r="I557" s="56"/>
      <c r="J557" s="56"/>
      <c r="K557" s="56"/>
      <c r="L557" s="56"/>
      <c r="M557" s="56"/>
      <c r="N557" s="56"/>
      <c r="O557" s="56"/>
      <c r="P557" s="56"/>
      <c r="Q557" s="56"/>
      <c r="R557" s="2209"/>
      <c r="S557" s="256"/>
    </row>
    <row r="558" spans="1:19">
      <c r="A558" s="256"/>
      <c r="B558" s="56"/>
      <c r="C558" s="56"/>
      <c r="D558" s="56"/>
      <c r="E558" s="56"/>
      <c r="F558" s="56"/>
      <c r="G558" s="56"/>
      <c r="H558" s="56"/>
      <c r="I558" s="56"/>
      <c r="J558" s="56"/>
      <c r="K558" s="56"/>
      <c r="L558" s="56"/>
      <c r="M558" s="56"/>
      <c r="N558" s="56"/>
      <c r="O558" s="56"/>
      <c r="P558" s="56"/>
      <c r="Q558" s="56"/>
      <c r="R558" s="2209"/>
      <c r="S558" s="256"/>
    </row>
    <row r="559" spans="1:19">
      <c r="A559" s="256"/>
      <c r="B559" s="56"/>
      <c r="C559" s="56"/>
      <c r="D559" s="56"/>
      <c r="E559" s="56"/>
      <c r="F559" s="56"/>
      <c r="G559" s="56"/>
      <c r="H559" s="56"/>
      <c r="I559" s="56"/>
      <c r="J559" s="56"/>
      <c r="K559" s="56"/>
      <c r="L559" s="56"/>
      <c r="M559" s="56"/>
      <c r="N559" s="56"/>
      <c r="O559" s="56"/>
      <c r="P559" s="56"/>
      <c r="Q559" s="56"/>
      <c r="R559" s="2209"/>
      <c r="S559" s="256"/>
    </row>
    <row r="560" spans="1:19">
      <c r="A560" s="256"/>
      <c r="B560" s="56"/>
      <c r="C560" s="56"/>
      <c r="D560" s="56"/>
      <c r="E560" s="56"/>
      <c r="F560" s="56"/>
      <c r="G560" s="56"/>
      <c r="H560" s="56"/>
      <c r="I560" s="56"/>
      <c r="J560" s="56"/>
      <c r="K560" s="56"/>
      <c r="L560" s="56"/>
      <c r="M560" s="56"/>
      <c r="N560" s="56"/>
      <c r="O560" s="56"/>
      <c r="P560" s="56"/>
      <c r="Q560" s="56"/>
      <c r="R560" s="2209"/>
      <c r="S560" s="256"/>
    </row>
    <row r="561" spans="1:19">
      <c r="A561" s="256"/>
      <c r="B561" s="56"/>
      <c r="C561" s="56"/>
      <c r="D561" s="56"/>
      <c r="E561" s="56"/>
      <c r="F561" s="56"/>
      <c r="G561" s="56"/>
      <c r="H561" s="56"/>
      <c r="I561" s="56"/>
      <c r="J561" s="56"/>
      <c r="K561" s="56"/>
      <c r="L561" s="56"/>
      <c r="M561" s="56"/>
      <c r="N561" s="56"/>
      <c r="O561" s="56"/>
      <c r="P561" s="56"/>
      <c r="Q561" s="56"/>
      <c r="R561" s="2209"/>
      <c r="S561" s="256"/>
    </row>
    <row r="562" spans="1:19">
      <c r="A562" s="256"/>
      <c r="B562" s="56"/>
      <c r="C562" s="56"/>
      <c r="D562" s="56"/>
      <c r="E562" s="56"/>
      <c r="F562" s="56"/>
      <c r="G562" s="56"/>
      <c r="H562" s="56"/>
      <c r="I562" s="56"/>
      <c r="J562" s="56"/>
      <c r="K562" s="56"/>
      <c r="L562" s="56"/>
      <c r="M562" s="56"/>
      <c r="N562" s="56"/>
      <c r="O562" s="56"/>
      <c r="P562" s="56"/>
      <c r="Q562" s="56"/>
      <c r="R562" s="2209"/>
      <c r="S562" s="256"/>
    </row>
    <row r="563" spans="1:19">
      <c r="A563" s="256"/>
      <c r="B563" s="56"/>
      <c r="C563" s="56"/>
      <c r="D563" s="56"/>
      <c r="E563" s="56"/>
      <c r="F563" s="56"/>
      <c r="G563" s="56"/>
      <c r="H563" s="56"/>
      <c r="I563" s="56"/>
      <c r="J563" s="56"/>
      <c r="K563" s="56"/>
      <c r="L563" s="56"/>
      <c r="M563" s="56"/>
      <c r="N563" s="56"/>
      <c r="O563" s="56"/>
      <c r="P563" s="56"/>
      <c r="Q563" s="56"/>
      <c r="R563" s="2209"/>
      <c r="S563" s="256"/>
    </row>
    <row r="564" spans="1:19">
      <c r="A564" s="256"/>
      <c r="B564" s="56"/>
      <c r="C564" s="56"/>
      <c r="D564" s="56"/>
      <c r="E564" s="56"/>
      <c r="F564" s="56"/>
      <c r="G564" s="56"/>
      <c r="H564" s="56"/>
      <c r="I564" s="56"/>
      <c r="J564" s="56"/>
      <c r="K564" s="56"/>
      <c r="L564" s="56"/>
      <c r="M564" s="56"/>
      <c r="N564" s="56"/>
      <c r="O564" s="56"/>
      <c r="P564" s="56"/>
      <c r="Q564" s="56"/>
      <c r="R564" s="2209"/>
      <c r="S564" s="256"/>
    </row>
    <row r="565" spans="1:19">
      <c r="A565" s="256"/>
      <c r="B565" s="56"/>
      <c r="C565" s="56"/>
      <c r="D565" s="56"/>
      <c r="E565" s="56"/>
      <c r="F565" s="56"/>
      <c r="G565" s="56"/>
      <c r="H565" s="56"/>
      <c r="I565" s="56"/>
      <c r="J565" s="56"/>
      <c r="K565" s="56"/>
      <c r="L565" s="56"/>
      <c r="M565" s="56"/>
      <c r="N565" s="56"/>
      <c r="O565" s="56"/>
      <c r="P565" s="56"/>
      <c r="Q565" s="56"/>
      <c r="R565" s="2209"/>
      <c r="S565" s="256"/>
    </row>
    <row r="566" spans="1:19">
      <c r="A566" s="256"/>
      <c r="B566" s="56"/>
      <c r="C566" s="56"/>
      <c r="D566" s="56"/>
      <c r="E566" s="56"/>
      <c r="F566" s="56"/>
      <c r="G566" s="56"/>
      <c r="H566" s="56"/>
      <c r="I566" s="56"/>
      <c r="J566" s="56"/>
      <c r="K566" s="56"/>
      <c r="L566" s="56"/>
      <c r="M566" s="56"/>
      <c r="N566" s="56"/>
      <c r="O566" s="56"/>
      <c r="P566" s="56"/>
      <c r="Q566" s="56"/>
      <c r="R566" s="2209"/>
      <c r="S566" s="256"/>
    </row>
    <row r="567" spans="1:19">
      <c r="A567" s="256"/>
      <c r="B567" s="56"/>
      <c r="C567" s="56"/>
      <c r="D567" s="56"/>
      <c r="E567" s="56"/>
      <c r="F567" s="56"/>
      <c r="G567" s="56"/>
      <c r="H567" s="56"/>
      <c r="I567" s="56"/>
      <c r="J567" s="56"/>
      <c r="K567" s="56"/>
      <c r="L567" s="56"/>
      <c r="M567" s="56"/>
      <c r="N567" s="56"/>
      <c r="O567" s="56"/>
      <c r="P567" s="56"/>
      <c r="Q567" s="56"/>
      <c r="R567" s="2209"/>
      <c r="S567" s="256"/>
    </row>
    <row r="568" spans="1:19">
      <c r="A568" s="256"/>
      <c r="B568" s="56"/>
      <c r="C568" s="56"/>
      <c r="D568" s="56"/>
      <c r="E568" s="56"/>
      <c r="F568" s="56"/>
      <c r="G568" s="56"/>
      <c r="H568" s="56"/>
      <c r="I568" s="56"/>
      <c r="J568" s="56"/>
      <c r="K568" s="56"/>
      <c r="L568" s="56"/>
      <c r="M568" s="56"/>
      <c r="N568" s="56"/>
      <c r="O568" s="56"/>
      <c r="P568" s="56"/>
      <c r="Q568" s="56"/>
      <c r="R568" s="2209"/>
      <c r="S568" s="256"/>
    </row>
    <row r="569" spans="1:19">
      <c r="A569" s="256"/>
      <c r="B569" s="56"/>
      <c r="C569" s="56"/>
      <c r="D569" s="56"/>
      <c r="E569" s="56"/>
      <c r="F569" s="56"/>
      <c r="G569" s="56"/>
      <c r="H569" s="56"/>
      <c r="I569" s="56"/>
      <c r="J569" s="56"/>
      <c r="K569" s="56"/>
      <c r="L569" s="56"/>
      <c r="M569" s="56"/>
      <c r="N569" s="56"/>
      <c r="O569" s="56"/>
      <c r="P569" s="56"/>
      <c r="Q569" s="56"/>
      <c r="R569" s="2209"/>
      <c r="S569" s="256"/>
    </row>
    <row r="570" spans="1:19">
      <c r="A570" s="256"/>
      <c r="B570" s="56"/>
      <c r="C570" s="56"/>
      <c r="D570" s="56"/>
      <c r="E570" s="56"/>
      <c r="F570" s="56"/>
      <c r="G570" s="56"/>
      <c r="H570" s="56"/>
      <c r="I570" s="56"/>
      <c r="J570" s="56"/>
      <c r="K570" s="56"/>
      <c r="L570" s="56"/>
      <c r="M570" s="56"/>
      <c r="N570" s="56"/>
      <c r="O570" s="56"/>
      <c r="P570" s="56"/>
      <c r="Q570" s="56"/>
      <c r="R570" s="2209"/>
      <c r="S570" s="256"/>
    </row>
    <row r="571" spans="1:19">
      <c r="A571" s="256"/>
      <c r="B571" s="56"/>
      <c r="C571" s="56"/>
      <c r="D571" s="56"/>
      <c r="E571" s="56"/>
      <c r="F571" s="56"/>
      <c r="G571" s="56"/>
      <c r="H571" s="56"/>
      <c r="I571" s="56"/>
      <c r="J571" s="56"/>
      <c r="K571" s="56"/>
      <c r="L571" s="56"/>
      <c r="M571" s="56"/>
      <c r="N571" s="56"/>
      <c r="O571" s="56"/>
      <c r="P571" s="56"/>
      <c r="Q571" s="56"/>
      <c r="R571" s="2209"/>
      <c r="S571" s="256"/>
    </row>
    <row r="572" spans="1:19">
      <c r="A572" s="256"/>
      <c r="B572" s="56"/>
      <c r="C572" s="56"/>
      <c r="D572" s="56"/>
      <c r="E572" s="56"/>
      <c r="F572" s="56"/>
      <c r="G572" s="56"/>
      <c r="H572" s="56"/>
      <c r="I572" s="56"/>
      <c r="J572" s="56"/>
      <c r="K572" s="56"/>
      <c r="L572" s="56"/>
      <c r="M572" s="56"/>
      <c r="N572" s="56"/>
      <c r="O572" s="56"/>
      <c r="P572" s="56"/>
      <c r="Q572" s="56"/>
      <c r="R572" s="2209"/>
      <c r="S572" s="256"/>
    </row>
    <row r="573" spans="1:19">
      <c r="A573" s="256"/>
      <c r="B573" s="56"/>
      <c r="C573" s="56"/>
      <c r="D573" s="56"/>
      <c r="E573" s="56"/>
      <c r="F573" s="56"/>
      <c r="G573" s="56"/>
      <c r="H573" s="56"/>
      <c r="I573" s="56"/>
      <c r="J573" s="56"/>
      <c r="K573" s="56"/>
      <c r="L573" s="56"/>
      <c r="M573" s="56"/>
      <c r="N573" s="56"/>
      <c r="O573" s="56"/>
      <c r="P573" s="56"/>
      <c r="Q573" s="56"/>
      <c r="R573" s="2209"/>
      <c r="S573" s="256"/>
    </row>
    <row r="574" spans="1:19">
      <c r="A574" s="256"/>
      <c r="B574" s="56"/>
      <c r="C574" s="56"/>
      <c r="D574" s="56"/>
      <c r="E574" s="56"/>
      <c r="F574" s="56"/>
      <c r="G574" s="56"/>
      <c r="H574" s="56"/>
      <c r="I574" s="56"/>
      <c r="J574" s="56"/>
      <c r="K574" s="56"/>
      <c r="L574" s="56"/>
      <c r="M574" s="56"/>
      <c r="N574" s="56"/>
      <c r="O574" s="56"/>
      <c r="P574" s="56"/>
      <c r="Q574" s="56"/>
      <c r="R574" s="2209"/>
      <c r="S574" s="256"/>
    </row>
    <row r="575" spans="1:19">
      <c r="A575" s="256"/>
      <c r="B575" s="56"/>
      <c r="C575" s="56"/>
      <c r="D575" s="56"/>
      <c r="E575" s="56"/>
      <c r="F575" s="56"/>
      <c r="G575" s="56"/>
      <c r="H575" s="56"/>
      <c r="I575" s="56"/>
      <c r="J575" s="56"/>
      <c r="K575" s="56"/>
      <c r="L575" s="56"/>
      <c r="M575" s="56"/>
      <c r="N575" s="56"/>
      <c r="O575" s="56"/>
      <c r="P575" s="56"/>
      <c r="Q575" s="56"/>
      <c r="R575" s="2209"/>
      <c r="S575" s="256"/>
    </row>
    <row r="576" spans="1:19">
      <c r="A576" s="256"/>
      <c r="B576" s="56"/>
      <c r="C576" s="56"/>
      <c r="D576" s="56"/>
      <c r="E576" s="56"/>
      <c r="F576" s="56"/>
      <c r="G576" s="56"/>
      <c r="H576" s="56"/>
      <c r="I576" s="56"/>
      <c r="J576" s="56"/>
      <c r="K576" s="56"/>
      <c r="L576" s="56"/>
      <c r="M576" s="56"/>
      <c r="N576" s="56"/>
      <c r="O576" s="56"/>
      <c r="P576" s="56"/>
      <c r="Q576" s="56"/>
      <c r="R576" s="2209"/>
      <c r="S576" s="256"/>
    </row>
    <row r="577" spans="1:19">
      <c r="A577" s="256"/>
      <c r="B577" s="56"/>
      <c r="C577" s="56"/>
      <c r="D577" s="56"/>
      <c r="E577" s="56"/>
      <c r="F577" s="56"/>
      <c r="G577" s="56"/>
      <c r="H577" s="56"/>
      <c r="I577" s="56"/>
      <c r="J577" s="56"/>
      <c r="K577" s="56"/>
      <c r="L577" s="56"/>
      <c r="M577" s="56"/>
      <c r="N577" s="56"/>
      <c r="O577" s="56"/>
      <c r="P577" s="56"/>
      <c r="Q577" s="56"/>
      <c r="R577" s="2209"/>
      <c r="S577" s="256"/>
    </row>
    <row r="578" spans="1:19">
      <c r="A578" s="256"/>
      <c r="B578" s="56"/>
      <c r="C578" s="56"/>
      <c r="D578" s="56"/>
      <c r="E578" s="56"/>
      <c r="F578" s="56"/>
      <c r="G578" s="56"/>
      <c r="H578" s="56"/>
      <c r="I578" s="56"/>
      <c r="J578" s="56"/>
      <c r="K578" s="56"/>
      <c r="L578" s="56"/>
      <c r="M578" s="56"/>
      <c r="N578" s="56"/>
      <c r="O578" s="56"/>
      <c r="P578" s="56"/>
      <c r="Q578" s="56"/>
      <c r="R578" s="2209"/>
      <c r="S578" s="256"/>
    </row>
    <row r="579" spans="1:19">
      <c r="A579" s="256"/>
      <c r="B579" s="56"/>
      <c r="C579" s="56"/>
      <c r="D579" s="56"/>
      <c r="E579" s="56"/>
      <c r="F579" s="56"/>
      <c r="G579" s="56"/>
      <c r="H579" s="56"/>
      <c r="I579" s="56"/>
      <c r="J579" s="56"/>
      <c r="K579" s="56"/>
      <c r="L579" s="56"/>
      <c r="M579" s="56"/>
      <c r="N579" s="56"/>
      <c r="O579" s="56"/>
      <c r="P579" s="56"/>
      <c r="Q579" s="56"/>
      <c r="R579" s="2209"/>
      <c r="S579" s="256"/>
    </row>
    <row r="580" spans="1:19">
      <c r="A580" s="256"/>
      <c r="B580" s="56"/>
      <c r="C580" s="56"/>
      <c r="D580" s="56"/>
      <c r="E580" s="56"/>
      <c r="F580" s="56"/>
      <c r="G580" s="56"/>
      <c r="H580" s="56"/>
      <c r="I580" s="56"/>
      <c r="J580" s="56"/>
      <c r="K580" s="56"/>
      <c r="L580" s="56"/>
      <c r="M580" s="56"/>
      <c r="N580" s="56"/>
      <c r="O580" s="56"/>
      <c r="P580" s="56"/>
      <c r="Q580" s="56"/>
      <c r="R580" s="2209"/>
      <c r="S580" s="256"/>
    </row>
    <row r="581" spans="1:19">
      <c r="A581" s="256"/>
      <c r="B581" s="56"/>
      <c r="C581" s="56"/>
      <c r="D581" s="56"/>
      <c r="E581" s="56"/>
      <c r="F581" s="56"/>
      <c r="G581" s="56"/>
      <c r="H581" s="56"/>
      <c r="I581" s="56"/>
      <c r="J581" s="56"/>
      <c r="K581" s="56"/>
      <c r="L581" s="56"/>
      <c r="M581" s="56"/>
      <c r="N581" s="56"/>
      <c r="O581" s="56"/>
      <c r="P581" s="56"/>
      <c r="Q581" s="56"/>
      <c r="R581" s="2209"/>
      <c r="S581" s="256"/>
    </row>
    <row r="582" spans="1:19">
      <c r="A582" s="256"/>
      <c r="B582" s="56"/>
      <c r="C582" s="56"/>
      <c r="D582" s="56"/>
      <c r="E582" s="56"/>
      <c r="F582" s="56"/>
      <c r="G582" s="56"/>
      <c r="H582" s="56"/>
      <c r="I582" s="56"/>
      <c r="J582" s="56"/>
      <c r="K582" s="56"/>
      <c r="L582" s="56"/>
      <c r="M582" s="56"/>
      <c r="N582" s="56"/>
      <c r="O582" s="56"/>
      <c r="P582" s="56"/>
      <c r="Q582" s="56"/>
      <c r="R582" s="2209"/>
      <c r="S582" s="256"/>
    </row>
    <row r="583" spans="1:19">
      <c r="A583" s="256"/>
      <c r="B583" s="56"/>
      <c r="C583" s="56"/>
      <c r="D583" s="56"/>
      <c r="E583" s="56"/>
      <c r="F583" s="56"/>
      <c r="G583" s="56"/>
      <c r="H583" s="56"/>
      <c r="I583" s="56"/>
      <c r="J583" s="56"/>
      <c r="K583" s="56"/>
      <c r="L583" s="56"/>
      <c r="M583" s="56"/>
      <c r="N583" s="56"/>
      <c r="O583" s="56"/>
      <c r="P583" s="56"/>
      <c r="Q583" s="56"/>
      <c r="R583" s="2209"/>
      <c r="S583" s="256"/>
    </row>
    <row r="584" spans="1:19">
      <c r="A584" s="256"/>
      <c r="B584" s="56"/>
      <c r="C584" s="56"/>
      <c r="D584" s="56"/>
      <c r="E584" s="56"/>
      <c r="F584" s="56"/>
      <c r="G584" s="56"/>
      <c r="H584" s="56"/>
      <c r="I584" s="56"/>
      <c r="J584" s="56"/>
      <c r="K584" s="56"/>
      <c r="L584" s="56"/>
      <c r="M584" s="56"/>
      <c r="N584" s="56"/>
      <c r="O584" s="56"/>
      <c r="P584" s="56"/>
      <c r="Q584" s="56"/>
      <c r="R584" s="2209"/>
      <c r="S584" s="256"/>
    </row>
    <row r="585" spans="1:19">
      <c r="A585" s="256"/>
      <c r="B585" s="56"/>
      <c r="C585" s="56"/>
      <c r="D585" s="56"/>
      <c r="E585" s="56"/>
      <c r="F585" s="56"/>
      <c r="G585" s="56"/>
      <c r="H585" s="56"/>
      <c r="I585" s="56"/>
      <c r="J585" s="56"/>
      <c r="K585" s="56"/>
      <c r="L585" s="56"/>
      <c r="M585" s="56"/>
      <c r="N585" s="56"/>
      <c r="O585" s="56"/>
      <c r="P585" s="56"/>
      <c r="Q585" s="56"/>
      <c r="R585" s="2209"/>
      <c r="S585" s="256"/>
    </row>
    <row r="586" spans="1:19">
      <c r="A586" s="256"/>
      <c r="B586" s="56"/>
      <c r="C586" s="56"/>
      <c r="D586" s="56"/>
      <c r="E586" s="56"/>
      <c r="F586" s="56"/>
      <c r="G586" s="56"/>
      <c r="H586" s="56"/>
      <c r="I586" s="56"/>
      <c r="J586" s="56"/>
      <c r="K586" s="56"/>
      <c r="L586" s="56"/>
      <c r="M586" s="56"/>
      <c r="N586" s="56"/>
      <c r="O586" s="56"/>
      <c r="P586" s="56"/>
      <c r="Q586" s="56"/>
      <c r="R586" s="2209"/>
      <c r="S586" s="256"/>
    </row>
    <row r="587" spans="1:19">
      <c r="A587" s="256"/>
      <c r="B587" s="56"/>
      <c r="C587" s="56"/>
      <c r="D587" s="56"/>
      <c r="E587" s="56"/>
      <c r="F587" s="56"/>
      <c r="G587" s="56"/>
      <c r="H587" s="56"/>
      <c r="I587" s="56"/>
      <c r="J587" s="56"/>
      <c r="K587" s="56"/>
      <c r="L587" s="56"/>
      <c r="M587" s="56"/>
      <c r="N587" s="56"/>
      <c r="O587" s="56"/>
      <c r="P587" s="56"/>
      <c r="Q587" s="56"/>
      <c r="R587" s="2209"/>
      <c r="S587" s="256"/>
    </row>
    <row r="588" spans="1:19">
      <c r="A588" s="256"/>
      <c r="B588" s="56"/>
      <c r="C588" s="56"/>
      <c r="D588" s="56"/>
      <c r="E588" s="56"/>
      <c r="F588" s="56"/>
      <c r="G588" s="56"/>
      <c r="H588" s="56"/>
      <c r="I588" s="56"/>
      <c r="J588" s="56"/>
      <c r="K588" s="56"/>
      <c r="L588" s="56"/>
      <c r="M588" s="56"/>
      <c r="N588" s="56"/>
      <c r="O588" s="56"/>
      <c r="P588" s="56"/>
      <c r="Q588" s="56"/>
      <c r="R588" s="2209"/>
      <c r="S588" s="256"/>
    </row>
    <row r="589" spans="1:19">
      <c r="A589" s="256"/>
      <c r="B589" s="56"/>
      <c r="C589" s="56"/>
      <c r="D589" s="56"/>
      <c r="E589" s="56"/>
      <c r="F589" s="56"/>
      <c r="G589" s="56"/>
      <c r="H589" s="56"/>
      <c r="I589" s="56"/>
      <c r="J589" s="56"/>
      <c r="K589" s="56"/>
      <c r="L589" s="56"/>
      <c r="M589" s="56"/>
      <c r="N589" s="56"/>
      <c r="O589" s="56"/>
      <c r="P589" s="56"/>
      <c r="Q589" s="56"/>
      <c r="R589" s="2209"/>
      <c r="S589" s="256"/>
    </row>
    <row r="590" spans="1:19">
      <c r="A590" s="256"/>
      <c r="B590" s="56"/>
      <c r="C590" s="56"/>
      <c r="D590" s="56"/>
      <c r="E590" s="56"/>
      <c r="F590" s="56"/>
      <c r="G590" s="56"/>
      <c r="H590" s="56"/>
      <c r="I590" s="56"/>
      <c r="J590" s="56"/>
      <c r="K590" s="56"/>
      <c r="L590" s="56"/>
      <c r="M590" s="56"/>
      <c r="N590" s="56"/>
      <c r="O590" s="56"/>
      <c r="P590" s="56"/>
      <c r="Q590" s="56"/>
      <c r="R590" s="2209"/>
      <c r="S590" s="256"/>
    </row>
    <row r="591" spans="1:19">
      <c r="A591" s="256"/>
      <c r="B591" s="56"/>
      <c r="C591" s="56"/>
      <c r="D591" s="56"/>
      <c r="E591" s="56"/>
      <c r="F591" s="56"/>
      <c r="G591" s="56"/>
      <c r="H591" s="56"/>
      <c r="I591" s="56"/>
      <c r="J591" s="56"/>
      <c r="K591" s="56"/>
      <c r="L591" s="56"/>
      <c r="M591" s="56"/>
      <c r="N591" s="56"/>
      <c r="O591" s="56"/>
      <c r="P591" s="56"/>
      <c r="Q591" s="56"/>
      <c r="R591" s="2209"/>
      <c r="S591" s="256"/>
    </row>
    <row r="592" spans="1:19">
      <c r="A592" s="256"/>
      <c r="B592" s="56"/>
      <c r="C592" s="56"/>
      <c r="D592" s="56"/>
      <c r="E592" s="56"/>
      <c r="F592" s="56"/>
      <c r="G592" s="56"/>
      <c r="H592" s="56"/>
      <c r="I592" s="56"/>
      <c r="J592" s="56"/>
      <c r="K592" s="56"/>
      <c r="L592" s="56"/>
      <c r="M592" s="56"/>
      <c r="N592" s="56"/>
      <c r="O592" s="56"/>
      <c r="P592" s="56"/>
      <c r="Q592" s="56"/>
      <c r="R592" s="2209"/>
      <c r="S592" s="256"/>
    </row>
    <row r="593" spans="1:19">
      <c r="A593" s="256"/>
      <c r="B593" s="56"/>
      <c r="C593" s="56"/>
      <c r="D593" s="56"/>
      <c r="E593" s="56"/>
      <c r="F593" s="56"/>
      <c r="G593" s="56"/>
      <c r="H593" s="56"/>
      <c r="I593" s="56"/>
      <c r="J593" s="56"/>
      <c r="K593" s="56"/>
      <c r="L593" s="56"/>
      <c r="M593" s="56"/>
      <c r="N593" s="56"/>
      <c r="O593" s="56"/>
      <c r="P593" s="56"/>
      <c r="Q593" s="56"/>
      <c r="R593" s="2209"/>
      <c r="S593" s="256"/>
    </row>
    <row r="594" spans="1:19">
      <c r="A594" s="256"/>
      <c r="B594" s="56"/>
      <c r="C594" s="56"/>
      <c r="D594" s="56"/>
      <c r="E594" s="56"/>
      <c r="F594" s="56"/>
      <c r="G594" s="56"/>
      <c r="H594" s="56"/>
      <c r="I594" s="56"/>
      <c r="J594" s="56"/>
      <c r="K594" s="56"/>
      <c r="L594" s="56"/>
      <c r="M594" s="56"/>
      <c r="N594" s="56"/>
      <c r="O594" s="56"/>
      <c r="P594" s="56"/>
      <c r="Q594" s="56"/>
      <c r="R594" s="2209"/>
      <c r="S594" s="256"/>
    </row>
    <row r="595" spans="1:19">
      <c r="A595" s="256"/>
      <c r="B595" s="56"/>
      <c r="C595" s="56"/>
      <c r="D595" s="56"/>
      <c r="E595" s="56"/>
      <c r="F595" s="56"/>
      <c r="G595" s="56"/>
      <c r="H595" s="56"/>
      <c r="I595" s="56"/>
      <c r="J595" s="56"/>
      <c r="K595" s="56"/>
      <c r="L595" s="56"/>
      <c r="M595" s="56"/>
      <c r="N595" s="56"/>
      <c r="O595" s="56"/>
      <c r="P595" s="56"/>
      <c r="Q595" s="56"/>
      <c r="R595" s="2209"/>
      <c r="S595" s="256"/>
    </row>
    <row r="596" spans="1:19">
      <c r="A596" s="256"/>
      <c r="B596" s="56"/>
      <c r="C596" s="56"/>
      <c r="D596" s="56"/>
      <c r="E596" s="56"/>
      <c r="F596" s="56"/>
      <c r="G596" s="56"/>
      <c r="H596" s="56"/>
      <c r="I596" s="56"/>
      <c r="J596" s="56"/>
      <c r="K596" s="56"/>
      <c r="L596" s="56"/>
      <c r="M596" s="56"/>
      <c r="N596" s="56"/>
      <c r="O596" s="56"/>
      <c r="P596" s="56"/>
      <c r="Q596" s="56"/>
      <c r="R596" s="2209"/>
      <c r="S596" s="256"/>
    </row>
    <row r="597" spans="1:19">
      <c r="A597" s="256"/>
      <c r="B597" s="56"/>
      <c r="C597" s="56"/>
      <c r="D597" s="56"/>
      <c r="E597" s="56"/>
      <c r="F597" s="56"/>
      <c r="G597" s="56"/>
      <c r="H597" s="56"/>
      <c r="I597" s="56"/>
      <c r="J597" s="56"/>
      <c r="K597" s="56"/>
      <c r="L597" s="56"/>
      <c r="M597" s="56"/>
      <c r="N597" s="56"/>
      <c r="O597" s="56"/>
      <c r="P597" s="56"/>
      <c r="Q597" s="56"/>
      <c r="R597" s="2209"/>
      <c r="S597" s="256"/>
    </row>
    <row r="598" spans="1:19">
      <c r="A598" s="256"/>
      <c r="B598" s="56"/>
      <c r="C598" s="56"/>
      <c r="D598" s="56"/>
      <c r="E598" s="56"/>
      <c r="F598" s="56"/>
      <c r="G598" s="56"/>
      <c r="H598" s="56"/>
      <c r="I598" s="56"/>
      <c r="J598" s="56"/>
      <c r="K598" s="56"/>
      <c r="L598" s="56"/>
      <c r="M598" s="56"/>
      <c r="N598" s="56"/>
      <c r="O598" s="56"/>
      <c r="P598" s="56"/>
      <c r="Q598" s="56"/>
      <c r="R598" s="2209"/>
      <c r="S598" s="256"/>
    </row>
    <row r="599" spans="1:19">
      <c r="A599" s="256"/>
      <c r="B599" s="56"/>
      <c r="C599" s="56"/>
      <c r="D599" s="56"/>
      <c r="E599" s="56"/>
      <c r="F599" s="56"/>
      <c r="G599" s="56"/>
      <c r="H599" s="56"/>
      <c r="I599" s="56"/>
      <c r="J599" s="56"/>
      <c r="K599" s="56"/>
      <c r="L599" s="56"/>
      <c r="M599" s="56"/>
      <c r="N599" s="56"/>
      <c r="O599" s="56"/>
      <c r="P599" s="56"/>
      <c r="Q599" s="56"/>
      <c r="R599" s="2209"/>
      <c r="S599" s="256"/>
    </row>
    <row r="600" spans="1:19">
      <c r="A600" s="256"/>
      <c r="B600" s="56"/>
      <c r="C600" s="56"/>
      <c r="D600" s="56"/>
      <c r="E600" s="56"/>
      <c r="F600" s="56"/>
      <c r="G600" s="56"/>
      <c r="H600" s="56"/>
      <c r="I600" s="56"/>
      <c r="J600" s="56"/>
      <c r="K600" s="56"/>
      <c r="L600" s="56"/>
      <c r="M600" s="56"/>
      <c r="N600" s="56"/>
      <c r="O600" s="56"/>
      <c r="P600" s="56"/>
      <c r="Q600" s="56"/>
      <c r="R600" s="2209"/>
      <c r="S600" s="256"/>
    </row>
    <row r="601" spans="1:19">
      <c r="A601" s="256"/>
      <c r="B601" s="56"/>
      <c r="C601" s="56"/>
      <c r="D601" s="56"/>
      <c r="E601" s="56"/>
      <c r="F601" s="56"/>
      <c r="G601" s="56"/>
      <c r="H601" s="56"/>
      <c r="I601" s="56"/>
      <c r="J601" s="56"/>
      <c r="K601" s="56"/>
      <c r="L601" s="56"/>
      <c r="M601" s="56"/>
      <c r="N601" s="56"/>
      <c r="O601" s="56"/>
      <c r="P601" s="56"/>
      <c r="Q601" s="56"/>
      <c r="R601" s="2209"/>
      <c r="S601" s="256"/>
    </row>
    <row r="602" spans="1:19">
      <c r="A602" s="256"/>
      <c r="B602" s="56"/>
      <c r="C602" s="56"/>
      <c r="D602" s="56"/>
      <c r="E602" s="56"/>
      <c r="F602" s="56"/>
      <c r="G602" s="56"/>
      <c r="H602" s="56"/>
      <c r="I602" s="56"/>
      <c r="J602" s="56"/>
      <c r="K602" s="56"/>
      <c r="L602" s="56"/>
      <c r="M602" s="56"/>
      <c r="N602" s="56"/>
      <c r="O602" s="56"/>
      <c r="P602" s="56"/>
      <c r="Q602" s="56"/>
      <c r="R602" s="2209"/>
      <c r="S602" s="256"/>
    </row>
    <row r="603" spans="1:19">
      <c r="A603" s="256"/>
      <c r="B603" s="56"/>
      <c r="C603" s="56"/>
      <c r="D603" s="56"/>
      <c r="E603" s="56"/>
      <c r="F603" s="56"/>
      <c r="G603" s="56"/>
      <c r="H603" s="56"/>
      <c r="I603" s="56"/>
      <c r="J603" s="56"/>
      <c r="K603" s="56"/>
      <c r="L603" s="56"/>
      <c r="M603" s="56"/>
      <c r="N603" s="56"/>
      <c r="O603" s="56"/>
      <c r="P603" s="56"/>
      <c r="Q603" s="56"/>
      <c r="R603" s="2209"/>
      <c r="S603" s="256"/>
    </row>
    <row r="604" spans="1:19">
      <c r="A604" s="256"/>
      <c r="B604" s="56"/>
      <c r="C604" s="56"/>
      <c r="D604" s="56"/>
      <c r="E604" s="56"/>
      <c r="F604" s="56"/>
      <c r="G604" s="56"/>
      <c r="H604" s="56"/>
      <c r="I604" s="56"/>
      <c r="J604" s="56"/>
      <c r="K604" s="56"/>
      <c r="L604" s="56"/>
      <c r="M604" s="56"/>
      <c r="N604" s="56"/>
      <c r="O604" s="56"/>
      <c r="P604" s="56"/>
      <c r="Q604" s="56"/>
      <c r="R604" s="2209"/>
      <c r="S604" s="256"/>
    </row>
    <row r="605" spans="1:19">
      <c r="A605" s="256"/>
      <c r="B605" s="56"/>
      <c r="C605" s="56"/>
      <c r="D605" s="56"/>
      <c r="E605" s="56"/>
      <c r="F605" s="56"/>
      <c r="G605" s="56"/>
      <c r="H605" s="56"/>
      <c r="I605" s="56"/>
      <c r="J605" s="56"/>
      <c r="K605" s="56"/>
      <c r="L605" s="56"/>
      <c r="M605" s="56"/>
      <c r="N605" s="56"/>
      <c r="O605" s="56"/>
      <c r="P605" s="56"/>
      <c r="Q605" s="56"/>
      <c r="R605" s="2209"/>
      <c r="S605" s="256"/>
    </row>
    <row r="606" spans="1:19">
      <c r="A606" s="256"/>
      <c r="B606" s="56"/>
      <c r="C606" s="56"/>
      <c r="D606" s="56"/>
      <c r="E606" s="56"/>
      <c r="F606" s="56"/>
      <c r="G606" s="56"/>
      <c r="H606" s="56"/>
      <c r="I606" s="56"/>
      <c r="J606" s="56"/>
      <c r="K606" s="56"/>
      <c r="L606" s="56"/>
      <c r="M606" s="56"/>
      <c r="N606" s="56"/>
      <c r="O606" s="56"/>
      <c r="P606" s="56"/>
      <c r="Q606" s="56"/>
      <c r="R606" s="2209"/>
      <c r="S606" s="256"/>
    </row>
    <row r="607" spans="1:19">
      <c r="A607" s="256"/>
      <c r="B607" s="56"/>
      <c r="C607" s="56"/>
      <c r="D607" s="56"/>
      <c r="E607" s="56"/>
      <c r="F607" s="56"/>
      <c r="G607" s="56"/>
      <c r="H607" s="56"/>
      <c r="I607" s="56"/>
      <c r="J607" s="56"/>
      <c r="K607" s="56"/>
      <c r="L607" s="56"/>
      <c r="M607" s="56"/>
      <c r="N607" s="56"/>
      <c r="O607" s="56"/>
      <c r="P607" s="56"/>
      <c r="Q607" s="56"/>
      <c r="R607" s="2209"/>
      <c r="S607" s="256"/>
    </row>
    <row r="608" spans="1:19">
      <c r="A608" s="256"/>
      <c r="B608" s="56"/>
      <c r="C608" s="56"/>
      <c r="D608" s="56"/>
      <c r="E608" s="56"/>
      <c r="F608" s="56"/>
      <c r="G608" s="56"/>
      <c r="H608" s="56"/>
      <c r="I608" s="56"/>
      <c r="J608" s="56"/>
      <c r="K608" s="56"/>
      <c r="L608" s="56"/>
      <c r="M608" s="56"/>
      <c r="N608" s="56"/>
      <c r="O608" s="56"/>
      <c r="P608" s="56"/>
      <c r="Q608" s="56"/>
      <c r="R608" s="2209"/>
      <c r="S608" s="256"/>
    </row>
    <row r="609" spans="1:19">
      <c r="A609" s="256"/>
      <c r="B609" s="56"/>
      <c r="C609" s="56"/>
      <c r="D609" s="56"/>
      <c r="E609" s="56"/>
      <c r="F609" s="56"/>
      <c r="G609" s="56"/>
      <c r="H609" s="56"/>
      <c r="I609" s="56"/>
      <c r="J609" s="56"/>
      <c r="K609" s="56"/>
      <c r="L609" s="56"/>
      <c r="M609" s="56"/>
      <c r="N609" s="56"/>
      <c r="O609" s="56"/>
      <c r="P609" s="56"/>
      <c r="Q609" s="56"/>
      <c r="R609" s="2209"/>
      <c r="S609" s="256"/>
    </row>
    <row r="610" spans="1:19">
      <c r="A610" s="256"/>
      <c r="B610" s="56"/>
      <c r="C610" s="56"/>
      <c r="D610" s="56"/>
      <c r="E610" s="56"/>
      <c r="F610" s="56"/>
      <c r="G610" s="56"/>
      <c r="H610" s="56"/>
      <c r="I610" s="56"/>
      <c r="J610" s="56"/>
      <c r="K610" s="56"/>
      <c r="L610" s="56"/>
      <c r="M610" s="56"/>
      <c r="N610" s="56"/>
      <c r="O610" s="56"/>
      <c r="P610" s="56"/>
      <c r="Q610" s="56"/>
      <c r="R610" s="2209"/>
      <c r="S610" s="256"/>
    </row>
    <row r="611" spans="1:19">
      <c r="A611" s="256"/>
      <c r="B611" s="56"/>
      <c r="C611" s="56"/>
      <c r="D611" s="56"/>
      <c r="E611" s="56"/>
      <c r="F611" s="56"/>
      <c r="G611" s="56"/>
      <c r="H611" s="56"/>
      <c r="I611" s="56"/>
      <c r="J611" s="56"/>
      <c r="K611" s="56"/>
      <c r="L611" s="56"/>
      <c r="M611" s="56"/>
      <c r="N611" s="56"/>
      <c r="O611" s="56"/>
      <c r="P611" s="56"/>
      <c r="Q611" s="56"/>
      <c r="R611" s="2209"/>
      <c r="S611" s="256"/>
    </row>
    <row r="612" spans="1:19">
      <c r="A612" s="256"/>
      <c r="B612" s="56"/>
      <c r="C612" s="56"/>
      <c r="D612" s="56"/>
      <c r="E612" s="56"/>
      <c r="F612" s="56"/>
      <c r="G612" s="56"/>
      <c r="H612" s="56"/>
      <c r="I612" s="56"/>
      <c r="J612" s="56"/>
      <c r="K612" s="56"/>
      <c r="L612" s="56"/>
      <c r="M612" s="56"/>
      <c r="N612" s="56"/>
      <c r="O612" s="56"/>
      <c r="P612" s="56"/>
      <c r="Q612" s="56"/>
      <c r="R612" s="2209"/>
      <c r="S612" s="256"/>
    </row>
    <row r="613" spans="1:19">
      <c r="A613" s="256"/>
      <c r="B613" s="56"/>
      <c r="C613" s="56"/>
      <c r="D613" s="56"/>
      <c r="E613" s="56"/>
      <c r="F613" s="56"/>
      <c r="G613" s="56"/>
      <c r="H613" s="56"/>
      <c r="I613" s="56"/>
      <c r="J613" s="56"/>
      <c r="K613" s="56"/>
      <c r="L613" s="56"/>
      <c r="M613" s="56"/>
      <c r="N613" s="56"/>
      <c r="O613" s="56"/>
      <c r="P613" s="56"/>
      <c r="Q613" s="56"/>
      <c r="R613" s="2209"/>
      <c r="S613" s="256"/>
    </row>
    <row r="614" spans="1:19">
      <c r="A614" s="256"/>
      <c r="B614" s="56"/>
      <c r="C614" s="56"/>
      <c r="D614" s="56"/>
      <c r="E614" s="56"/>
      <c r="F614" s="56"/>
      <c r="G614" s="56"/>
      <c r="H614" s="56"/>
      <c r="I614" s="56"/>
      <c r="J614" s="56"/>
      <c r="K614" s="56"/>
      <c r="L614" s="56"/>
      <c r="M614" s="56"/>
      <c r="N614" s="56"/>
      <c r="O614" s="56"/>
      <c r="P614" s="56"/>
      <c r="Q614" s="56"/>
      <c r="R614" s="2209"/>
      <c r="S614" s="256"/>
    </row>
    <row r="615" spans="1:19">
      <c r="A615" s="256"/>
      <c r="B615" s="56"/>
      <c r="C615" s="56"/>
      <c r="D615" s="56"/>
      <c r="E615" s="56"/>
      <c r="F615" s="56"/>
      <c r="G615" s="56"/>
      <c r="H615" s="56"/>
      <c r="I615" s="56"/>
      <c r="J615" s="56"/>
      <c r="K615" s="56"/>
      <c r="L615" s="56"/>
      <c r="M615" s="56"/>
      <c r="N615" s="56"/>
      <c r="O615" s="56"/>
      <c r="P615" s="56"/>
      <c r="Q615" s="56"/>
      <c r="R615" s="2209"/>
      <c r="S615" s="256"/>
    </row>
    <row r="616" spans="1:19">
      <c r="A616" s="256"/>
      <c r="B616" s="56"/>
      <c r="C616" s="56"/>
      <c r="D616" s="56"/>
      <c r="E616" s="56"/>
      <c r="F616" s="56"/>
      <c r="G616" s="56"/>
      <c r="H616" s="56"/>
      <c r="I616" s="56"/>
      <c r="J616" s="56"/>
      <c r="K616" s="56"/>
      <c r="L616" s="56"/>
      <c r="M616" s="56"/>
      <c r="N616" s="56"/>
      <c r="O616" s="56"/>
      <c r="P616" s="56"/>
      <c r="Q616" s="56"/>
      <c r="R616" s="2209"/>
      <c r="S616" s="256"/>
    </row>
    <row r="617" spans="1:19">
      <c r="A617" s="256"/>
      <c r="B617" s="56"/>
      <c r="C617" s="56"/>
      <c r="D617" s="56"/>
      <c r="E617" s="56"/>
      <c r="F617" s="56"/>
      <c r="G617" s="56"/>
      <c r="H617" s="56"/>
      <c r="I617" s="56"/>
      <c r="J617" s="56"/>
      <c r="K617" s="56"/>
      <c r="L617" s="56"/>
      <c r="M617" s="56"/>
      <c r="N617" s="56"/>
      <c r="O617" s="56"/>
      <c r="P617" s="56"/>
      <c r="Q617" s="56"/>
      <c r="R617" s="2209"/>
      <c r="S617" s="256"/>
    </row>
    <row r="618" spans="1:19">
      <c r="A618" s="256"/>
      <c r="B618" s="56"/>
      <c r="C618" s="56"/>
      <c r="D618" s="56"/>
      <c r="E618" s="56"/>
      <c r="F618" s="56"/>
      <c r="G618" s="56"/>
      <c r="H618" s="56"/>
      <c r="I618" s="56"/>
      <c r="J618" s="56"/>
      <c r="K618" s="56"/>
      <c r="L618" s="56"/>
      <c r="M618" s="56"/>
      <c r="N618" s="56"/>
      <c r="O618" s="56"/>
      <c r="P618" s="56"/>
      <c r="Q618" s="56"/>
      <c r="R618" s="2209"/>
      <c r="S618" s="256"/>
    </row>
    <row r="619" spans="1:19">
      <c r="A619" s="256"/>
      <c r="B619" s="56"/>
      <c r="C619" s="56"/>
      <c r="D619" s="56"/>
      <c r="E619" s="56"/>
      <c r="F619" s="56"/>
      <c r="G619" s="56"/>
      <c r="H619" s="56"/>
      <c r="I619" s="56"/>
      <c r="J619" s="56"/>
      <c r="K619" s="56"/>
      <c r="L619" s="56"/>
      <c r="M619" s="56"/>
      <c r="N619" s="56"/>
      <c r="O619" s="56"/>
      <c r="P619" s="56"/>
      <c r="Q619" s="56"/>
      <c r="R619" s="2209"/>
      <c r="S619" s="256"/>
    </row>
    <row r="620" spans="1:19">
      <c r="A620" s="256"/>
      <c r="B620" s="56"/>
      <c r="C620" s="56"/>
      <c r="D620" s="56"/>
      <c r="E620" s="56"/>
      <c r="F620" s="56"/>
      <c r="G620" s="56"/>
      <c r="H620" s="56"/>
      <c r="I620" s="56"/>
      <c r="J620" s="56"/>
      <c r="K620" s="56"/>
      <c r="L620" s="56"/>
      <c r="M620" s="56"/>
      <c r="N620" s="56"/>
      <c r="O620" s="56"/>
      <c r="P620" s="56"/>
      <c r="Q620" s="56"/>
      <c r="R620" s="2209"/>
      <c r="S620" s="256"/>
    </row>
    <row r="621" spans="1:19">
      <c r="A621" s="256"/>
      <c r="B621" s="56"/>
      <c r="C621" s="56"/>
      <c r="D621" s="56"/>
      <c r="E621" s="56"/>
      <c r="F621" s="56"/>
      <c r="G621" s="56"/>
      <c r="H621" s="56"/>
      <c r="I621" s="56"/>
      <c r="J621" s="56"/>
      <c r="K621" s="56"/>
      <c r="L621" s="56"/>
      <c r="M621" s="56"/>
      <c r="N621" s="56"/>
      <c r="O621" s="56"/>
      <c r="P621" s="56"/>
      <c r="Q621" s="56"/>
      <c r="R621" s="2209"/>
      <c r="S621" s="256"/>
    </row>
    <row r="622" spans="1:19">
      <c r="A622" s="256"/>
      <c r="B622" s="56"/>
      <c r="C622" s="56"/>
      <c r="D622" s="56"/>
      <c r="E622" s="56"/>
      <c r="F622" s="56"/>
      <c r="G622" s="56"/>
      <c r="H622" s="56"/>
      <c r="I622" s="56"/>
      <c r="J622" s="56"/>
      <c r="K622" s="56"/>
      <c r="L622" s="56"/>
      <c r="M622" s="56"/>
      <c r="N622" s="56"/>
      <c r="O622" s="56"/>
      <c r="P622" s="56"/>
      <c r="Q622" s="56"/>
      <c r="R622" s="2209"/>
      <c r="S622" s="256"/>
    </row>
    <row r="623" spans="1:19">
      <c r="A623" s="256"/>
      <c r="B623" s="56"/>
      <c r="C623" s="56"/>
      <c r="D623" s="56"/>
      <c r="E623" s="56"/>
      <c r="F623" s="56"/>
      <c r="G623" s="56"/>
      <c r="H623" s="56"/>
      <c r="I623" s="56"/>
      <c r="J623" s="56"/>
      <c r="K623" s="56"/>
      <c r="L623" s="56"/>
      <c r="M623" s="56"/>
      <c r="N623" s="56"/>
      <c r="O623" s="56"/>
      <c r="P623" s="56"/>
      <c r="Q623" s="56"/>
      <c r="R623" s="2209"/>
      <c r="S623" s="256"/>
    </row>
    <row r="624" spans="1:19">
      <c r="A624" s="256"/>
      <c r="B624" s="56"/>
      <c r="C624" s="56"/>
      <c r="D624" s="56"/>
      <c r="E624" s="56"/>
      <c r="F624" s="56"/>
      <c r="G624" s="56"/>
      <c r="H624" s="56"/>
      <c r="I624" s="56"/>
      <c r="J624" s="56"/>
      <c r="K624" s="56"/>
      <c r="L624" s="56"/>
      <c r="M624" s="56"/>
      <c r="N624" s="56"/>
      <c r="O624" s="56"/>
      <c r="P624" s="56"/>
      <c r="Q624" s="56"/>
      <c r="R624" s="2209"/>
      <c r="S624" s="256"/>
    </row>
    <row r="625" spans="1:19">
      <c r="A625" s="256"/>
      <c r="B625" s="56"/>
      <c r="C625" s="56"/>
      <c r="D625" s="56"/>
      <c r="E625" s="56"/>
      <c r="F625" s="56"/>
      <c r="G625" s="56"/>
      <c r="H625" s="56"/>
      <c r="I625" s="56"/>
      <c r="J625" s="56"/>
      <c r="K625" s="56"/>
      <c r="L625" s="56"/>
      <c r="M625" s="56"/>
      <c r="N625" s="56"/>
      <c r="O625" s="56"/>
      <c r="P625" s="56"/>
      <c r="Q625" s="56"/>
      <c r="R625" s="2209"/>
      <c r="S625" s="256"/>
    </row>
    <row r="626" spans="1:19">
      <c r="A626" s="256"/>
      <c r="B626" s="56"/>
      <c r="C626" s="56"/>
      <c r="D626" s="56"/>
      <c r="E626" s="56"/>
      <c r="F626" s="56"/>
      <c r="G626" s="56"/>
      <c r="H626" s="56"/>
      <c r="I626" s="56"/>
      <c r="J626" s="56"/>
      <c r="K626" s="56"/>
      <c r="L626" s="56"/>
      <c r="M626" s="56"/>
      <c r="N626" s="56"/>
      <c r="O626" s="56"/>
      <c r="P626" s="56"/>
      <c r="Q626" s="56"/>
      <c r="R626" s="2209"/>
      <c r="S626" s="256"/>
    </row>
    <row r="627" spans="1:19">
      <c r="A627" s="256"/>
      <c r="B627" s="56"/>
      <c r="C627" s="56"/>
      <c r="D627" s="56"/>
      <c r="E627" s="56"/>
      <c r="F627" s="56"/>
      <c r="G627" s="56"/>
      <c r="H627" s="56"/>
      <c r="I627" s="56"/>
      <c r="J627" s="56"/>
      <c r="K627" s="56"/>
      <c r="L627" s="56"/>
      <c r="M627" s="56"/>
      <c r="N627" s="56"/>
      <c r="O627" s="56"/>
      <c r="P627" s="56"/>
      <c r="Q627" s="56"/>
      <c r="R627" s="2209"/>
      <c r="S627" s="256"/>
    </row>
    <row r="628" spans="1:19">
      <c r="A628" s="256"/>
      <c r="B628" s="56"/>
      <c r="C628" s="56"/>
      <c r="D628" s="56"/>
      <c r="E628" s="56"/>
      <c r="F628" s="56"/>
      <c r="G628" s="56"/>
      <c r="H628" s="56"/>
      <c r="I628" s="56"/>
      <c r="J628" s="56"/>
      <c r="K628" s="56"/>
      <c r="L628" s="56"/>
      <c r="M628" s="56"/>
      <c r="N628" s="56"/>
      <c r="O628" s="56"/>
      <c r="P628" s="56"/>
      <c r="Q628" s="56"/>
      <c r="R628" s="2209"/>
      <c r="S628" s="256"/>
    </row>
    <row r="629" spans="1:19">
      <c r="A629" s="256"/>
      <c r="B629" s="56"/>
      <c r="C629" s="56"/>
      <c r="D629" s="56"/>
      <c r="E629" s="56"/>
      <c r="F629" s="56"/>
      <c r="G629" s="56"/>
      <c r="H629" s="56"/>
      <c r="I629" s="56"/>
      <c r="J629" s="56"/>
      <c r="K629" s="56"/>
      <c r="L629" s="56"/>
      <c r="M629" s="56"/>
      <c r="N629" s="56"/>
      <c r="O629" s="56"/>
      <c r="P629" s="56"/>
      <c r="Q629" s="56"/>
      <c r="R629" s="2209"/>
      <c r="S629" s="256"/>
    </row>
    <row r="630" spans="1:19">
      <c r="A630" s="256"/>
      <c r="B630" s="56"/>
      <c r="C630" s="56"/>
      <c r="D630" s="56"/>
      <c r="E630" s="56"/>
      <c r="F630" s="56"/>
      <c r="G630" s="56"/>
      <c r="H630" s="56"/>
      <c r="I630" s="56"/>
      <c r="J630" s="56"/>
      <c r="K630" s="56"/>
      <c r="L630" s="56"/>
      <c r="M630" s="56"/>
      <c r="N630" s="56"/>
      <c r="O630" s="56"/>
      <c r="P630" s="56"/>
      <c r="Q630" s="56"/>
      <c r="R630" s="2209"/>
      <c r="S630" s="256"/>
    </row>
    <row r="631" spans="1:19">
      <c r="A631" s="256"/>
      <c r="B631" s="56"/>
      <c r="C631" s="56"/>
      <c r="D631" s="56"/>
      <c r="E631" s="56"/>
      <c r="F631" s="56"/>
      <c r="G631" s="56"/>
      <c r="H631" s="56"/>
      <c r="I631" s="56"/>
      <c r="J631" s="56"/>
      <c r="K631" s="56"/>
      <c r="L631" s="56"/>
      <c r="M631" s="56"/>
      <c r="N631" s="56"/>
      <c r="O631" s="56"/>
      <c r="P631" s="56"/>
      <c r="Q631" s="56"/>
      <c r="R631" s="2209"/>
      <c r="S631" s="256"/>
    </row>
    <row r="632" spans="1:19">
      <c r="A632" s="256"/>
      <c r="B632" s="56"/>
      <c r="C632" s="56"/>
      <c r="D632" s="56"/>
      <c r="E632" s="56"/>
      <c r="F632" s="56"/>
      <c r="G632" s="56"/>
      <c r="H632" s="56"/>
      <c r="I632" s="56"/>
      <c r="J632" s="56"/>
      <c r="K632" s="56"/>
      <c r="L632" s="56"/>
      <c r="M632" s="56"/>
      <c r="N632" s="56"/>
      <c r="O632" s="56"/>
      <c r="P632" s="56"/>
      <c r="Q632" s="56"/>
      <c r="R632" s="2209"/>
      <c r="S632" s="256"/>
    </row>
    <row r="633" spans="1:19">
      <c r="A633" s="256"/>
      <c r="B633" s="56"/>
      <c r="C633" s="56"/>
      <c r="D633" s="56"/>
      <c r="E633" s="56"/>
      <c r="F633" s="56"/>
      <c r="G633" s="56"/>
      <c r="H633" s="56"/>
      <c r="I633" s="56"/>
      <c r="J633" s="56"/>
      <c r="K633" s="56"/>
      <c r="L633" s="56"/>
      <c r="M633" s="56"/>
      <c r="N633" s="56"/>
      <c r="O633" s="56"/>
      <c r="P633" s="56"/>
      <c r="Q633" s="56"/>
      <c r="R633" s="2209"/>
      <c r="S633" s="256"/>
    </row>
    <row r="634" spans="1:19">
      <c r="A634" s="256"/>
      <c r="B634" s="56"/>
      <c r="C634" s="56"/>
      <c r="D634" s="56"/>
      <c r="E634" s="56"/>
      <c r="F634" s="56"/>
      <c r="G634" s="56"/>
      <c r="H634" s="56"/>
      <c r="I634" s="56"/>
      <c r="J634" s="56"/>
      <c r="K634" s="56"/>
      <c r="L634" s="56"/>
      <c r="M634" s="56"/>
      <c r="N634" s="56"/>
      <c r="O634" s="56"/>
      <c r="P634" s="56"/>
      <c r="Q634" s="56"/>
      <c r="R634" s="2209"/>
      <c r="S634" s="256"/>
    </row>
    <row r="635" spans="1:19">
      <c r="A635" s="256"/>
      <c r="B635" s="56"/>
      <c r="C635" s="56"/>
      <c r="D635" s="56"/>
      <c r="E635" s="56"/>
      <c r="F635" s="56"/>
      <c r="G635" s="56"/>
      <c r="H635" s="56"/>
      <c r="I635" s="56"/>
      <c r="J635" s="56"/>
      <c r="K635" s="56"/>
      <c r="L635" s="56"/>
      <c r="M635" s="56"/>
      <c r="N635" s="56"/>
      <c r="O635" s="56"/>
      <c r="P635" s="56"/>
      <c r="Q635" s="56"/>
      <c r="R635" s="2209"/>
      <c r="S635" s="256"/>
    </row>
    <row r="636" spans="1:19">
      <c r="A636" s="256"/>
      <c r="B636" s="56"/>
      <c r="C636" s="56"/>
      <c r="D636" s="56"/>
      <c r="E636" s="56"/>
      <c r="F636" s="56"/>
      <c r="G636" s="56"/>
      <c r="H636" s="56"/>
      <c r="I636" s="56"/>
      <c r="J636" s="56"/>
      <c r="K636" s="56"/>
      <c r="L636" s="56"/>
      <c r="M636" s="56"/>
      <c r="N636" s="56"/>
      <c r="O636" s="56"/>
      <c r="P636" s="56"/>
      <c r="Q636" s="56"/>
      <c r="R636" s="2209"/>
      <c r="S636" s="256"/>
    </row>
    <row r="637" spans="1:19">
      <c r="A637" s="256"/>
      <c r="B637" s="56"/>
      <c r="C637" s="56"/>
      <c r="D637" s="56"/>
      <c r="E637" s="56"/>
      <c r="F637" s="56"/>
      <c r="G637" s="56"/>
      <c r="H637" s="56"/>
      <c r="I637" s="56"/>
      <c r="J637" s="56"/>
      <c r="K637" s="56"/>
      <c r="L637" s="56"/>
      <c r="M637" s="56"/>
      <c r="N637" s="56"/>
      <c r="O637" s="56"/>
      <c r="P637" s="56"/>
      <c r="Q637" s="56"/>
      <c r="R637" s="2209"/>
      <c r="S637" s="256"/>
    </row>
    <row r="638" spans="1:19">
      <c r="A638" s="256"/>
      <c r="B638" s="56"/>
      <c r="C638" s="56"/>
      <c r="D638" s="56"/>
      <c r="E638" s="56"/>
      <c r="F638" s="56"/>
      <c r="G638" s="56"/>
      <c r="H638" s="56"/>
      <c r="I638" s="56"/>
      <c r="J638" s="56"/>
      <c r="K638" s="56"/>
      <c r="L638" s="56"/>
      <c r="M638" s="56"/>
      <c r="N638" s="56"/>
      <c r="O638" s="56"/>
      <c r="P638" s="56"/>
      <c r="Q638" s="56"/>
      <c r="R638" s="2209"/>
      <c r="S638" s="256"/>
    </row>
    <row r="639" spans="1:19">
      <c r="A639" s="256"/>
      <c r="B639" s="56"/>
      <c r="C639" s="56"/>
      <c r="D639" s="56"/>
      <c r="E639" s="56"/>
      <c r="F639" s="56"/>
      <c r="G639" s="56"/>
      <c r="H639" s="56"/>
      <c r="I639" s="56"/>
      <c r="J639" s="56"/>
      <c r="K639" s="56"/>
      <c r="L639" s="56"/>
      <c r="M639" s="56"/>
      <c r="N639" s="56"/>
      <c r="O639" s="56"/>
      <c r="P639" s="56"/>
      <c r="Q639" s="56"/>
      <c r="R639" s="2209"/>
      <c r="S639" s="256"/>
    </row>
    <row r="640" spans="1:19">
      <c r="A640" s="256"/>
      <c r="B640" s="56"/>
      <c r="C640" s="56"/>
      <c r="D640" s="56"/>
      <c r="E640" s="56"/>
      <c r="F640" s="56"/>
      <c r="G640" s="56"/>
      <c r="H640" s="56"/>
      <c r="I640" s="56"/>
      <c r="J640" s="56"/>
      <c r="K640" s="56"/>
      <c r="L640" s="56"/>
      <c r="M640" s="56"/>
      <c r="N640" s="56"/>
      <c r="O640" s="56"/>
      <c r="P640" s="56"/>
      <c r="Q640" s="56"/>
      <c r="R640" s="2209"/>
      <c r="S640" s="256"/>
    </row>
    <row r="641" spans="1:19">
      <c r="A641" s="256"/>
      <c r="B641" s="56"/>
      <c r="C641" s="56"/>
      <c r="D641" s="56"/>
      <c r="E641" s="56"/>
      <c r="F641" s="56"/>
      <c r="G641" s="56"/>
      <c r="H641" s="56"/>
      <c r="I641" s="56"/>
      <c r="J641" s="56"/>
      <c r="K641" s="56"/>
      <c r="L641" s="56"/>
      <c r="M641" s="56"/>
      <c r="N641" s="56"/>
      <c r="O641" s="56"/>
      <c r="P641" s="56"/>
      <c r="Q641" s="56"/>
      <c r="R641" s="2209"/>
      <c r="S641" s="256"/>
    </row>
    <row r="642" spans="1:19">
      <c r="A642" s="256"/>
      <c r="B642" s="56"/>
      <c r="C642" s="56"/>
      <c r="D642" s="56"/>
      <c r="E642" s="56"/>
      <c r="F642" s="56"/>
      <c r="G642" s="56"/>
      <c r="H642" s="56"/>
      <c r="I642" s="56"/>
      <c r="J642" s="56"/>
      <c r="K642" s="56"/>
      <c r="L642" s="56"/>
      <c r="M642" s="56"/>
      <c r="N642" s="56"/>
      <c r="O642" s="56"/>
      <c r="P642" s="56"/>
      <c r="Q642" s="56"/>
      <c r="R642" s="2209"/>
      <c r="S642" s="256"/>
    </row>
    <row r="643" spans="1:19">
      <c r="A643" s="256"/>
      <c r="B643" s="56"/>
      <c r="C643" s="56"/>
      <c r="D643" s="56"/>
      <c r="E643" s="56"/>
      <c r="F643" s="56"/>
      <c r="G643" s="56"/>
      <c r="H643" s="56"/>
      <c r="I643" s="56"/>
      <c r="J643" s="56"/>
      <c r="K643" s="56"/>
      <c r="L643" s="56"/>
      <c r="M643" s="56"/>
      <c r="N643" s="56"/>
      <c r="O643" s="56"/>
      <c r="P643" s="56"/>
      <c r="Q643" s="56"/>
      <c r="R643" s="2209"/>
      <c r="S643" s="256"/>
    </row>
    <row r="644" spans="1:19">
      <c r="A644" s="256"/>
      <c r="B644" s="56"/>
      <c r="C644" s="56"/>
      <c r="D644" s="56"/>
      <c r="E644" s="56"/>
      <c r="F644" s="56"/>
      <c r="G644" s="56"/>
      <c r="H644" s="56"/>
      <c r="I644" s="56"/>
      <c r="J644" s="56"/>
      <c r="K644" s="56"/>
      <c r="L644" s="56"/>
      <c r="M644" s="56"/>
      <c r="N644" s="56"/>
      <c r="O644" s="56"/>
      <c r="P644" s="56"/>
      <c r="Q644" s="56"/>
      <c r="R644" s="2209"/>
      <c r="S644" s="256"/>
    </row>
    <row r="645" spans="1:19">
      <c r="A645" s="256"/>
      <c r="B645" s="56"/>
      <c r="C645" s="56"/>
      <c r="D645" s="56"/>
      <c r="E645" s="56"/>
      <c r="F645" s="56"/>
      <c r="G645" s="56"/>
      <c r="H645" s="56"/>
      <c r="I645" s="56"/>
      <c r="J645" s="56"/>
      <c r="K645" s="56"/>
      <c r="L645" s="56"/>
      <c r="M645" s="56"/>
      <c r="N645" s="56"/>
      <c r="O645" s="56"/>
      <c r="P645" s="56"/>
      <c r="Q645" s="56"/>
      <c r="R645" s="2209"/>
      <c r="S645" s="256"/>
    </row>
    <row r="646" spans="1:19">
      <c r="A646" s="256"/>
      <c r="B646" s="56"/>
      <c r="C646" s="56"/>
      <c r="D646" s="56"/>
      <c r="E646" s="56"/>
      <c r="F646" s="56"/>
      <c r="G646" s="56"/>
      <c r="H646" s="56"/>
      <c r="I646" s="56"/>
      <c r="J646" s="56"/>
      <c r="K646" s="56"/>
      <c r="L646" s="56"/>
      <c r="M646" s="56"/>
      <c r="N646" s="56"/>
      <c r="O646" s="56"/>
      <c r="P646" s="56"/>
      <c r="Q646" s="56"/>
      <c r="R646" s="2209"/>
      <c r="S646" s="256"/>
    </row>
    <row r="647" spans="1:19">
      <c r="A647" s="256"/>
      <c r="B647" s="56"/>
      <c r="C647" s="56"/>
      <c r="D647" s="56"/>
      <c r="E647" s="56"/>
      <c r="F647" s="56"/>
      <c r="G647" s="56"/>
      <c r="H647" s="56"/>
      <c r="I647" s="56"/>
      <c r="J647" s="56"/>
      <c r="K647" s="56"/>
      <c r="L647" s="56"/>
      <c r="M647" s="56"/>
      <c r="N647" s="56"/>
      <c r="O647" s="56"/>
      <c r="P647" s="56"/>
      <c r="Q647" s="56"/>
      <c r="R647" s="2209"/>
      <c r="S647" s="256"/>
    </row>
    <row r="648" spans="1:19">
      <c r="A648" s="256"/>
      <c r="B648" s="56"/>
      <c r="C648" s="56"/>
      <c r="D648" s="56"/>
      <c r="E648" s="56"/>
      <c r="F648" s="56"/>
      <c r="G648" s="56"/>
      <c r="H648" s="56"/>
      <c r="I648" s="56"/>
      <c r="J648" s="56"/>
      <c r="K648" s="56"/>
      <c r="L648" s="56"/>
      <c r="M648" s="56"/>
      <c r="N648" s="56"/>
      <c r="O648" s="56"/>
      <c r="P648" s="56"/>
      <c r="Q648" s="56"/>
      <c r="R648" s="2209"/>
      <c r="S648" s="256"/>
    </row>
    <row r="649" spans="1:19">
      <c r="A649" s="256"/>
      <c r="B649" s="56"/>
      <c r="C649" s="56"/>
      <c r="D649" s="56"/>
      <c r="E649" s="56"/>
      <c r="F649" s="56"/>
      <c r="G649" s="56"/>
      <c r="H649" s="56"/>
      <c r="I649" s="56"/>
      <c r="J649" s="56"/>
      <c r="K649" s="56"/>
      <c r="L649" s="56"/>
      <c r="M649" s="56"/>
      <c r="N649" s="56"/>
      <c r="O649" s="56"/>
      <c r="P649" s="56"/>
      <c r="Q649" s="56"/>
      <c r="R649" s="2209"/>
      <c r="S649" s="256"/>
    </row>
    <row r="650" spans="1:19">
      <c r="A650" s="256"/>
      <c r="B650" s="56"/>
      <c r="C650" s="56"/>
      <c r="D650" s="56"/>
      <c r="E650" s="56"/>
      <c r="F650" s="56"/>
      <c r="G650" s="56"/>
      <c r="H650" s="56"/>
      <c r="I650" s="56"/>
      <c r="J650" s="56"/>
      <c r="K650" s="56"/>
      <c r="L650" s="56"/>
      <c r="M650" s="56"/>
      <c r="N650" s="56"/>
      <c r="O650" s="56"/>
      <c r="P650" s="56"/>
      <c r="Q650" s="56"/>
      <c r="R650" s="2209"/>
      <c r="S650" s="256"/>
    </row>
    <row r="651" spans="1:19">
      <c r="A651" s="256"/>
      <c r="B651" s="56"/>
      <c r="C651" s="56"/>
      <c r="D651" s="56"/>
      <c r="E651" s="56"/>
      <c r="F651" s="56"/>
      <c r="G651" s="56"/>
      <c r="H651" s="56"/>
      <c r="I651" s="56"/>
      <c r="J651" s="56"/>
      <c r="K651" s="56"/>
      <c r="L651" s="56"/>
      <c r="M651" s="56"/>
      <c r="N651" s="56"/>
      <c r="O651" s="56"/>
      <c r="P651" s="56"/>
      <c r="Q651" s="56"/>
      <c r="R651" s="2209"/>
      <c r="S651" s="256"/>
    </row>
    <row r="652" spans="1:19">
      <c r="A652" s="256"/>
      <c r="B652" s="56"/>
      <c r="C652" s="56"/>
      <c r="D652" s="56"/>
      <c r="E652" s="56"/>
      <c r="F652" s="56"/>
      <c r="G652" s="56"/>
      <c r="H652" s="56"/>
      <c r="I652" s="56"/>
      <c r="J652" s="56"/>
      <c r="K652" s="56"/>
      <c r="L652" s="56"/>
      <c r="M652" s="56"/>
      <c r="N652" s="56"/>
      <c r="O652" s="56"/>
      <c r="P652" s="56"/>
      <c r="Q652" s="56"/>
      <c r="R652" s="2209"/>
      <c r="S652" s="256"/>
    </row>
    <row r="653" spans="1:19">
      <c r="A653" s="256"/>
      <c r="B653" s="56"/>
      <c r="C653" s="56"/>
      <c r="D653" s="56"/>
      <c r="E653" s="56"/>
      <c r="F653" s="56"/>
      <c r="G653" s="56"/>
      <c r="H653" s="56"/>
      <c r="I653" s="56"/>
      <c r="J653" s="56"/>
      <c r="K653" s="56"/>
      <c r="L653" s="56"/>
      <c r="M653" s="56"/>
      <c r="N653" s="56"/>
      <c r="O653" s="56"/>
      <c r="P653" s="56"/>
      <c r="Q653" s="56"/>
      <c r="R653" s="2209"/>
      <c r="S653" s="256"/>
    </row>
    <row r="654" spans="1:19">
      <c r="A654" s="256"/>
      <c r="B654" s="56"/>
      <c r="C654" s="56"/>
      <c r="D654" s="56"/>
      <c r="E654" s="56"/>
      <c r="F654" s="56"/>
      <c r="G654" s="56"/>
      <c r="H654" s="56"/>
      <c r="I654" s="56"/>
      <c r="J654" s="56"/>
      <c r="K654" s="56"/>
      <c r="L654" s="56"/>
      <c r="M654" s="56"/>
      <c r="N654" s="56"/>
      <c r="O654" s="56"/>
      <c r="P654" s="56"/>
      <c r="Q654" s="56"/>
      <c r="R654" s="2209"/>
      <c r="S654" s="256"/>
    </row>
    <row r="655" spans="1:19">
      <c r="A655" s="256"/>
      <c r="B655" s="56"/>
      <c r="C655" s="56"/>
      <c r="D655" s="56"/>
      <c r="E655" s="56"/>
      <c r="F655" s="56"/>
      <c r="G655" s="56"/>
      <c r="H655" s="56"/>
      <c r="I655" s="56"/>
      <c r="J655" s="56"/>
      <c r="K655" s="56"/>
      <c r="L655" s="56"/>
      <c r="M655" s="56"/>
      <c r="N655" s="56"/>
      <c r="O655" s="56"/>
      <c r="P655" s="56"/>
      <c r="Q655" s="56"/>
      <c r="R655" s="2209"/>
      <c r="S655" s="256"/>
    </row>
    <row r="656" spans="1:19">
      <c r="A656" s="256"/>
      <c r="B656" s="56"/>
      <c r="C656" s="56"/>
      <c r="D656" s="56"/>
      <c r="E656" s="56"/>
      <c r="F656" s="56"/>
      <c r="G656" s="56"/>
      <c r="H656" s="56"/>
      <c r="I656" s="56"/>
      <c r="J656" s="56"/>
      <c r="K656" s="56"/>
      <c r="L656" s="56"/>
      <c r="M656" s="56"/>
      <c r="N656" s="56"/>
      <c r="O656" s="56"/>
      <c r="P656" s="56"/>
      <c r="Q656" s="56"/>
      <c r="R656" s="2209"/>
      <c r="S656" s="256"/>
    </row>
    <row r="657" spans="1:19">
      <c r="A657" s="256"/>
      <c r="B657" s="56"/>
      <c r="C657" s="56"/>
      <c r="D657" s="56"/>
      <c r="E657" s="56"/>
      <c r="F657" s="56"/>
      <c r="G657" s="56"/>
      <c r="H657" s="56"/>
      <c r="I657" s="56"/>
      <c r="J657" s="56"/>
      <c r="K657" s="56"/>
      <c r="L657" s="56"/>
      <c r="M657" s="56"/>
      <c r="N657" s="56"/>
      <c r="O657" s="56"/>
      <c r="P657" s="56"/>
      <c r="Q657" s="56"/>
      <c r="R657" s="2209"/>
      <c r="S657" s="256"/>
    </row>
    <row r="658" spans="1:19">
      <c r="A658" s="256"/>
      <c r="B658" s="56"/>
      <c r="C658" s="56"/>
      <c r="D658" s="56"/>
      <c r="E658" s="56"/>
      <c r="F658" s="56"/>
      <c r="G658" s="56"/>
      <c r="H658" s="56"/>
      <c r="I658" s="56"/>
      <c r="J658" s="56"/>
      <c r="K658" s="56"/>
      <c r="L658" s="56"/>
      <c r="M658" s="56"/>
      <c r="N658" s="56"/>
      <c r="O658" s="56"/>
      <c r="P658" s="56"/>
      <c r="Q658" s="56"/>
      <c r="R658" s="2209"/>
      <c r="S658" s="256"/>
    </row>
    <row r="659" spans="1:19">
      <c r="A659" s="256"/>
      <c r="B659" s="56"/>
      <c r="C659" s="56"/>
      <c r="D659" s="56"/>
      <c r="E659" s="56"/>
      <c r="F659" s="56"/>
      <c r="G659" s="56"/>
      <c r="H659" s="56"/>
      <c r="I659" s="56"/>
      <c r="J659" s="56"/>
      <c r="K659" s="56"/>
      <c r="L659" s="56"/>
      <c r="M659" s="56"/>
      <c r="N659" s="56"/>
      <c r="O659" s="56"/>
      <c r="P659" s="56"/>
      <c r="Q659" s="56"/>
      <c r="R659" s="2209"/>
      <c r="S659" s="256"/>
    </row>
    <row r="660" spans="1:19">
      <c r="A660" s="256"/>
      <c r="B660" s="56"/>
      <c r="C660" s="56"/>
      <c r="D660" s="56"/>
      <c r="E660" s="56"/>
      <c r="F660" s="56"/>
      <c r="G660" s="56"/>
      <c r="H660" s="56"/>
      <c r="I660" s="56"/>
      <c r="J660" s="56"/>
      <c r="K660" s="56"/>
      <c r="L660" s="56"/>
      <c r="M660" s="56"/>
      <c r="N660" s="56"/>
      <c r="O660" s="56"/>
      <c r="P660" s="56"/>
      <c r="Q660" s="56"/>
      <c r="R660" s="2209"/>
      <c r="S660" s="256"/>
    </row>
    <row r="661" spans="1:19">
      <c r="A661" s="256"/>
      <c r="B661" s="56"/>
      <c r="C661" s="56"/>
      <c r="D661" s="56"/>
      <c r="E661" s="56"/>
      <c r="F661" s="56"/>
      <c r="G661" s="56"/>
      <c r="H661" s="56"/>
      <c r="I661" s="56"/>
      <c r="J661" s="56"/>
      <c r="K661" s="56"/>
      <c r="L661" s="56"/>
      <c r="M661" s="56"/>
      <c r="N661" s="56"/>
      <c r="O661" s="56"/>
      <c r="P661" s="56"/>
      <c r="Q661" s="56"/>
      <c r="R661" s="2209"/>
      <c r="S661" s="256"/>
    </row>
    <row r="662" spans="1:19">
      <c r="A662" s="256"/>
      <c r="B662" s="56"/>
      <c r="C662" s="56"/>
      <c r="D662" s="56"/>
      <c r="E662" s="56"/>
      <c r="F662" s="56"/>
      <c r="G662" s="56"/>
      <c r="H662" s="56"/>
      <c r="I662" s="56"/>
      <c r="J662" s="56"/>
      <c r="K662" s="56"/>
      <c r="L662" s="56"/>
      <c r="M662" s="56"/>
      <c r="N662" s="56"/>
      <c r="O662" s="56"/>
      <c r="P662" s="56"/>
      <c r="Q662" s="56"/>
      <c r="R662" s="2209"/>
      <c r="S662" s="256"/>
    </row>
    <row r="663" spans="1:19">
      <c r="A663" s="256"/>
      <c r="B663" s="56"/>
      <c r="C663" s="56"/>
      <c r="D663" s="56"/>
      <c r="E663" s="56"/>
      <c r="F663" s="56"/>
      <c r="G663" s="56"/>
      <c r="H663" s="56"/>
      <c r="I663" s="56"/>
      <c r="J663" s="56"/>
      <c r="K663" s="56"/>
      <c r="L663" s="56"/>
      <c r="M663" s="56"/>
      <c r="N663" s="56"/>
      <c r="O663" s="56"/>
      <c r="P663" s="56"/>
      <c r="Q663" s="56"/>
      <c r="R663" s="2209"/>
      <c r="S663" s="256"/>
    </row>
    <row r="664" spans="1:19">
      <c r="A664" s="256"/>
      <c r="B664" s="56"/>
      <c r="C664" s="56"/>
      <c r="D664" s="56"/>
      <c r="E664" s="56"/>
      <c r="F664" s="56"/>
      <c r="G664" s="56"/>
      <c r="H664" s="56"/>
      <c r="I664" s="56"/>
      <c r="J664" s="56"/>
      <c r="K664" s="56"/>
      <c r="L664" s="56"/>
      <c r="M664" s="56"/>
      <c r="N664" s="56"/>
      <c r="O664" s="56"/>
      <c r="P664" s="56"/>
      <c r="Q664" s="56"/>
      <c r="R664" s="2209"/>
      <c r="S664" s="256"/>
    </row>
    <row r="665" spans="1:19">
      <c r="A665" s="256"/>
      <c r="B665" s="56"/>
      <c r="C665" s="56"/>
      <c r="D665" s="56"/>
      <c r="E665" s="56"/>
      <c r="F665" s="56"/>
      <c r="G665" s="56"/>
      <c r="H665" s="56"/>
      <c r="I665" s="56"/>
      <c r="J665" s="56"/>
      <c r="K665" s="56"/>
      <c r="L665" s="56"/>
      <c r="M665" s="56"/>
      <c r="N665" s="56"/>
      <c r="O665" s="56"/>
      <c r="P665" s="56"/>
      <c r="Q665" s="56"/>
      <c r="R665" s="2209"/>
      <c r="S665" s="256"/>
    </row>
    <row r="666" spans="1:19">
      <c r="A666" s="256"/>
      <c r="B666" s="56"/>
      <c r="C666" s="56"/>
      <c r="D666" s="56"/>
      <c r="E666" s="56"/>
      <c r="F666" s="56"/>
      <c r="G666" s="56"/>
      <c r="H666" s="56"/>
      <c r="I666" s="56"/>
      <c r="J666" s="56"/>
      <c r="K666" s="56"/>
      <c r="L666" s="56"/>
      <c r="M666" s="56"/>
      <c r="N666" s="56"/>
      <c r="O666" s="56"/>
      <c r="P666" s="56"/>
      <c r="Q666" s="56"/>
      <c r="R666" s="2209"/>
      <c r="S666" s="256"/>
    </row>
    <row r="667" spans="1:19">
      <c r="A667" s="256"/>
      <c r="B667" s="56"/>
      <c r="C667" s="56"/>
      <c r="D667" s="56"/>
      <c r="E667" s="56"/>
      <c r="F667" s="56"/>
      <c r="G667" s="56"/>
      <c r="H667" s="56"/>
      <c r="I667" s="56"/>
      <c r="J667" s="56"/>
      <c r="K667" s="56"/>
      <c r="L667" s="56"/>
      <c r="M667" s="56"/>
      <c r="N667" s="56"/>
      <c r="O667" s="56"/>
      <c r="P667" s="56"/>
      <c r="Q667" s="56"/>
      <c r="R667" s="2209"/>
      <c r="S667" s="256"/>
    </row>
    <row r="668" spans="1:19">
      <c r="A668" s="256"/>
      <c r="B668" s="56"/>
      <c r="C668" s="56"/>
      <c r="D668" s="56"/>
      <c r="E668" s="56"/>
      <c r="F668" s="56"/>
      <c r="G668" s="56"/>
      <c r="H668" s="56"/>
      <c r="I668" s="56"/>
      <c r="J668" s="56"/>
      <c r="K668" s="56"/>
      <c r="L668" s="56"/>
      <c r="M668" s="56"/>
      <c r="N668" s="56"/>
      <c r="O668" s="56"/>
      <c r="P668" s="56"/>
      <c r="Q668" s="56"/>
      <c r="R668" s="2209"/>
      <c r="S668" s="256"/>
    </row>
    <row r="669" spans="1:19">
      <c r="A669" s="256"/>
      <c r="B669" s="56"/>
      <c r="C669" s="56"/>
      <c r="D669" s="56"/>
      <c r="E669" s="56"/>
      <c r="F669" s="56"/>
      <c r="G669" s="56"/>
      <c r="H669" s="56"/>
      <c r="I669" s="56"/>
      <c r="J669" s="56"/>
      <c r="K669" s="56"/>
      <c r="L669" s="56"/>
      <c r="M669" s="56"/>
      <c r="N669" s="56"/>
      <c r="O669" s="56"/>
      <c r="P669" s="56"/>
      <c r="Q669" s="56"/>
      <c r="R669" s="2209"/>
      <c r="S669" s="256"/>
    </row>
    <row r="670" spans="1:19">
      <c r="A670" s="256"/>
      <c r="B670" s="56"/>
      <c r="C670" s="56"/>
      <c r="D670" s="56"/>
      <c r="E670" s="56"/>
      <c r="F670" s="56"/>
      <c r="G670" s="56"/>
      <c r="H670" s="56"/>
      <c r="I670" s="56"/>
      <c r="J670" s="56"/>
      <c r="K670" s="56"/>
      <c r="L670" s="56"/>
      <c r="M670" s="56"/>
      <c r="N670" s="56"/>
      <c r="O670" s="56"/>
      <c r="P670" s="56"/>
      <c r="Q670" s="56"/>
      <c r="R670" s="2209"/>
      <c r="S670" s="256"/>
    </row>
    <row r="671" spans="1:19">
      <c r="A671" s="256"/>
      <c r="B671" s="56"/>
      <c r="C671" s="56"/>
      <c r="D671" s="56"/>
      <c r="E671" s="56"/>
      <c r="F671" s="56"/>
      <c r="G671" s="56"/>
      <c r="H671" s="56"/>
      <c r="I671" s="56"/>
      <c r="J671" s="56"/>
      <c r="K671" s="56"/>
      <c r="L671" s="56"/>
      <c r="M671" s="56"/>
      <c r="N671" s="56"/>
      <c r="O671" s="56"/>
      <c r="P671" s="56"/>
      <c r="Q671" s="56"/>
      <c r="R671" s="2209"/>
      <c r="S671" s="256"/>
    </row>
    <row r="672" spans="1:19">
      <c r="A672" s="256"/>
      <c r="B672" s="56"/>
      <c r="C672" s="56"/>
      <c r="D672" s="56"/>
      <c r="E672" s="56"/>
      <c r="F672" s="56"/>
      <c r="G672" s="56"/>
      <c r="H672" s="56"/>
      <c r="I672" s="56"/>
      <c r="J672" s="56"/>
      <c r="K672" s="56"/>
      <c r="L672" s="56"/>
      <c r="M672" s="56"/>
      <c r="N672" s="56"/>
      <c r="O672" s="56"/>
      <c r="P672" s="56"/>
      <c r="Q672" s="56"/>
      <c r="R672" s="2209"/>
      <c r="S672" s="256"/>
    </row>
    <row r="673" spans="1:19">
      <c r="A673" s="256"/>
      <c r="B673" s="56"/>
      <c r="C673" s="56"/>
      <c r="D673" s="56"/>
      <c r="E673" s="56"/>
      <c r="F673" s="56"/>
      <c r="G673" s="56"/>
      <c r="H673" s="56"/>
      <c r="I673" s="56"/>
      <c r="J673" s="56"/>
      <c r="K673" s="56"/>
      <c r="L673" s="56"/>
      <c r="M673" s="56"/>
      <c r="N673" s="56"/>
      <c r="O673" s="56"/>
      <c r="P673" s="56"/>
      <c r="Q673" s="56"/>
      <c r="R673" s="2209"/>
      <c r="S673" s="256"/>
    </row>
    <row r="674" spans="1:19">
      <c r="A674" s="256"/>
      <c r="B674" s="56"/>
      <c r="C674" s="56"/>
      <c r="D674" s="56"/>
      <c r="E674" s="56"/>
      <c r="F674" s="56"/>
      <c r="G674" s="56"/>
      <c r="H674" s="56"/>
      <c r="I674" s="56"/>
      <c r="J674" s="56"/>
      <c r="K674" s="56"/>
      <c r="L674" s="56"/>
      <c r="M674" s="56"/>
      <c r="N674" s="56"/>
      <c r="O674" s="56"/>
      <c r="P674" s="56"/>
      <c r="Q674" s="56"/>
      <c r="R674" s="2209"/>
      <c r="S674" s="256"/>
    </row>
    <row r="675" spans="1:19">
      <c r="A675" s="256"/>
      <c r="B675" s="56"/>
      <c r="C675" s="56"/>
      <c r="D675" s="56"/>
      <c r="E675" s="56"/>
      <c r="F675" s="56"/>
      <c r="G675" s="56"/>
      <c r="H675" s="56"/>
      <c r="I675" s="56"/>
      <c r="J675" s="56"/>
      <c r="K675" s="56"/>
      <c r="L675" s="56"/>
      <c r="M675" s="56"/>
      <c r="N675" s="56"/>
      <c r="O675" s="56"/>
      <c r="P675" s="56"/>
      <c r="Q675" s="56"/>
      <c r="R675" s="2209"/>
      <c r="S675" s="256"/>
    </row>
    <row r="676" spans="1:19">
      <c r="A676" s="256"/>
      <c r="B676" s="56"/>
      <c r="C676" s="56"/>
      <c r="D676" s="56"/>
      <c r="E676" s="56"/>
      <c r="F676" s="56"/>
      <c r="G676" s="56"/>
      <c r="H676" s="56"/>
      <c r="I676" s="56"/>
      <c r="J676" s="56"/>
      <c r="K676" s="56"/>
      <c r="L676" s="56"/>
      <c r="M676" s="56"/>
      <c r="N676" s="56"/>
      <c r="O676" s="56"/>
      <c r="P676" s="56"/>
      <c r="Q676" s="56"/>
      <c r="R676" s="2209"/>
      <c r="S676" s="256"/>
    </row>
    <row r="677" spans="1:19">
      <c r="A677" s="256"/>
      <c r="B677" s="56"/>
      <c r="C677" s="56"/>
      <c r="D677" s="56"/>
      <c r="E677" s="56"/>
      <c r="F677" s="56"/>
      <c r="G677" s="56"/>
      <c r="H677" s="56"/>
      <c r="I677" s="56"/>
      <c r="J677" s="56"/>
      <c r="K677" s="56"/>
      <c r="L677" s="56"/>
      <c r="M677" s="56"/>
      <c r="N677" s="56"/>
      <c r="O677" s="56"/>
      <c r="P677" s="56"/>
      <c r="Q677" s="56"/>
      <c r="R677" s="2209"/>
      <c r="S677" s="256"/>
    </row>
    <row r="678" spans="1:19">
      <c r="A678" s="256"/>
      <c r="B678" s="56"/>
      <c r="C678" s="56"/>
      <c r="D678" s="56"/>
      <c r="E678" s="56"/>
      <c r="F678" s="56"/>
      <c r="G678" s="56"/>
      <c r="H678" s="56"/>
      <c r="I678" s="56"/>
      <c r="J678" s="56"/>
      <c r="K678" s="56"/>
      <c r="L678" s="56"/>
      <c r="M678" s="56"/>
      <c r="N678" s="56"/>
      <c r="O678" s="56"/>
      <c r="P678" s="56"/>
      <c r="Q678" s="56"/>
      <c r="R678" s="2209"/>
      <c r="S678" s="256"/>
    </row>
    <row r="679" spans="1:19">
      <c r="A679" s="256"/>
      <c r="B679" s="56"/>
      <c r="C679" s="56"/>
      <c r="D679" s="56"/>
      <c r="E679" s="56"/>
      <c r="F679" s="56"/>
      <c r="G679" s="56"/>
      <c r="H679" s="56"/>
      <c r="I679" s="56"/>
      <c r="J679" s="56"/>
      <c r="K679" s="56"/>
      <c r="L679" s="56"/>
      <c r="M679" s="56"/>
      <c r="N679" s="56"/>
      <c r="O679" s="56"/>
      <c r="P679" s="56"/>
      <c r="Q679" s="56"/>
      <c r="R679" s="2209"/>
      <c r="S679" s="256"/>
    </row>
    <row r="680" spans="1:19">
      <c r="A680" s="256"/>
      <c r="B680" s="56"/>
      <c r="C680" s="56"/>
      <c r="D680" s="56"/>
      <c r="E680" s="56"/>
      <c r="F680" s="56"/>
      <c r="G680" s="56"/>
      <c r="H680" s="56"/>
      <c r="I680" s="56"/>
      <c r="J680" s="56"/>
      <c r="K680" s="56"/>
      <c r="L680" s="56"/>
      <c r="M680" s="56"/>
      <c r="N680" s="56"/>
      <c r="O680" s="56"/>
      <c r="P680" s="56"/>
      <c r="Q680" s="56"/>
      <c r="R680" s="2209"/>
      <c r="S680" s="256"/>
    </row>
    <row r="681" spans="1:19">
      <c r="A681" s="256"/>
      <c r="B681" s="56"/>
      <c r="C681" s="56"/>
      <c r="D681" s="56"/>
      <c r="E681" s="56"/>
      <c r="F681" s="56"/>
      <c r="G681" s="56"/>
      <c r="H681" s="56"/>
      <c r="I681" s="56"/>
      <c r="J681" s="56"/>
      <c r="K681" s="56"/>
      <c r="L681" s="56"/>
      <c r="M681" s="56"/>
      <c r="N681" s="56"/>
      <c r="O681" s="56"/>
      <c r="P681" s="56"/>
      <c r="Q681" s="56"/>
      <c r="R681" s="2209"/>
      <c r="S681" s="256"/>
    </row>
    <row r="682" spans="1:19">
      <c r="A682" s="256"/>
      <c r="B682" s="56"/>
      <c r="C682" s="56"/>
      <c r="D682" s="56"/>
      <c r="E682" s="56"/>
      <c r="F682" s="56"/>
      <c r="G682" s="56"/>
      <c r="H682" s="56"/>
      <c r="I682" s="56"/>
      <c r="J682" s="56"/>
      <c r="K682" s="56"/>
      <c r="L682" s="56"/>
      <c r="M682" s="56"/>
      <c r="N682" s="56"/>
      <c r="O682" s="56"/>
      <c r="P682" s="56"/>
      <c r="Q682" s="56"/>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43630</v>
      </c>
      <c r="H1" s="2891">
        <f>IF(C1&gt;C13,0,MATCH(C1,C$13:C$100,-1))+IF(SUMIF(C13:C100,C1,D13:D100)=0,13,12)</f>
        <v>13</v>
      </c>
      <c r="I1" s="2891">
        <f ca="1">MATCH(C2,H3:H7,1)+IF(SUMIF(H3:H7,C2,I3:I7)=0,2,1)</f>
        <v>6</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5</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4:J34"/>
  <sheetViews>
    <sheetView workbookViewId="0">
      <selection activeCell="K25" sqref="K25"/>
    </sheetView>
  </sheetViews>
  <sheetFormatPr defaultRowHeight="13.5"/>
  <cols>
    <col min="10" max="10" width="11.125" customWidth="1"/>
  </cols>
  <sheetData>
    <row r="14" spans="9:9">
      <c r="I14" s="3206" t="s">
        <v>3056</v>
      </c>
    </row>
    <row r="15" spans="9:9">
      <c r="I15">
        <v>9000</v>
      </c>
    </row>
    <row r="16" spans="9:9">
      <c r="I16">
        <v>9000</v>
      </c>
    </row>
    <row r="17" spans="9:9">
      <c r="I17">
        <v>8547.7759999999998</v>
      </c>
    </row>
    <row r="18" spans="9:9">
      <c r="I18">
        <v>3400</v>
      </c>
    </row>
    <row r="19" spans="9:9">
      <c r="I19">
        <v>9000</v>
      </c>
    </row>
    <row r="20" spans="9:9">
      <c r="I20">
        <v>2800</v>
      </c>
    </row>
    <row r="21" spans="9:9">
      <c r="I21">
        <v>9000</v>
      </c>
    </row>
    <row r="22" spans="9:9">
      <c r="I22">
        <v>9000</v>
      </c>
    </row>
    <row r="23" spans="9:9">
      <c r="I23">
        <v>2800</v>
      </c>
    </row>
    <row r="24" spans="9:9">
      <c r="I24">
        <v>9000</v>
      </c>
    </row>
    <row r="25" spans="9:9">
      <c r="I25">
        <v>2000</v>
      </c>
    </row>
    <row r="26" spans="9:9">
      <c r="I26">
        <v>2000</v>
      </c>
    </row>
    <row r="27" spans="9:9">
      <c r="I27">
        <v>6000</v>
      </c>
    </row>
    <row r="28" spans="9:9">
      <c r="I28">
        <v>5000</v>
      </c>
    </row>
    <row r="29" spans="9:9">
      <c r="I29">
        <v>2000</v>
      </c>
    </row>
    <row r="30" spans="9:9">
      <c r="I30">
        <v>3000</v>
      </c>
    </row>
    <row r="31" spans="9:9">
      <c r="I31">
        <v>4000</v>
      </c>
    </row>
    <row r="32" spans="9:9">
      <c r="I32">
        <v>8200</v>
      </c>
    </row>
    <row r="33" spans="9:10">
      <c r="I33">
        <v>3000</v>
      </c>
    </row>
    <row r="34" spans="9:10">
      <c r="I34">
        <f>SUM(I15:I33)</f>
        <v>106747.776</v>
      </c>
      <c r="J34">
        <f>I34*0.03</f>
        <v>3202.4332799999997</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2037</v>
      </c>
      <c r="B1" s="3209"/>
      <c r="C1" s="3209"/>
      <c r="D1" s="3209"/>
      <c r="E1" s="3209"/>
      <c r="F1" s="3209"/>
      <c r="G1" s="3209"/>
      <c r="H1" s="3209"/>
      <c r="I1" s="3209"/>
      <c r="J1" s="3209"/>
      <c r="K1" s="3209"/>
      <c r="L1" s="3209"/>
      <c r="M1" s="3209"/>
      <c r="N1" s="3209"/>
      <c r="O1" s="3209"/>
      <c r="P1" s="3209"/>
      <c r="Q1" s="3209"/>
      <c r="R1" s="3209"/>
    </row>
    <row r="2" spans="1:18">
      <c r="A2" s="1790" t="s">
        <v>2039</v>
      </c>
      <c r="B2" s="1790"/>
      <c r="C2" s="1790"/>
      <c r="D2" s="1790"/>
      <c r="E2" s="1790"/>
      <c r="F2" s="1790"/>
      <c r="G2" s="1790"/>
      <c r="H2" s="1790"/>
      <c r="I2" s="1791"/>
      <c r="J2" s="1791"/>
      <c r="K2" s="1792" t="str">
        <f>"估价期日："&amp;TEXT(项目基本情况!D3,"yyyy年m月d日;;")</f>
        <v>估价期日：2019年6月14日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0" t="s">
        <v>2028</v>
      </c>
      <c r="B3" s="3210" t="s">
        <v>2729</v>
      </c>
      <c r="C3" s="3211" t="s">
        <v>2029</v>
      </c>
      <c r="D3" s="3210" t="s">
        <v>2733</v>
      </c>
      <c r="E3" s="3213" t="s">
        <v>2030</v>
      </c>
      <c r="F3" s="3213"/>
      <c r="G3" s="3213"/>
      <c r="H3" s="3213" t="s">
        <v>2031</v>
      </c>
      <c r="I3" s="3213"/>
      <c r="J3" s="3213"/>
      <c r="K3" s="3211" t="s">
        <v>2032</v>
      </c>
      <c r="L3" s="3211" t="s">
        <v>2033</v>
      </c>
      <c r="M3" s="3210" t="s">
        <v>2730</v>
      </c>
      <c r="N3" s="3212" t="str">
        <f>"（分摊）"&amp;项目基本情况!B16&amp;"国有建设用地使用权面积/㎡"</f>
        <v>（分摊）出让国有建设用地使用权面积/㎡</v>
      </c>
      <c r="O3" s="3210" t="s">
        <v>2062</v>
      </c>
      <c r="P3" s="3211" t="s">
        <v>2042</v>
      </c>
      <c r="Q3" s="3211" t="s">
        <v>2063</v>
      </c>
      <c r="R3" s="3211" t="s">
        <v>2034</v>
      </c>
    </row>
    <row r="4" spans="1:18" ht="36.75" customHeight="1">
      <c r="A4" s="3210"/>
      <c r="B4" s="3210"/>
      <c r="C4" s="3211"/>
      <c r="D4" s="3210"/>
      <c r="E4" s="2611" t="s">
        <v>2041</v>
      </c>
      <c r="F4" s="2611" t="s">
        <v>2742</v>
      </c>
      <c r="G4" s="2611" t="s">
        <v>2035</v>
      </c>
      <c r="H4" s="2611" t="s">
        <v>2036</v>
      </c>
      <c r="I4" s="2611" t="s">
        <v>2743</v>
      </c>
      <c r="J4" s="2611" t="s">
        <v>2035</v>
      </c>
      <c r="K4" s="3211"/>
      <c r="L4" s="3211"/>
      <c r="M4" s="3210"/>
      <c r="N4" s="3212"/>
      <c r="O4" s="3210"/>
      <c r="P4" s="3211"/>
      <c r="Q4" s="3211"/>
      <c r="R4" s="3211"/>
    </row>
    <row r="5" spans="1:18" ht="135" customHeight="1">
      <c r="A5" s="1926" t="s">
        <v>2653</v>
      </c>
      <c r="B5" s="2820" t="s">
        <v>2651</v>
      </c>
      <c r="C5" s="2610">
        <v>22</v>
      </c>
      <c r="D5" s="2609" t="s">
        <v>2652</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285760.2</v>
      </c>
      <c r="O5" s="1793">
        <f>项目基本情况!C21</f>
        <v>939662.47000000009</v>
      </c>
      <c r="P5" s="1793">
        <f ca="1">结果表!E42</f>
        <v>12235</v>
      </c>
      <c r="Q5" s="1793">
        <f ca="1">结果表!D42</f>
        <v>3721</v>
      </c>
      <c r="R5" s="1794">
        <f ca="1">结果表!C42</f>
        <v>349624</v>
      </c>
    </row>
    <row r="6" spans="1:18">
      <c r="A6" s="3214" t="str">
        <f>IF(项目基本情况!B9="市场价格","——","抵押价格")</f>
        <v>——</v>
      </c>
      <c r="B6" s="3215"/>
      <c r="C6" s="3215"/>
      <c r="D6" s="3215"/>
      <c r="E6" s="3215"/>
      <c r="F6" s="3215"/>
      <c r="G6" s="3215"/>
      <c r="H6" s="3215"/>
      <c r="I6" s="3215"/>
      <c r="J6" s="3215"/>
      <c r="K6" s="3215"/>
      <c r="L6" s="3215"/>
      <c r="M6" s="3215"/>
      <c r="N6" s="3215"/>
      <c r="O6" s="3215"/>
      <c r="P6" s="3215"/>
      <c r="Q6" s="3216"/>
      <c r="R6" s="1795" t="str">
        <f>结果表!O39</f>
        <v>——</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5"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7" t="s">
        <v>2064</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2065</v>
      </c>
      <c r="B5" s="3220"/>
      <c r="C5" s="3220"/>
      <c r="D5" s="3220"/>
    </row>
    <row r="6" spans="1:4">
      <c r="A6" s="3217" t="s">
        <v>2043</v>
      </c>
      <c r="B6" s="3217"/>
      <c r="C6" s="3217"/>
      <c r="D6" s="3217"/>
    </row>
    <row r="7" spans="1:4" ht="33" customHeight="1">
      <c r="A7" s="3217" t="s">
        <v>2574</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2067</v>
      </c>
      <c r="B12" s="3220"/>
      <c r="C12" s="3220"/>
      <c r="D12" s="3220"/>
    </row>
    <row r="13" spans="1:4">
      <c r="A13" s="3218" t="s">
        <v>2744</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2700</v>
      </c>
      <c r="B17" s="3217"/>
      <c r="C17" s="3217"/>
      <c r="D17" s="3217"/>
    </row>
    <row r="18" spans="1:4">
      <c r="A18" s="3217" t="s">
        <v>2692</v>
      </c>
      <c r="B18" s="3217"/>
      <c r="C18" s="3217"/>
      <c r="D18" s="3217"/>
    </row>
    <row r="19" spans="1:4">
      <c r="A19" s="2821" t="s">
        <v>2693</v>
      </c>
      <c r="B19" s="2821" t="s">
        <v>2694</v>
      </c>
      <c r="C19" s="2821" t="s">
        <v>2695</v>
      </c>
      <c r="D19" s="2821" t="s">
        <v>2696</v>
      </c>
    </row>
    <row r="20" spans="1:4">
      <c r="A20" s="2821" t="str">
        <f>项目基本情况!B4</f>
        <v>土地估价师</v>
      </c>
      <c r="B20" s="2821">
        <f>项目基本情况!C4</f>
        <v>0</v>
      </c>
      <c r="C20" s="2823"/>
      <c r="D20" s="1783" t="s">
        <v>2701</v>
      </c>
    </row>
    <row r="21" spans="1:4">
      <c r="A21" s="2821" t="str">
        <f>项目基本情况!D4</f>
        <v>土地估价师</v>
      </c>
      <c r="B21" s="2821">
        <f>项目基本情况!E4</f>
        <v>0</v>
      </c>
      <c r="C21" s="2823"/>
      <c r="D21" s="1783" t="s">
        <v>2702</v>
      </c>
    </row>
    <row r="23" spans="1:4">
      <c r="A23" s="3217" t="s">
        <v>2697</v>
      </c>
      <c r="B23" s="3217"/>
      <c r="C23" s="3217"/>
      <c r="D23" s="3217"/>
    </row>
    <row r="24" spans="1:4">
      <c r="A24" s="2821" t="s">
        <v>2693</v>
      </c>
      <c r="B24" s="2821" t="s">
        <v>2698</v>
      </c>
      <c r="C24" s="2821" t="s">
        <v>2695</v>
      </c>
      <c r="D24" s="2821" t="s">
        <v>2696</v>
      </c>
    </row>
    <row r="25" spans="1:4">
      <c r="A25" s="2824" t="s">
        <v>2699</v>
      </c>
      <c r="B25" s="2821" t="s">
        <v>951</v>
      </c>
      <c r="C25" s="2823"/>
      <c r="D25" s="1783" t="s">
        <v>2702</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29" t="s">
        <v>53</v>
      </c>
      <c r="B15" s="3230" t="s">
        <v>845</v>
      </c>
      <c r="C15" s="3226"/>
    </row>
    <row r="16" spans="1:7" ht="14.25">
      <c r="A16" s="3229"/>
      <c r="B16" s="3227" t="s">
        <v>54</v>
      </c>
      <c r="C16" s="1165" t="s">
        <v>53</v>
      </c>
    </row>
    <row r="17" spans="1:3" ht="14.25">
      <c r="A17" s="3229"/>
      <c r="B17" s="3227"/>
      <c r="C17" s="1165" t="s">
        <v>55</v>
      </c>
    </row>
    <row r="18" spans="1:3" ht="14.25">
      <c r="A18" s="3229"/>
      <c r="B18" s="3227"/>
      <c r="C18" s="1165" t="s">
        <v>56</v>
      </c>
    </row>
    <row r="19" spans="1:3" ht="14.25">
      <c r="A19" s="3229"/>
      <c r="B19" s="3225" t="s">
        <v>57</v>
      </c>
      <c r="C19" s="3226"/>
    </row>
    <row r="20" spans="1:3" ht="14.25">
      <c r="A20" s="1166" t="s">
        <v>58</v>
      </c>
      <c r="B20" s="1167"/>
      <c r="C20" s="1168"/>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69" t="s">
        <v>836</v>
      </c>
    </row>
    <row r="25" spans="1:3" ht="14.25">
      <c r="A25" s="3228"/>
      <c r="B25" s="3232"/>
      <c r="C25" s="1169" t="s">
        <v>837</v>
      </c>
    </row>
    <row r="26" spans="1:3" ht="14.25">
      <c r="A26" s="3228"/>
      <c r="B26" s="3232"/>
      <c r="C26" s="1169" t="s">
        <v>838</v>
      </c>
    </row>
    <row r="27" spans="1:3" ht="14.25">
      <c r="A27" s="3228"/>
      <c r="B27" s="3232"/>
      <c r="C27" s="1169" t="s">
        <v>839</v>
      </c>
    </row>
    <row r="28" spans="1:3" ht="14.25">
      <c r="A28" s="3228"/>
      <c r="B28" s="3232"/>
      <c r="C28" s="1169" t="s">
        <v>840</v>
      </c>
    </row>
    <row r="29" spans="1:3" ht="14.25">
      <c r="A29" s="3228"/>
      <c r="B29" s="3232"/>
      <c r="C29" s="1169" t="s">
        <v>841</v>
      </c>
    </row>
    <row r="30" spans="1:3" ht="14.25">
      <c r="A30" s="3228"/>
      <c r="B30" s="3232"/>
      <c r="C30" s="1169" t="s">
        <v>842</v>
      </c>
    </row>
    <row r="31" spans="1:3" ht="14.25">
      <c r="A31" s="3228"/>
      <c r="B31" s="3232"/>
      <c r="C31" s="1169" t="s">
        <v>843</v>
      </c>
    </row>
    <row r="32" spans="1:3" ht="14.25">
      <c r="A32" s="3228"/>
      <c r="B32" s="3232"/>
      <c r="C32" s="1169" t="s">
        <v>1645</v>
      </c>
    </row>
    <row r="33" spans="1:3" ht="14.25">
      <c r="A33" s="3228"/>
      <c r="B33" s="3222" t="s">
        <v>1651</v>
      </c>
      <c r="C33" s="1169" t="s">
        <v>1646</v>
      </c>
    </row>
    <row r="34" spans="1:3" ht="14.25">
      <c r="A34" s="3228"/>
      <c r="B34" s="3223"/>
      <c r="C34" s="1174" t="s">
        <v>1647</v>
      </c>
    </row>
    <row r="35" spans="1:3" ht="14.25">
      <c r="A35" s="3228"/>
      <c r="B35" s="3223"/>
      <c r="C35" s="1175" t="s">
        <v>1648</v>
      </c>
    </row>
    <row r="36" spans="1:3" ht="14.25">
      <c r="A36" s="3228"/>
      <c r="B36" s="3223"/>
      <c r="C36" s="1175" t="s">
        <v>1649</v>
      </c>
    </row>
    <row r="37" spans="1:3" ht="14.25">
      <c r="A37" s="3228"/>
      <c r="B37" s="3224"/>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43693</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2981</v>
      </c>
      <c r="B14" s="3130">
        <f ca="1">IF(C14&lt;B2,"已过期",1120040230)</f>
        <v>1120040230</v>
      </c>
      <c r="C14" s="3134">
        <v>43835</v>
      </c>
      <c r="D14" s="3135" t="s">
        <v>2982</v>
      </c>
      <c r="E14" s="3130">
        <f ca="1">IF(F14&lt;B2,"已过期",98030020)</f>
        <v>98030020</v>
      </c>
      <c r="F14" s="3133">
        <v>47118</v>
      </c>
    </row>
    <row r="15" spans="1:6" ht="20.25" customHeight="1">
      <c r="A15" s="3130" t="s">
        <v>2573</v>
      </c>
      <c r="B15" s="3130">
        <f ca="1">IF(C15&lt;B2,"已过期",1120070085)</f>
        <v>1120070085</v>
      </c>
      <c r="C15" s="3134">
        <v>43814</v>
      </c>
      <c r="D15" s="3130" t="s">
        <v>2983</v>
      </c>
      <c r="E15" s="3130">
        <f ca="1">IF(F15&lt;B2,"已过期",2004110128)</f>
        <v>2004110128</v>
      </c>
      <c r="F15" s="3136">
        <v>47118</v>
      </c>
    </row>
    <row r="16" spans="1:6" ht="20.25" customHeight="1">
      <c r="A16" s="3130" t="s">
        <v>1922</v>
      </c>
      <c r="B16" s="3130">
        <f ca="1">IF(C16&lt;B2,"已过期",1120140022)</f>
        <v>1120140022</v>
      </c>
      <c r="C16" s="3132">
        <v>44029</v>
      </c>
      <c r="D16" s="3130" t="s">
        <v>2984</v>
      </c>
      <c r="E16" s="3130">
        <f ca="1">IF(F16&lt;B2,"已过期",2008110059)</f>
        <v>2008110059</v>
      </c>
      <c r="F16" s="3133">
        <v>47177</v>
      </c>
    </row>
    <row r="17" spans="1:7" ht="20.25" customHeight="1">
      <c r="A17" s="3130"/>
      <c r="B17" s="3130"/>
      <c r="C17" s="3132"/>
      <c r="D17" s="3135" t="s">
        <v>2985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33" t="s">
        <v>1925</v>
      </c>
      <c r="B25" s="3233"/>
      <c r="C25" s="3233"/>
      <c r="D25" s="3233"/>
      <c r="E25" s="3233"/>
      <c r="F25" s="3233"/>
      <c r="G25" s="3233"/>
    </row>
    <row r="26" spans="1:7" ht="20.25" customHeight="1">
      <c r="A26" s="3234" t="s">
        <v>1926</v>
      </c>
      <c r="B26" s="3234"/>
      <c r="C26" s="3234"/>
      <c r="D26" s="3234" t="s">
        <v>1927</v>
      </c>
      <c r="E26" s="3234"/>
      <c r="F26" s="3234"/>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2943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1"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3" t="s">
        <v>759</v>
      </c>
      <c r="Q4" s="9" t="s">
        <v>92</v>
      </c>
      <c r="R4" s="1003" t="s">
        <v>2541</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877</v>
      </c>
    </row>
    <row r="6" spans="1:23">
      <c r="A6" s="8" t="s">
        <v>99</v>
      </c>
      <c r="B6" s="1142" t="s">
        <v>1639</v>
      </c>
      <c r="C6" s="1537"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2955</v>
      </c>
      <c r="C18" s="1538"/>
    </row>
    <row r="19" spans="1:3">
      <c r="A19" s="8" t="s">
        <v>120</v>
      </c>
      <c r="B19" s="3062" t="s">
        <v>2963</v>
      </c>
      <c r="C19" s="1538"/>
    </row>
    <row r="20" spans="1:3">
      <c r="A20" s="8" t="s">
        <v>121</v>
      </c>
      <c r="B20" s="8" t="s">
        <v>1640</v>
      </c>
      <c r="C20" s="1538"/>
    </row>
    <row r="21" spans="1:3">
      <c r="A21" s="8" t="s">
        <v>122</v>
      </c>
      <c r="B21" s="3062" t="s">
        <v>3008</v>
      </c>
      <c r="C21" s="1538"/>
    </row>
    <row r="22" spans="1:3">
      <c r="A22" s="8" t="s">
        <v>123</v>
      </c>
      <c r="B22" s="3062" t="s">
        <v>3009</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心怡房地产开发有限公司拟使用四川省成都市天府新区华阳街道广福社区“恒大天府半岛”居住项目七期出让国有建设用地使用权作为抵押担保物，向光大兴陇有限责任公司办理贷款手续。光大兴陇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35"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14日，在规划利用条件下、设定土地开发程度为红线外“七通”、宗地内场地，设定用途为，剩余土地使用年限为的出让国有建设用地使用权价格。</v>
      </c>
      <c r="D53" s="1750"/>
      <c r="E53" s="1750"/>
    </row>
    <row r="54" spans="1:5">
      <c r="A54" s="3235"/>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5"/>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5"/>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5"/>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2019-08-16T03:23:17Z</dcterms:modified>
</cp:coreProperties>
</file>