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s="1"/>
  <c r="D115" i="21"/>
  <c r="F38" i="21"/>
  <c r="AA38" i="21" s="1"/>
  <c r="D117" i="21"/>
  <c r="F39" i="21"/>
  <c r="AA39" i="21"/>
  <c r="D119" i="21"/>
  <c r="E119" i="21"/>
  <c r="F119" i="21"/>
  <c r="F40" i="21"/>
  <c r="AA40" i="21"/>
  <c r="D123" i="21"/>
  <c r="E123" i="21" s="1"/>
  <c r="F123" i="21" s="1"/>
  <c r="G123" i="21" s="1"/>
  <c r="H123" i="21" s="1"/>
  <c r="I123" i="21" s="1"/>
  <c r="J123" i="21" s="1"/>
  <c r="K123" i="21" s="1"/>
  <c r="L123" i="21" s="1"/>
  <c r="M123" i="21" s="1"/>
  <c r="F42" i="21"/>
  <c r="AA42" i="21" s="1"/>
  <c r="D125" i="21"/>
  <c r="F43" i="21"/>
  <c r="AA43" i="21"/>
  <c r="H44" i="21"/>
  <c r="AB44" i="21" s="1"/>
  <c r="H29" i="21"/>
  <c r="AB29" i="21" s="1"/>
  <c r="H8" i="21"/>
  <c r="AB8" i="21" s="1"/>
  <c r="H34" i="21"/>
  <c r="AB34" i="21"/>
  <c r="H36" i="21"/>
  <c r="AB36" i="21" s="1"/>
  <c r="H38" i="21"/>
  <c r="AB38" i="21" s="1"/>
  <c r="H39" i="21"/>
  <c r="AB39" i="21"/>
  <c r="H40" i="21"/>
  <c r="AB40" i="21"/>
  <c r="H42" i="21"/>
  <c r="AB42" i="21" s="1"/>
  <c r="H43" i="21"/>
  <c r="AB43" i="21"/>
  <c r="J44" i="21"/>
  <c r="AC44" i="21" s="1"/>
  <c r="J29" i="21"/>
  <c r="AC29" i="21" s="1"/>
  <c r="J8" i="21"/>
  <c r="AC8" i="21" s="1"/>
  <c r="J34" i="21"/>
  <c r="AC34" i="21" s="1"/>
  <c r="J36" i="21"/>
  <c r="AC36" i="21" s="1"/>
  <c r="J38" i="21"/>
  <c r="AC38" i="21" s="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8"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s="1"/>
  <c r="D46" i="36" s="1"/>
  <c r="E46" i="36" s="1"/>
  <c r="F46" i="36" s="1"/>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s="1"/>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C18" i="12"/>
  <c r="F34" i="11"/>
  <c r="E19" i="1"/>
  <c r="D20" i="1"/>
  <c r="D18" i="1"/>
  <c r="F50" i="11"/>
  <c r="F19" i="1"/>
  <c r="D19" i="1"/>
  <c r="K87" i="43"/>
  <c r="J87" i="43"/>
  <c r="D87" i="43"/>
  <c r="C7" i="43"/>
  <c r="P25" i="43"/>
  <c r="P23" i="43"/>
  <c r="P21" i="43"/>
  <c r="B71" i="39" s="1"/>
  <c r="P24" i="43"/>
  <c r="B66" i="40" s="1"/>
  <c r="P22" i="43"/>
  <c r="K106" i="9"/>
  <c r="E58" i="21"/>
  <c r="F58" i="21" s="1"/>
  <c r="G58" i="21" s="1"/>
  <c r="O19" i="43"/>
  <c r="D65" i="40"/>
  <c r="E63" i="40"/>
  <c r="E65" i="40" s="1"/>
  <c r="B14" i="1"/>
  <c r="J10" i="39" s="1"/>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G63" i="40" s="1"/>
  <c r="B79" i="43"/>
  <c r="C61" i="15"/>
  <c r="D109" i="57"/>
  <c r="I111" i="57"/>
  <c r="D128" i="57"/>
  <c r="G14" i="62"/>
  <c r="D46" i="57"/>
  <c r="M49" i="57"/>
  <c r="D130" i="57"/>
  <c r="H14" i="62"/>
  <c r="F65" i="40"/>
  <c r="C79" i="57"/>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D133" i="57"/>
  <c r="C64" i="57"/>
  <c r="C68" i="57" s="1"/>
  <c r="C69" i="57" s="1"/>
  <c r="D55" i="57" s="1"/>
  <c r="M70" i="57"/>
  <c r="N70" i="57"/>
  <c r="M57" i="57"/>
  <c r="J19" i="15"/>
  <c r="C33" i="15"/>
  <c r="D119" i="57"/>
  <c r="D120" i="57" s="1"/>
  <c r="I116" i="57" s="1"/>
  <c r="I115" i="57"/>
  <c r="D132" i="57" s="1"/>
  <c r="I14" i="62" s="1"/>
  <c r="B8" i="62" s="1"/>
  <c r="C62" i="15"/>
  <c r="L47" i="15"/>
  <c r="B7" i="62"/>
  <c r="D7" i="62"/>
  <c r="B6" i="62"/>
  <c r="D6" i="62"/>
  <c r="M56" i="9"/>
  <c r="D130" i="9"/>
  <c r="D13" i="52"/>
  <c r="D114" i="9"/>
  <c r="D115" i="9"/>
  <c r="I113" i="9"/>
  <c r="D20" i="50" s="1"/>
  <c r="D41" i="50"/>
  <c r="B63" i="60"/>
  <c r="D39" i="50"/>
  <c r="D40" i="50"/>
  <c r="D18" i="50"/>
  <c r="D127" i="9"/>
  <c r="D10" i="52"/>
  <c r="D128" i="9"/>
  <c r="D11" i="52" s="1"/>
  <c r="D19" i="50"/>
  <c r="B32" i="60"/>
  <c r="B31" i="60"/>
  <c r="L67" i="9"/>
  <c r="M67" i="9"/>
  <c r="L65" i="9"/>
  <c r="M65" i="9"/>
  <c r="L66" i="9"/>
  <c r="M66" i="9"/>
  <c r="L68" i="9"/>
  <c r="M68" i="9"/>
  <c r="L63" i="9"/>
  <c r="M63" i="9"/>
  <c r="L64" i="9"/>
  <c r="M64" i="9"/>
  <c r="M69" i="9"/>
  <c r="N69" i="9"/>
  <c r="I114" i="9"/>
  <c r="D116" i="9"/>
  <c r="D129" i="9"/>
  <c r="D12" i="52"/>
  <c r="D21" i="50"/>
  <c r="B33" i="60" s="1"/>
  <c r="D42" i="50"/>
  <c r="D43" i="50" s="1"/>
  <c r="E2" i="36"/>
  <c r="C19" i="57"/>
  <c r="C20" i="57"/>
  <c r="F5" i="61"/>
  <c r="E2" i="37"/>
  <c r="E2" i="34"/>
  <c r="D19" i="57"/>
  <c r="E2" i="33"/>
  <c r="H23" i="31"/>
  <c r="D20" i="57"/>
  <c r="F7" i="61"/>
  <c r="F4" i="61"/>
  <c r="E2" i="35"/>
  <c r="F6" i="61"/>
  <c r="E2" i="11"/>
  <c r="F3" i="61"/>
  <c r="AC32" i="21" l="1"/>
  <c r="AC27" i="21"/>
  <c r="S17" i="21"/>
  <c r="H63" i="40"/>
  <c r="G65" i="40"/>
  <c r="C77" i="9"/>
  <c r="J1" i="61"/>
  <c r="I63" i="40"/>
  <c r="H65" i="40"/>
  <c r="C70" i="39"/>
  <c r="D68" i="39"/>
  <c r="C75" i="57"/>
  <c r="C74" i="57" s="1"/>
  <c r="C80" i="57" s="1"/>
  <c r="F21" i="48"/>
  <c r="H21" i="48" s="1"/>
  <c r="B13" i="48"/>
  <c r="D13" i="48" s="1"/>
  <c r="B5" i="48"/>
  <c r="D5" i="48" s="1"/>
  <c r="F7" i="48"/>
  <c r="H7" i="48" s="1"/>
  <c r="B16" i="48"/>
  <c r="D16" i="48" s="1"/>
  <c r="B11" i="48"/>
  <c r="D11" i="48" s="1"/>
  <c r="B22" i="48"/>
  <c r="D22" i="48" s="1"/>
  <c r="B6" i="48"/>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W17" i="21"/>
  <c r="C15" i="39"/>
  <c r="E3" i="4"/>
  <c r="B5" i="55" s="1"/>
  <c r="B55" i="60" s="1"/>
  <c r="U10" i="21"/>
  <c r="S10" i="21"/>
  <c r="B63" i="43"/>
  <c r="C29" i="39"/>
  <c r="B55" i="43"/>
  <c r="C6" i="15"/>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U33" i="21"/>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J7" i="35"/>
  <c r="D52" i="37"/>
  <c r="E52" i="37" s="1"/>
  <c r="F52" i="37" s="1"/>
  <c r="G52" i="37" s="1"/>
  <c r="H52" i="37" s="1"/>
  <c r="I52" i="37" s="1"/>
  <c r="J52" i="37" s="1"/>
  <c r="K52" i="37" s="1"/>
  <c r="L52" i="37" s="1"/>
  <c r="M52" i="37" s="1"/>
  <c r="N52" i="37" s="1"/>
  <c r="O52" i="37" s="1"/>
  <c r="F7" i="37"/>
  <c r="C39" i="43"/>
  <c r="C37" i="43"/>
  <c r="C36" i="43"/>
  <c r="C34" i="43"/>
  <c r="C38" i="43"/>
  <c r="C74" i="9"/>
  <c r="C24" i="12"/>
  <c r="C29" i="12" s="1"/>
  <c r="D28" i="12" s="1"/>
  <c r="C35" i="43"/>
  <c r="D102" i="57"/>
  <c r="D22" i="57"/>
  <c r="G19" i="57"/>
  <c r="C102" i="57"/>
  <c r="D103" i="57"/>
  <c r="I1" i="61"/>
  <c r="B30" i="1" s="1"/>
  <c r="G20" i="57"/>
  <c r="C103" i="57"/>
  <c r="K1" i="61"/>
  <c r="B23" i="48"/>
  <c r="D23" i="48" s="1"/>
  <c r="F9" i="48"/>
  <c r="H9" i="48" s="1"/>
  <c r="F11" i="48"/>
  <c r="H11" i="48" s="1"/>
  <c r="B9" i="48"/>
  <c r="D9" i="48" s="1"/>
  <c r="B7" i="48"/>
  <c r="D7" i="48" s="1"/>
  <c r="B8" i="48"/>
  <c r="D8" i="48" s="1"/>
  <c r="F5" i="48"/>
  <c r="H5" i="48" s="1"/>
  <c r="D6" i="61"/>
  <c r="D5" i="61"/>
  <c r="D3" i="61"/>
  <c r="D4" i="61"/>
  <c r="D7" i="61"/>
  <c r="C3" i="4" l="1"/>
  <c r="B4" i="55" s="1"/>
  <c r="B53" i="60" s="1"/>
  <c r="E20" i="43"/>
  <c r="O17" i="43" s="1"/>
  <c r="C81" i="57"/>
  <c r="E81" i="57" s="1"/>
  <c r="E82" i="57" s="1"/>
  <c r="C82" i="57"/>
  <c r="C16" i="12"/>
  <c r="C21" i="12" s="1"/>
  <c r="C22" i="12" s="1"/>
  <c r="C30" i="12" s="1"/>
  <c r="C28" i="12" s="1"/>
  <c r="J7" i="37"/>
  <c r="H7" i="37"/>
  <c r="F7" i="35"/>
  <c r="H7" i="35"/>
  <c r="AA10" i="40"/>
  <c r="E68" i="39"/>
  <c r="D70" i="39"/>
  <c r="J63" i="40"/>
  <c r="I65" i="40"/>
  <c r="C48" i="11"/>
  <c r="C30" i="1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15" i="15"/>
  <c r="C16" i="15"/>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G34" i="43"/>
  <c r="I34" i="43" s="1"/>
  <c r="E34" i="43"/>
  <c r="G37" i="43"/>
  <c r="I37" i="43" s="1"/>
  <c r="E37" i="43"/>
  <c r="U7" i="37"/>
  <c r="AB7" i="37"/>
  <c r="T42" i="37" s="1"/>
  <c r="G42" i="37" s="1"/>
  <c r="U7" i="35"/>
  <c r="AB7" i="35"/>
  <c r="T38" i="35" s="1"/>
  <c r="G38" i="35" s="1"/>
  <c r="E58" i="33"/>
  <c r="AB7" i="21"/>
  <c r="U7" i="21"/>
  <c r="AC7" i="21"/>
  <c r="V48" i="21" s="1"/>
  <c r="I48" i="21" s="1"/>
  <c r="W7" i="21"/>
  <c r="M17" i="43"/>
  <c r="C105" i="57"/>
  <c r="C104" i="57"/>
  <c r="F11" i="15"/>
  <c r="M11" i="15"/>
  <c r="J10" i="15" s="1"/>
  <c r="J5" i="15" s="1"/>
  <c r="G1" i="61"/>
  <c r="E27" i="1" l="1"/>
  <c r="F22" i="11" s="1"/>
  <c r="P17" i="43"/>
  <c r="B18" i="49"/>
  <c r="B4" i="60" s="1"/>
  <c r="N17" i="43"/>
  <c r="C19" i="15"/>
  <c r="C20" i="15" s="1"/>
  <c r="C26" i="15" s="1"/>
  <c r="K63" i="40"/>
  <c r="J65" i="40"/>
  <c r="F68" i="39"/>
  <c r="E70" i="39"/>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I52" i="21"/>
  <c r="J52" i="21" s="1"/>
  <c r="I46" i="36"/>
  <c r="F59" i="34"/>
  <c r="E42" i="37"/>
  <c r="I47" i="37" s="1"/>
  <c r="J47" i="37" s="1"/>
  <c r="R43" i="37"/>
  <c r="E38" i="35"/>
  <c r="I43" i="35" s="1"/>
  <c r="J43" i="35" s="1"/>
  <c r="R39" i="35"/>
  <c r="I46" i="37"/>
  <c r="J46" i="37" s="1"/>
  <c r="F58" i="33"/>
  <c r="G58" i="33" s="1"/>
  <c r="H58" i="33" s="1"/>
  <c r="I58" i="33" s="1"/>
  <c r="J58" i="33" s="1"/>
  <c r="K58" i="33" s="1"/>
  <c r="L58" i="33" s="1"/>
  <c r="M58" i="33" s="1"/>
  <c r="N58" i="33" s="1"/>
  <c r="O58" i="33" s="1"/>
  <c r="G47" i="37"/>
  <c r="H47" i="37" s="1"/>
  <c r="G46" i="37"/>
  <c r="H46" i="37" s="1"/>
  <c r="I42" i="35"/>
  <c r="J42" i="35" s="1"/>
  <c r="F7" i="33"/>
  <c r="J24" i="15"/>
  <c r="J26" i="15"/>
  <c r="J17" i="15"/>
  <c r="C54" i="15"/>
  <c r="C49" i="15" s="1"/>
  <c r="C10" i="15"/>
  <c r="C5" i="15" s="1"/>
  <c r="F25" i="12" l="1"/>
  <c r="C27" i="12" s="1"/>
  <c r="C25" i="12" s="1"/>
  <c r="F24" i="15"/>
  <c r="C23" i="15" s="1"/>
  <c r="G53" i="21"/>
  <c r="H53" i="21" s="1"/>
  <c r="H7" i="33"/>
  <c r="U7" i="33" s="1"/>
  <c r="F70" i="39"/>
  <c r="G68" i="39"/>
  <c r="K65" i="40"/>
  <c r="L63" i="40"/>
  <c r="E48" i="21"/>
  <c r="E52" i="21" s="1"/>
  <c r="F52" i="21" s="1"/>
  <c r="R49" i="21"/>
  <c r="C49" i="21" s="1"/>
  <c r="J29" i="15"/>
  <c r="AA7" i="33"/>
  <c r="R48" i="33" s="1"/>
  <c r="S7" i="33"/>
  <c r="E43" i="35"/>
  <c r="F43" i="35" s="1"/>
  <c r="E42" i="35"/>
  <c r="F42" i="35" s="1"/>
  <c r="E46" i="37"/>
  <c r="F46" i="37" s="1"/>
  <c r="E47" i="37"/>
  <c r="F47" i="37" s="1"/>
  <c r="J46" i="36"/>
  <c r="C38" i="35"/>
  <c r="C39" i="35"/>
  <c r="C42" i="37"/>
  <c r="C43" i="37"/>
  <c r="B2" i="37" s="1"/>
  <c r="B3" i="37" s="1"/>
  <c r="G59" i="34"/>
  <c r="J7" i="33"/>
  <c r="C31" i="15"/>
  <c r="C38" i="15"/>
  <c r="C24" i="15"/>
  <c r="C25" i="11"/>
  <c r="C24" i="11"/>
  <c r="C23" i="11"/>
  <c r="C43" i="11"/>
  <c r="C44" i="11"/>
  <c r="D41" i="11" s="1"/>
  <c r="C26" i="11"/>
  <c r="D22" i="11" s="1"/>
  <c r="C42" i="11"/>
  <c r="C60" i="15"/>
  <c r="C67" i="15"/>
  <c r="C26" i="12"/>
  <c r="D25" i="12" s="1"/>
  <c r="AB7" i="33" l="1"/>
  <c r="T48" i="33" s="1"/>
  <c r="G48" i="33" s="1"/>
  <c r="M63" i="40"/>
  <c r="L65" i="40"/>
  <c r="G70" i="39"/>
  <c r="H68" i="39"/>
  <c r="C48" i="21"/>
  <c r="E53" i="21"/>
  <c r="F53" i="21" s="1"/>
  <c r="I53" i="21"/>
  <c r="J53" i="21" s="1"/>
  <c r="B3" i="35"/>
  <c r="B2" i="35"/>
  <c r="G52" i="33"/>
  <c r="H52" i="33" s="1"/>
  <c r="W7" i="33"/>
  <c r="AC7" i="33"/>
  <c r="V48" i="33" s="1"/>
  <c r="I48" i="33" s="1"/>
  <c r="C32" i="12"/>
  <c r="B2" i="12" s="1"/>
  <c r="H59" i="34"/>
  <c r="B3" i="21"/>
  <c r="B2" i="21"/>
  <c r="K46" i="36"/>
  <c r="E48" i="33"/>
  <c r="R49" i="33"/>
  <c r="C41" i="11"/>
  <c r="C49" i="11" s="1"/>
  <c r="C51" i="11" s="1"/>
  <c r="C22" i="11"/>
  <c r="C31" i="11" s="1"/>
  <c r="C29" i="15"/>
  <c r="C19" i="9"/>
  <c r="C20" i="9"/>
  <c r="M65" i="40" l="1"/>
  <c r="N63" i="40"/>
  <c r="I68" i="39"/>
  <c r="H70" i="39"/>
  <c r="B3" i="12"/>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68" i="39" l="1"/>
  <c r="I70" i="39"/>
  <c r="O63" i="40"/>
  <c r="O65" i="40" s="1"/>
  <c r="N65" i="40"/>
  <c r="J7" i="40" s="1"/>
  <c r="J59" i="34"/>
  <c r="M46" i="36"/>
  <c r="C56" i="11"/>
  <c r="C57" i="11" s="1"/>
  <c r="B2" i="11"/>
  <c r="J22" i="15"/>
  <c r="J13" i="15"/>
  <c r="J23" i="15" s="1"/>
  <c r="J34" i="15"/>
  <c r="C57" i="15"/>
  <c r="C66" i="15" s="1"/>
  <c r="C59" i="15" s="1"/>
  <c r="C68" i="15" s="1"/>
  <c r="C69" i="15" s="1"/>
  <c r="C37" i="15"/>
  <c r="C30" i="15" s="1"/>
  <c r="C39" i="15" s="1"/>
  <c r="Q68" i="15"/>
  <c r="W7" i="40" l="1"/>
  <c r="AC7" i="40"/>
  <c r="V42" i="40" s="1"/>
  <c r="I42" i="40" s="1"/>
  <c r="I46" i="40" s="1"/>
  <c r="J46" i="40" s="1"/>
  <c r="H7" i="40"/>
  <c r="F7" i="40"/>
  <c r="K68" i="39"/>
  <c r="J70" i="39"/>
  <c r="J16" i="15"/>
  <c r="J25" i="15" s="1"/>
  <c r="N46" i="36"/>
  <c r="K59" i="34"/>
  <c r="J38" i="15"/>
  <c r="J39" i="15" s="1"/>
  <c r="C72" i="15"/>
  <c r="C40" i="15"/>
  <c r="Q67" i="15"/>
  <c r="Q66" i="15" s="1"/>
  <c r="K70" i="39" l="1"/>
  <c r="L68" i="39"/>
  <c r="AA7" i="40"/>
  <c r="R42" i="40" s="1"/>
  <c r="S7" i="40"/>
  <c r="AB7" i="40"/>
  <c r="T42" i="40" s="1"/>
  <c r="G42" i="40" s="1"/>
  <c r="U7" i="40"/>
  <c r="O46" i="36"/>
  <c r="J7" i="36" s="1"/>
  <c r="L59" i="34"/>
  <c r="B3" i="15"/>
  <c r="C43" i="15"/>
  <c r="Q63" i="15"/>
  <c r="Q73" i="15" s="1"/>
  <c r="B2" i="15"/>
  <c r="Q45" i="15"/>
  <c r="Q51" i="15" s="1"/>
  <c r="L52" i="15"/>
  <c r="Q54" i="15"/>
  <c r="Q60" i="15" s="1"/>
  <c r="J41" i="15"/>
  <c r="C47" i="15"/>
  <c r="E2" i="21"/>
  <c r="D20" i="9"/>
  <c r="D19" i="9"/>
  <c r="G46" i="40" l="1"/>
  <c r="H46" i="40" s="1"/>
  <c r="G47" i="40"/>
  <c r="H47" i="40" s="1"/>
  <c r="E42" i="40"/>
  <c r="R43" i="40"/>
  <c r="L70" i="39"/>
  <c r="M68" i="39"/>
  <c r="W7" i="36"/>
  <c r="AC7" i="36"/>
  <c r="V36" i="36" s="1"/>
  <c r="I36" i="36" s="1"/>
  <c r="M59" i="34"/>
  <c r="N59" i="34" s="1"/>
  <c r="O59" i="34" s="1"/>
  <c r="F7" i="36"/>
  <c r="H7" i="36"/>
  <c r="D102" i="9"/>
  <c r="G20" i="9"/>
  <c r="D101" i="9"/>
  <c r="D22" i="9"/>
  <c r="J42" i="15"/>
  <c r="D35" i="9"/>
  <c r="D34" i="9" s="1"/>
  <c r="Q65" i="15"/>
  <c r="L58" i="15"/>
  <c r="H7" i="34" l="1"/>
  <c r="U7" i="34" s="1"/>
  <c r="M70" i="39"/>
  <c r="N68" i="39"/>
  <c r="C42" i="40"/>
  <c r="C43" i="40"/>
  <c r="I47" i="40"/>
  <c r="J47" i="40" s="1"/>
  <c r="E47" i="40"/>
  <c r="F47" i="40" s="1"/>
  <c r="E46" i="40"/>
  <c r="F46" i="40" s="1"/>
  <c r="U7" i="36"/>
  <c r="AB7" i="36"/>
  <c r="T36" i="36" s="1"/>
  <c r="G36" i="36" s="1"/>
  <c r="AB7" i="34"/>
  <c r="T49" i="34" s="1"/>
  <c r="G49" i="34" s="1"/>
  <c r="I40" i="36"/>
  <c r="J40" i="36" s="1"/>
  <c r="AA7" i="36"/>
  <c r="R36" i="36" s="1"/>
  <c r="S7" i="36"/>
  <c r="J7" i="34"/>
  <c r="F7" i="34"/>
  <c r="G19" i="9"/>
  <c r="D14" i="62" s="1"/>
  <c r="C32" i="9"/>
  <c r="B53" i="40" l="1"/>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O68" i="39"/>
  <c r="O70" i="39" s="1"/>
  <c r="N70" i="39"/>
  <c r="S7" i="34"/>
  <c r="AA7" i="34"/>
  <c r="R49" i="34" s="1"/>
  <c r="G40" i="36"/>
  <c r="H40" i="36" s="1"/>
  <c r="G41" i="36"/>
  <c r="H41" i="36" s="1"/>
  <c r="AC7" i="34"/>
  <c r="V49" i="34" s="1"/>
  <c r="I49" i="34" s="1"/>
  <c r="G54" i="34" s="1"/>
  <c r="H54" i="34" s="1"/>
  <c r="W7" i="34"/>
  <c r="E36" i="36"/>
  <c r="R37" i="36"/>
  <c r="G53" i="34"/>
  <c r="H53" i="34" s="1"/>
  <c r="E14" i="62"/>
  <c r="B5" i="62"/>
  <c r="F14" i="62"/>
  <c r="I121" i="9"/>
  <c r="C35" i="9"/>
  <c r="G121" i="9" s="1"/>
  <c r="H7" i="39" l="1"/>
  <c r="J7" i="39"/>
  <c r="F7" i="39"/>
  <c r="C36" i="36"/>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S7" i="39" l="1"/>
  <c r="AA7" i="39"/>
  <c r="R47" i="39" s="1"/>
  <c r="AC7" i="39"/>
  <c r="V47" i="39" s="1"/>
  <c r="I47" i="39" s="1"/>
  <c r="I51" i="39" s="1"/>
  <c r="J51" i="39" s="1"/>
  <c r="W7" i="39"/>
  <c r="U7" i="39"/>
  <c r="AB7" i="39"/>
  <c r="T47" i="39" s="1"/>
  <c r="G47" i="39" s="1"/>
  <c r="E53" i="34"/>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G52" i="39" l="1"/>
  <c r="H52" i="39" s="1"/>
  <c r="G51" i="39"/>
  <c r="H51" i="39" s="1"/>
  <c r="R48" i="39"/>
  <c r="E47" i="39"/>
  <c r="D117" i="9"/>
  <c r="D113" i="9"/>
  <c r="M48" i="9"/>
  <c r="D45" i="9"/>
  <c r="I110" i="9"/>
  <c r="D28" i="50"/>
  <c r="D29" i="50" s="1"/>
  <c r="D7" i="50"/>
  <c r="D4" i="52"/>
  <c r="B37" i="60" s="1"/>
  <c r="D122" i="9"/>
  <c r="D5" i="52" s="1"/>
  <c r="B39" i="60" s="1"/>
  <c r="C47" i="39" l="1"/>
  <c r="C48" i="39"/>
  <c r="I52" i="39"/>
  <c r="J52" i="39" s="1"/>
  <c r="E51" i="39"/>
  <c r="F51" i="39" s="1"/>
  <c r="E52" i="39"/>
  <c r="F52" i="39" s="1"/>
  <c r="D8" i="50"/>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B59" i="39" l="1"/>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D17" i="50"/>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<sst xmlns="http://schemas.openxmlformats.org/spreadsheetml/2006/main" count="6899" uniqueCount="2910">
  <si>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</si>
  <si>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</si>
  <si>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</si>
  <si>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</si>
  <si>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</si>
  <si>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</si>
  <si>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</si>
  <si>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</si>
  <si>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</si>
  <si>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</si>
  <si>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</si>
  <si>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</si>
  <si>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</si>
  <si>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</si>
  <si>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</si>
  <si>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</si>
  <si>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</si>
  <si>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</si>
  <si>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</si>
  <si>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</si>
  <si>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</si>
  <si>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</si>
  <si>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</si>
  <si>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</si>
  <si>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</si>
  <si>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</si>
  <si>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</si>
  <si>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</si>
  <si>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</si>
  <si>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</si>
  <si>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</si>
  <si>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</si>
  <si>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</si>
  <si>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</si>
  <si>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</si>
  <si>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</si>
  <si>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</si>
  <si>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</si>
  <si>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</si>
  <si>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</si>
  <si>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</si>
  <si>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</si>
  <si>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</si>
  <si>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</si>
  <si>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</si>
  <si>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</si>
  <si>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</si>
  <si>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</si>
  <si>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</si>
  <si>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</si>
  <si>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</si>
  <si>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</si>
  <si>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</si>
  <si>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</si>
  <si>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</si>
  <si>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</si>
  <si>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</si>
  <si>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</si>
  <si>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</si>
  <si>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</si>
  <si>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</si>
  <si>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</si>
  <si>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</si>
  <si>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</si>
  <si>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</si>
  <si>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</si>
  <si>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</si>
  <si>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</si>
  <si>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</si>
  <si>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</si>
  <si>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</si>
  <si>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</si>
  <si>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</si>
  <si>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</si>
  <si>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</si>
  <si>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</si>
  <si>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</si>
  <si>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</si>
  <si>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</si>
  <si>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</si>
  <si>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</si>
  <si>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</si>
  <si>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</si>
  <si>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</si>
  <si>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</si>
  <si>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</si>
  <si>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</si>
  <si>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</si>
  <si>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</si>
  <si>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</si>
  <si>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</si>
  <si>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</si>
  <si>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</si>
  <si>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</si>
  <si>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</si>
  <si>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</si>
  <si>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</si>
  <si>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</si>
  <si>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</si>
  <si>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</si>
  <si>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</si>
  <si>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</si>
  <si>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</si>
  <si>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</si>
  <si>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</si>
  <si>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</si>
  <si>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</si>
  <si>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</si>
  <si>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</si>
  <si>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</si>
  <si>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</si>
  <si>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</si>
  <si>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</si>
  <si>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</si>
  <si>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</si>
  <si>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</si>
  <si>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</si>
  <si>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</si>
  <si>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</si>
  <si>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</si>
  <si>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</si>
  <si>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</si>
  <si>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</si>
  <si>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</si>
  <si>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</si>
  <si>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</si>
  <si>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</si>
  <si>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</si>
  <si>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</si>
  <si>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</si>
  <si>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</si>
  <si>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</si>
  <si>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</si>
  <si>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</si>
  <si>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</si>
  <si>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</si>
  <si>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</si>
  <si>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</si>
  <si>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</si>
  <si>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</si>
  <si>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</si>
  <si>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</si>
  <si>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</si>
  <si>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</si>
  <si>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</si>
  <si>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</si>
  <si>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</si>
  <si>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</si>
  <si>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</si>
  <si>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</si>
  <si>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</si>
  <si>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</si>
  <si>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</si>
  <si>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</si>
  <si>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</si>
  <si>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</si>
  <si>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</si>
  <si>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</si>
  <si>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</si>
  <si>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</si>
  <si>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</si>
  <si>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</si>
  <si>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</si>
  <si>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</si>
  <si>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</si>
  <si>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</si>
  <si>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</si>
  <si>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</si>
  <si>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</si>
  <si>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</si>
  <si>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</si>
  <si>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</si>
  <si>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</si>
  <si>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</si>
  <si>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</si>
  <si>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</si>
  <si>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</si>
  <si>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</si>
  <si>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</si>
  <si>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</si>
  <si>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</si>
  <si>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</si>
  <si>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</si>
  <si>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</si>
  <si>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</si>
  <si>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</si>
  <si>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</si>
  <si>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</si>
  <si>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</si>
  <si>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</si>
  <si>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</si>
  <si>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</si>
  <si>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</si>
  <si>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</si>
  <si>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</si>
  <si>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</si>
  <si>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</si>
  <si>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</si>
  <si>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</si>
  <si>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</si>
  <si>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</si>
  <si>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</si>
  <si>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</si>
  <si>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</si>
  <si>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</si>
  <si>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</si>
  <si>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</si>
  <si>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</si>
  <si>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</si>
  <si>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</si>
  <si>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</si>
  <si>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</si>
  <si>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</si>
  <si>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</si>
  <si>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</si>
  <si>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</si>
  <si>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</si>
  <si>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</si>
  <si>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</si>
  <si>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</si>
  <si>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</si>
  <si>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</si>
  <si>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</si>
  <si>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</si>
  <si>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</si>
  <si>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</si>
  <si>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</si>
  <si>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</si>
  <si>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</si>
  <si>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</si>
  <si>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</si>
  <si>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</si>
  <si>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</si>
  <si>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</si>
  <si>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</si>
  <si>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</si>
  <si>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</si>
  <si>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</si>
  <si>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</si>
  <si>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</si>
  <si>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</si>
  <si>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</si>
  <si>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</si>
  <si>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</si>
  <si>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</si>
  <si>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</si>
  <si>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</si>
  <si>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</si>
  <si>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</si>
  <si>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</si>
  <si>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</si>
  <si>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</si>
  <si>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</si>
  <si>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</si>
  <si>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</si>
  <si>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</si>
  <si>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</si>
  <si>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</si>
  <si>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</si>
  <si>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</si>
  <si>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</si>
  <si>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</si>
  <si>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</si>
  <si>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</si>
  <si>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</si>
  <si>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</si>
  <si>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</si>
  <si>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</si>
  <si>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</si>
  <si>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</si>
  <si>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</si>
  <si>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</si>
  <si>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</si>
  <si>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</si>
  <si>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</si>
  <si>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</si>
  <si>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</si>
  <si>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</si>
  <si>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</si>
  <si>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</si>
  <si>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</si>
  <si>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</si>
  <si>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</si>
  <si>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</si>
  <si>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</si>
  <si>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</si>
  <si>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</si>
  <si>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</si>
  <si>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</si>
  <si>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</si>
  <si>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</si>
  <si>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</si>
  <si>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</si>
  <si>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</si>
  <si>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</si>
  <si>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</si>
  <si>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</si>
  <si>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</si>
  <si>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</si>
  <si>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</si>
  <si>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</si>
  <si>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</si>
  <si>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</si>
  <si>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</si>
  <si>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</si>
  <si>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</si>
  <si>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</si>
  <si>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</si>
  <si>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</si>
  <si>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</si>
  <si>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</si>
  <si>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</si>
  <si>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</si>
  <si>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</si>
  <si>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</si>
  <si>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</si>
  <si>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</si>
  <si>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</si>
  <si>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</si>
  <si>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</si>
  <si>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</si>
  <si>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</si>
  <si>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</si>
  <si>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</si>
  <si>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</si>
  <si>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</si>
  <si>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</si>
  <si>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</si>
  <si>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</si>
  <si>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</si>
  <si>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</si>
  <si>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</si>
  <si>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</si>
  <si>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</si>
  <si>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</si>
  <si>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</si>
  <si>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</si>
  <si>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</si>
  <si>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</si>
  <si>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</si>
  <si>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</si>
  <si>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</si>
  <si>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</si>
  <si>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</si>
  <si>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</si>
  <si>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</si>
  <si>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</si>
  <si>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</si>
  <si>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</si>
  <si>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</si>
  <si>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</si>
  <si>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</si>
  <si>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</si>
  <si>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</si>
  <si>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</si>
  <si>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</si>
  <si>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</si>
  <si>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</si>
  <si>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</si>
  <si>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</si>
  <si>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</si>
  <si>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</si>
  <si>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</si>
  <si>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</si>
  <si>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</si>
  <si>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</si>
  <si>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</si>
  <si>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</si>
  <si>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</si>
  <si>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</si>
  <si>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</si>
  <si>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</si>
  <si>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</si>
  <si>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</si>
  <si>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</si>
  <si>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</si>
  <si>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</si>
  <si>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</si>
  <si>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</si>
  <si>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</si>
  <si>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</si>
  <si>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</si>
  <si>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</si>
  <si>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</si>
  <si>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</si>
  <si>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</si>
  <si>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</si>
  <si>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</si>
  <si>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</si>
  <si>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</si>
  <si>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</si>
  <si>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</si>
  <si>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</si>
  <si>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</si>
  <si>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</si>
  <si>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</si>
  <si>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</si>
  <si>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</si>
  <si>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</si>
  <si>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</si>
  <si>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</si>
  <si>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</si>
  <si>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</si>
  <si>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</si>
  <si>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</si>
  <si>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</si>
  <si>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</si>
  <si>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</si>
  <si>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</si>
  <si>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</si>
  <si>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</si>
  <si>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</si>
  <si>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</si>
  <si>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</si>
  <si>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</si>
  <si>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</si>
  <si>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</si>
  <si>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</si>
  <si>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</si>
  <si>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</si>
  <si>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</si>
  <si>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</si>
  <si>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</si>
  <si>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</si>
  <si>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</si>
  <si>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</si>
  <si>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</si>
  <si>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</si>
  <si>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</si>
  <si>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</si>
  <si>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</si>
  <si>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</si>
  <si>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</si>
  <si>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</si>
  <si>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</si>
  <si>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</si>
  <si>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</si>
  <si>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</si>
  <si>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</si>
  <si>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</si>
  <si>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</si>
  <si>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</si>
  <si>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</si>
  <si>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</si>
  <si>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</si>
  <si>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</si>
  <si>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</si>
  <si>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</si>
  <si>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</si>
  <si>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</si>
  <si>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</si>
  <si>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</si>
  <si>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</si>
  <si>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</si>
  <si>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</si>
  <si>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</si>
  <si>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</si>
  <si>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</si>
  <si>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</si>
  <si>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</si>
  <si>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</si>
  <si>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</si>
  <si>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</si>
  <si>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</si>
  <si>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</si>
  <si>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</si>
  <si>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</si>
  <si>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</si>
  <si>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</si>
  <si>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</si>
  <si>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</si>
  <si>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</si>
  <si>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</si>
  <si>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</si>
  <si>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</si>
  <si>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</si>
  <si>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</si>
  <si>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</si>
  <si>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</si>
  <si>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</si>
  <si>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</si>
  <si>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</si>
  <si>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</si>
  <si>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</si>
  <si>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</si>
  <si>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</si>
  <si>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</si>
  <si>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</si>
  <si>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</si>
  <si>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</si>
  <si>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</si>
  <si>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</si>
  <si>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</si>
  <si>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</si>
  <si>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</si>
  <si>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</si>
  <si>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</si>
  <si>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</si>
  <si>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</si>
  <si>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</si>
  <si>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</si>
  <si>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</si>
  <si>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</si>
  <si>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</si>
  <si>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</si>
  <si>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</si>
  <si>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</si>
  <si>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</si>
  <si>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</si>
  <si>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</si>
  <si>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</si>
  <si>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</si>
  <si>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</si>
  <si>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</si>
  <si>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</si>
  <si>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</si>
  <si>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</si>
  <si>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</si>
  <si>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</si>
  <si>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</si>
  <si>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</si>
  <si>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</si>
  <si>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</si>
  <si>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</si>
  <si>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</si>
  <si>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</si>
  <si>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</si>
  <si>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</si>
  <si>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</si>
  <si>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</si>
  <si>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</si>
  <si>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</si>
  <si>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</si>
  <si>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</si>
  <si>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</si>
  <si>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</si>
  <si>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</si>
  <si>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</si>
  <si>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</si>
  <si>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</si>
  <si>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</si>
  <si>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</si>
  <si>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</si>
  <si>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</si>
  <si>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</si>
  <si>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</si>
  <si>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</si>
  <si>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</si>
  <si>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</si>
  <si>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</si>
  <si>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</si>
  <si>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</si>
  <si>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</si>
  <si>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</si>
  <si>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</si>
  <si>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</si>
  <si>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</si>
  <si>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</si>
  <si>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</si>
  <si>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</si>
  <si>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</si>
  <si>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</si>
  <si>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</si>
  <si>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</si>
  <si>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</si>
  <si>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</si>
  <si>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</si>
  <si>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</si>
  <si>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</si>
  <si>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</si>
  <si>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</si>
  <si>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</si>
  <si>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</si>
  <si>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</si>
  <si>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</si>
  <si>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</si>
  <si>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</si>
  <si>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</si>
  <si>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</si>
  <si>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</si>
  <si>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</si>
  <si>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</si>
  <si>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</si>
  <si>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</si>
  <si>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</si>
  <si>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</si>
  <si>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</si>
  <si>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</si>
  <si>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</si>
  <si>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</si>
  <si>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</si>
  <si>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</si>
  <si>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</si>
  <si>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</si>
  <si>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</si>
  <si>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</si>
  <si>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</si>
  <si>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</si>
  <si>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</si>
  <si>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</si>
  <si>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</si>
  <si>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</si>
  <si>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</si>
  <si>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</si>
  <si>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</si>
  <si>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</si>
  <si>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</si>
  <si>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</si>
  <si>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</si>
  <si>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</si>
  <si>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</si>
  <si>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</si>
  <si>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</si>
  <si>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</si>
  <si>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</si>
  <si>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</si>
  <si>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</si>
  <si>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</si>
  <si>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</si>
  <si>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</si>
  <si>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</si>
  <si>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</si>
  <si>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</si>
  <si>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</si>
  <si>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</si>
  <si>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</si>
  <si>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</si>
  <si>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</si>
  <si>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</si>
  <si>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</si>
  <si>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</si>
  <si>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</si>
  <si>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</si>
  <si>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</si>
  <si>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</si>
  <si>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</si>
  <si>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</si>
  <si>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</si>
  <si>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</si>
  <si>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</si>
  <si>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</si>
  <si>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</si>
  <si>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</si>
  <si>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</si>
  <si>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</si>
  <si>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</si>
  <si>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</si>
  <si>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</si>
  <si>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</si>
  <si>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</si>
  <si>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</si>
  <si>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</si>
  <si>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</si>
  <si>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</si>
  <si>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</si>
  <si>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</si>
  <si>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</si>
  <si>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</si>
  <si>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</si>
  <si>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</si>
  <si>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</si>
  <si>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</si>
  <si>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</si>
  <si>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</si>
  <si>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</si>
  <si>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</si>
  <si>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</si>
  <si>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</si>
  <si>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</si>
  <si>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</si>
  <si>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</si>
  <si>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</si>
  <si>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</si>
  <si>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</si>
  <si>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</si>
  <si>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</si>
  <si>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</si>
  <si>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</si>
  <si>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</si>
  <si>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</si>
  <si>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</si>
  <si>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</si>
  <si>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</si>
  <si>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</si>
  <si>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</si>
  <si>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</si>
  <si>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</si>
  <si>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</si>
  <si>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</si>
  <si>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</si>
  <si>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</si>
  <si>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</si>
  <si>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</si>
  <si>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</si>
  <si>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</si>
  <si>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</si>
  <si>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</si>
  <si>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</si>
  <si>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</si>
  <si>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</si>
  <si>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</si>
  <si>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</si>
  <si>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</si>
  <si>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</si>
  <si>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</si>
  <si>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</si>
  <si>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</si>
  <si>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</si>
  <si>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</si>
  <si>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</si>
  <si>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</si>
  <si>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</si>
  <si>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</si>
  <si>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</si>
  <si>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</si>
  <si>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</si>
  <si>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</si>
  <si>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</si>
  <si>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</si>
  <si>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</si>
  <si>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</si>
  <si>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</si>
  <si>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</si>
  <si>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</si>
  <si>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</si>
  <si>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</si>
  <si>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</si>
  <si>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</si>
  <si>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</si>
  <si>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</si>
  <si>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</si>
  <si>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</si>
  <si>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</si>
  <si>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</si>
  <si>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</si>
  <si>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</si>
  <si>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</si>
  <si>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</si>
  <si>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</si>
  <si>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</si>
  <si>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</si>
  <si>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</si>
  <si>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</si>
  <si>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</si>
  <si>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</si>
  <si>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</si>
  <si>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</si>
  <si>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</si>
  <si>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</si>
  <si>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</si>
  <si>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</si>
  <si>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</si>
  <si>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</si>
  <si>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</si>
  <si>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</si>
  <si>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</si>
  <si>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</si>
  <si>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</si>
  <si>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</si>
  <si>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</si>
  <si>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</si>
  <si>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</si>
  <si>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</si>
  <si>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</si>
  <si>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</si>
  <si>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</si>
  <si>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</si>
  <si>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</si>
  <si>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</si>
  <si>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</si>
  <si>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</si>
  <si>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</si>
  <si>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</si>
  <si>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</si>
  <si>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</si>
  <si>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</si>
  <si>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</si>
  <si>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</si>
  <si>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</si>
  <si>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</si>
  <si>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</si>
  <si>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</si>
  <si>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</si>
  <si>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</si>
  <si>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</si>
  <si>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</si>
  <si>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</si>
  <si>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</si>
  <si>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</si>
  <si>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</si>
  <si>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</si>
  <si>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</si>
  <si>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</si>
  <si>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</si>
  <si>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</si>
  <si>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</si>
  <si>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</si>
  <si>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</si>
  <si>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</si>
  <si>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</si>
  <si>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</si>
  <si>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</si>
  <si>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</si>
  <si>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</si>
  <si>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</si>
  <si>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</si>
  <si>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</si>
  <si>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</si>
  <si>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</si>
  <si>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</si>
  <si>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</si>
  <si>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</si>
  <si>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</si>
  <si>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</si>
  <si>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</si>
  <si>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</si>
  <si>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</si>
  <si>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</si>
  <si>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</si>
  <si>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</si>
  <si>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</si>
  <si>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</si>
  <si>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</si>
  <si>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</si>
  <si>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</si>
  <si>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</si>
  <si>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</si>
  <si>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</si>
  <si>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</si>
  <si>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</si>
  <si>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</si>
  <si>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</si>
  <si>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</si>
  <si>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</si>
  <si>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</si>
  <si>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</si>
  <si>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</si>
  <si>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</si>
  <si>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</si>
  <si>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</si>
  <si>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</si>
  <si>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</si>
  <si>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</si>
  <si>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</si>
  <si>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</si>
  <si>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</si>
  <si>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</si>
  <si>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</si>
  <si>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</si>
  <si>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</si>
  <si>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</si>
  <si>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</si>
  <si>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</si>
  <si>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</si>
  <si>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</si>
  <si>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</si>
  <si>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</si>
  <si>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</si>
  <si>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</si>
  <si>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</si>
  <si>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</si>
  <si>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</si>
  <si>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</si>
  <si>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</si>
  <si>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</si>
  <si>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</si>
  <si>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</si>
  <si>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</si>
  <si>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</si>
  <si>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</si>
  <si>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</si>
  <si>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</si>
  <si>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</si>
  <si>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</si>
  <si>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</si>
  <si>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</si>
  <si>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</si>
  <si>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</si>
  <si>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</si>
  <si>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</si>
  <si>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</si>
  <si>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</si>
  <si>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</si>
  <si>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</si>
  <si>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</si>
  <si>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</si>
  <si>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</si>
  <si>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</si>
  <si>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</si>
  <si>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</si>
  <si>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</si>
  <si>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</si>
  <si>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</si>
  <si>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</si>
  <si>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</si>
  <si>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</si>
  <si>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</si>
  <si>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</si>
  <si>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</si>
  <si>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</si>
  <si>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</si>
  <si>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</si>
  <si>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</si>
  <si>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</si>
  <si>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</si>
  <si>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</si>
  <si>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</si>
  <si>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</si>
  <si>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</si>
  <si>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</si>
  <si>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</si>
  <si>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</si>
  <si>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</si>
  <si>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</si>
  <si>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</si>
  <si>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</si>
  <si>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</si>
  <si>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</si>
  <si>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</si>
  <si>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</si>
  <si>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</si>
  <si>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</si>
  <si>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</si>
  <si>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</si>
  <si>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</si>
  <si>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</si>
  <si>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</si>
  <si>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</si>
  <si>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</si>
  <si>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</si>
  <si>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</si>
  <si>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</si>
  <si>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</si>
  <si>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</si>
  <si>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</si>
  <si>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</si>
  <si>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</si>
  <si>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</si>
  <si>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</si>
  <si>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</si>
  <si>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</si>
  <si>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</si>
  <si>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</si>
  <si>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</si>
  <si>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</si>
  <si>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</si>
  <si>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</si>
  <si>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</si>
  <si>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</si>
  <si>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</si>
  <si>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</si>
  <si>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</si>
  <si>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</si>
  <si>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</si>
  <si>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</si>
  <si>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</si>
  <si>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</si>
  <si>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</si>
  <si>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</si>
  <si>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</si>
  <si>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</si>
  <si>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</si>
  <si>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</si>
  <si>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</si>
  <si>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</si>
  <si>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</si>
  <si>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</si>
  <si>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</si>
  <si>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</si>
  <si>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</si>
  <si>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</si>
  <si>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</si>
  <si>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</si>
  <si>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</si>
  <si>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</si>
  <si>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</si>
  <si>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</si>
  <si>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</si>
  <si>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</si>
  <si>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</si>
  <si>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</si>
  <si>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</si>
  <si>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</si>
  <si>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</si>
  <si>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</si>
  <si>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</si>
  <si>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</si>
  <si>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</si>
  <si>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</si>
  <si>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</si>
  <si>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</si>
  <si>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</si>
  <si>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</si>
  <si>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</si>
  <si>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</si>
  <si>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</si>
  <si>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</si>
  <si>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</si>
  <si>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</si>
  <si>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</si>
  <si>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</si>
  <si>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</si>
  <si>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</si>
  <si>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</si>
  <si>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</si>
  <si>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</si>
  <si>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</si>
  <si>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</si>
  <si>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</si>
  <si>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</si>
  <si>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</si>
  <si>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</si>
  <si>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</si>
  <si>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</si>
  <si>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</si>
  <si>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</si>
  <si>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</si>
  <si>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</si>
  <si>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</si>
  <si>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</si>
  <si>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</si>
  <si>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</si>
  <si>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</si>
  <si>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</si>
  <si>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</si>
  <si>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</si>
  <si>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</si>
  <si>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</si>
  <si>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</si>
  <si>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</si>
  <si>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</si>
  <si>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</si>
  <si>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</si>
  <si>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</si>
  <si>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</si>
  <si>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</si>
  <si>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</si>
  <si>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</si>
  <si>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</si>
  <si>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</si>
  <si>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</si>
  <si>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</si>
  <si>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</si>
  <si>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</si>
  <si>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</si>
  <si>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</si>
  <si>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</si>
  <si>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</si>
  <si>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</si>
  <si>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</si>
  <si>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</si>
  <si>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</si>
  <si>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</si>
  <si>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</si>
  <si>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</si>
  <si>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</si>
  <si>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</si>
  <si>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</si>
  <si>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</si>
  <si>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</si>
  <si>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</si>
  <si>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</si>
  <si>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</si>
  <si>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</si>
  <si>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</si>
  <si>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</si>
  <si>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</si>
  <si>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</si>
  <si>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</si>
  <si>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</si>
  <si>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</si>
  <si>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</si>
  <si>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</si>
  <si>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</si>
  <si>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</si>
  <si>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</si>
  <si>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</si>
  <si>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</si>
  <si>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</si>
  <si>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</si>
  <si>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</si>
  <si>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</si>
  <si>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</si>
  <si>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</si>
  <si>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</si>
  <si>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</si>
  <si>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</si>
  <si>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</si>
  <si>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</si>
  <si>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</si>
  <si>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</si>
  <si>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</si>
  <si>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</si>
  <si>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</si>
  <si>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</si>
  <si>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</si>
  <si>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</si>
  <si>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</si>
  <si>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</si>
  <si>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</si>
  <si>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</si>
  <si>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</si>
  <si>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</si>
  <si>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</si>
  <si>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</si>
  <si>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</si>
  <si>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</si>
  <si>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</si>
  <si>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</si>
  <si>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</si>
  <si>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</si>
  <si>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</si>
  <si>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</si>
  <si>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</si>
  <si>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</si>
  <si>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</si>
  <si>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</si>
  <si>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</si>
  <si>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</si>
  <si>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</si>
  <si>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</si>
  <si>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</si>
  <si>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</si>
  <si>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</si>
  <si>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</si>
  <si>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</si>
  <si>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</si>
  <si>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</si>
  <si>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</si>
  <si>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</si>
  <si>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</si>
  <si>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</si>
  <si>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</si>
  <si>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</si>
  <si>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</si>
  <si>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</si>
  <si>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</si>
  <si>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</si>
  <si>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</si>
  <si>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</si>
  <si>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</si>
  <si>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</si>
  <si>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</si>
  <si>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</si>
  <si>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</si>
  <si>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</si>
  <si>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</si>
  <si>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</si>
  <si>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</si>
  <si>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</si>
  <si>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</si>
  <si>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</si>
  <si>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</si>
  <si>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</si>
  <si>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</si>
  <si>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</si>
  <si>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</si>
  <si>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</si>
  <si>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</si>
  <si>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</si>
  <si>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</si>
  <si>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</si>
  <si>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</si>
  <si>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</si>
  <si>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</si>
  <si>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</si>
  <si>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</si>
  <si>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</si>
  <si>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</si>
  <si>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</si>
  <si>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</si>
  <si>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</si>
  <si>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</si>
  <si>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</si>
  <si>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</si>
  <si>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</si>
  <si>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</si>
  <si>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</si>
  <si>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</si>
  <si>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</si>
  <si>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</si>
  <si>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</si>
  <si>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</si>
  <si>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</si>
  <si>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</si>
  <si>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</si>
  <si>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</si>
  <si>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</si>
  <si>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</si>
  <si>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</si>
  <si>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</si>
  <si>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</si>
  <si>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</si>
  <si>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</si>
  <si>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</si>
  <si>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</si>
  <si>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</si>
  <si>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</si>
  <si>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</si>
  <si>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</si>
  <si>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</si>
  <si>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</si>
  <si>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</si>
  <si>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</si>
  <si>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</si>
  <si>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</si>
  <si>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</si>
  <si>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</si>
  <si>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</si>
  <si>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</si>
  <si>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</si>
  <si>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</si>
  <si>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</si>
  <si>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</si>
  <si>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</si>
  <si>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</si>
  <si>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</si>
  <si>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</si>
  <si>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</si>
  <si>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</si>
  <si>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</si>
  <si>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</si>
  <si>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</si>
  <si>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</si>
  <si>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</si>
  <si>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</si>
  <si>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</si>
  <si>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</si>
  <si>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</si>
  <si>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</si>
  <si>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</si>
  <si>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</si>
  <si>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</si>
  <si>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</si>
  <si>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</si>
  <si>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</si>
  <si>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</si>
  <si>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</si>
  <si>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</si>
  <si>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</si>
  <si>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</si>
  <si>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</si>
  <si>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</si>
  <si>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</si>
  <si>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</si>
  <si>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</si>
  <si>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</si>
  <si>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</si>
  <si>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</si>
  <si>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</si>
  <si>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</si>
  <si>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</si>
  <si>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</si>
  <si>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</si>
  <si>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</si>
  <si>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</si>
  <si>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</si>
  <si>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</si>
  <si>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</si>
  <si>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</si>
  <si>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</si>
  <si>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</si>
  <si>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</si>
  <si>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</si>
  <si>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</si>
  <si>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</si>
  <si>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</si>
  <si>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</si>
  <si>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</si>
  <si>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</si>
  <si>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</si>
  <si>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</si>
  <si>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</si>
  <si>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</si>
  <si>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</si>
  <si>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</si>
  <si>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</si>
  <si>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</si>
  <si>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</si>
  <si>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</si>
  <si>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</si>
  <si>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</si>
  <si>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</si>
  <si>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</si>
  <si>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</si>
  <si>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</si>
  <si>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</si>
  <si>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</si>
  <si>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</si>
  <si>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</si>
  <si>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</si>
  <si>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</si>
  <si>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</si>
  <si>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</si>
  <si>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</si>
  <si>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</si>
  <si>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</si>
  <si>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</si>
  <si>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</si>
  <si>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</si>
  <si>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</si>
  <si>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</si>
  <si>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</si>
  <si>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</si>
  <si>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</si>
  <si>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</si>
  <si>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</si>
  <si>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</si>
  <si>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</si>
  <si>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</si>
  <si>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</si>
  <si>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</si>
  <si>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</si>
  <si>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</si>
  <si>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</si>
  <si>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</si>
  <si>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</si>
  <si>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</si>
  <si>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</si>
  <si>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</si>
  <si>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</si>
  <si>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</si>
  <si>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</si>
  <si>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</si>
  <si>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</si>
  <si>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</si>
  <si>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</si>
  <si>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</si>
  <si>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</si>
  <si>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</si>
  <si>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</si>
  <si>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</si>
  <si>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</si>
  <si>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</si>
  <si>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</si>
  <si>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</si>
  <si>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</si>
  <si>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</si>
  <si>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</si>
  <si>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</si>
  <si>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</si>
  <si>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</si>
  <si>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</si>
  <si>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</si>
  <si>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</si>
  <si>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</si>
  <si>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</si>
  <si>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</si>
  <si>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</si>
  <si>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</si>
  <si>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</si>
  <si>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</si>
  <si>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</si>
  <si>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</si>
  <si>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</si>
  <si>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</si>
  <si>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</si>
  <si>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</si>
  <si>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</si>
  <si>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</si>
  <si>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</si>
  <si>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</si>
  <si>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</si>
  <si>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</si>
  <si>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</si>
  <si>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</si>
  <si>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</si>
  <si>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</si>
  <si>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</si>
  <si>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</si>
  <si>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</si>
  <si>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</si>
  <si>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</si>
  <si>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</si>
  <si>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</si>
  <si>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</si>
  <si>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</si>
  <si>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</si>
  <si>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</si>
  <si>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</si>
  <si>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</si>
  <si>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</si>
  <si>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</si>
  <si>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</si>
  <si>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</si>
  <si>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</si>
  <si>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</si>
  <si>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</si>
  <si>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</si>
  <si>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</si>
  <si>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</si>
  <si>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</si>
  <si>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</si>
  <si>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</si>
  <si>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</si>
  <si>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</si>
  <si>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</si>
  <si>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</si>
  <si>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</si>
  <si>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</si>
  <si>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</si>
  <si>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</si>
  <si>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</si>
  <si>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</si>
  <si>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</si>
  <si>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</si>
  <si>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</si>
  <si>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</si>
  <si>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</si>
  <si>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</si>
  <si>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</si>
  <si>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</si>
  <si>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</si>
  <si>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</si>
  <si>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</si>
  <si>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</si>
  <si>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</si>
  <si>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</si>
  <si>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</si>
  <si>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</si>
  <si>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</si>
  <si>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</si>
  <si>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</si>
  <si>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</si>
  <si>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</si>
  <si>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</si>
  <si>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</si>
  <si>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</si>
  <si>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</si>
  <si>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</si>
  <si>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</si>
  <si>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</si>
  <si>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</si>
  <si>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</si>
  <si>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</si>
  <si>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</si>
  <si>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</si>
  <si>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</si>
  <si>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</si>
  <si>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</si>
  <si>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</si>
  <si>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</si>
  <si>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</si>
  <si>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</si>
  <si>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</si>
  <si>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</si>
  <si>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</si>
  <si>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</si>
  <si>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</si>
  <si>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</si>
  <si>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</si>
  <si>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</si>
  <si>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</si>
  <si>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</si>
  <si>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</si>
  <si>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</si>
  <si>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</si>
  <si>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</si>
  <si>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</si>
  <si>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</si>
  <si>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</si>
  <si>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</si>
  <si>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</si>
  <si>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</si>
  <si>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</si>
  <si>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</si>
  <si>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</si>
  <si>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</si>
  <si>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</si>
  <si>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</si>
  <si>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</si>
  <si>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</si>
  <si>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</si>
  <si>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</si>
  <si>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</si>
  <si>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</si>
  <si>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</si>
  <si>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</si>
  <si>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</si>
  <si>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</si>
  <si>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</si>
  <si>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</si>
  <si>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</si>
  <si>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</si>
  <si>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</si>
  <si>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</si>
  <si>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</si>
  <si>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</si>
  <si>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</si>
  <si>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</si>
  <si>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</si>
  <si>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</si>
  <si>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</si>
  <si>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</si>
  <si>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</si>
  <si>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</si>
  <si>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</si>
  <si>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</si>
  <si>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</si>
  <si>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</si>
  <si>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</si>
  <si>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</si>
  <si>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</si>
  <si>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</si>
  <si>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</si>
  <si>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</si>
  <si>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</si>
  <si>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</si>
  <si>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</si>
  <si>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</si>
  <si>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</si>
  <si>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</si>
  <si>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</si>
  <si>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</si>
  <si>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</si>
  <si>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</si>
  <si>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</si>
  <si>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</si>
  <si>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</si>
  <si>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</si>
  <si>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</si>
  <si>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</si>
  <si>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</si>
  <si>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</si>
  <si>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</si>
  <si>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</si>
  <si>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</si>
  <si>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</si>
  <si>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</si>
  <si>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</si>
  <si>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</si>
  <si>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</si>
  <si>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</si>
  <si>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</si>
  <si>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</si>
  <si>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</si>
  <si>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</si>
  <si>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</si>
  <si>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</si>
  <si>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</si>
  <si>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</si>
  <si>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</si>
  <si>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</si>
  <si>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</si>
  <si>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</si>
  <si>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</si>
  <si>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</si>
  <si>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</si>
  <si>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</si>
  <si>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</si>
  <si>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</si>
  <si>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</si>
  <si>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</si>
  <si>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</si>
  <si>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</si>
  <si>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</si>
  <si>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</si>
  <si>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</si>
  <si>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</si>
  <si>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</si>
  <si>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</si>
  <si>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</si>
  <si>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</si>
  <si>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</si>
  <si>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</si>
  <si>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</si>
  <si>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</si>
  <si>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</si>
  <si>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</si>
  <si>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</si>
  <si>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</si>
  <si>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</si>
  <si>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</si>
  <si>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</si>
  <si>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</si>
  <si>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</si>
  <si>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</si>
  <si>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</si>
  <si>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</si>
  <si>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</si>
  <si>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</si>
  <si>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</si>
  <si>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</si>
  <si>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</si>
  <si>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</si>
  <si>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</si>
  <si>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</si>
  <si>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</si>
  <si>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</si>
  <si>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</si>
  <si>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</si>
  <si>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</si>
  <si>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</si>
  <si>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</si>
  <si>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</si>
  <si>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</si>
  <si>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</si>
  <si>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</si>
  <si>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</si>
  <si>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</si>
  <si>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</si>
  <si>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</si>
  <si>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</si>
  <si>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</si>
  <si>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</si>
  <si>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</si>
  <si>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</si>
  <si>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</si>
  <si>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</si>
  <si>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</si>
  <si>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</si>
  <si>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</si>
  <si>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</si>
  <si>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</si>
  <si>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</si>
  <si>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</si>
  <si>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</si>
  <si>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</si>
  <si>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</si>
  <si>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</si>
  <si>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</si>
  <si>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</si>
  <si>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</si>
  <si>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</si>
  <si>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</si>
  <si>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</si>
  <si>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</si>
  <si>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</si>
  <si>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</si>
  <si>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</si>
  <si>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</si>
  <si>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</si>
  <si>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</si>
  <si>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</si>
  <si>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</si>
  <si>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</si>
  <si>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</si>
  <si>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</si>
  <si>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</si>
  <si>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</si>
  <si>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</si>
  <si>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</si>
  <si>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</si>
  <si>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</si>
  <si>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</si>
  <si>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</si>
  <si>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</si>
  <si>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</si>
  <si>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</si>
  <si>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</si>
  <si>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</si>
  <si>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</si>
  <si>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</si>
  <si>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</si>
  <si>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</si>
  <si>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</si>
  <si>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</si>
  <si>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</si>
  <si>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</si>
  <si>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</si>
  <si>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</si>
  <si>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</si>
  <si>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</si>
  <si>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</si>
  <si>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</si>
  <si>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</si>
  <si>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</si>
  <si>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</si>
  <si>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</si>
  <si>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</si>
  <si>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</si>
  <si>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</si>
  <si>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</si>
  <si>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</si>
  <si>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</si>
  <si>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</si>
  <si>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</si>
  <si>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</si>
  <si>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</si>
  <si>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</si>
  <si>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</si>
  <si>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</si>
  <si>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</si>
  <si>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</si>
  <si>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</si>
  <si>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</si>
  <si>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</si>
  <si>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</si>
  <si>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</si>
  <si>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</si>
  <si>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</si>
  <si>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</si>
  <si>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</si>
  <si>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</si>
  <si>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</si>
  <si>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</si>
  <si>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</si>
  <si>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</si>
  <si>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</si>
  <si>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</si>
  <si>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</si>
  <si>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</si>
  <si>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</si>
  <si>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</si>
  <si>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</si>
  <si>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</si>
  <si>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</si>
  <si>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</si>
  <si>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</si>
  <si>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</si>
  <si>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</si>
  <si>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</si>
  <si>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</si>
  <si>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</si>
  <si>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</si>
  <si>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</si>
  <si>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</si>
  <si>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</si>
  <si>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</si>
  <si>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</si>
  <si>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</si>
  <si>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</si>
  <si>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</si>
  <si>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</si>
  <si>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</si>
  <si>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</si>
  <si>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</si>
  <si>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</si>
  <si>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</si>
  <si>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</si>
  <si>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</si>
  <si>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</si>
  <si>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</si>
  <si>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</si>
  <si>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</si>
  <si>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</si>
  <si>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</si>
  <si>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</si>
  <si>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</si>
  <si>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</si>
  <si>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</si>
  <si>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</si>
  <si>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</si>
  <si>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</si>
  <si>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</si>
  <si>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</si>
  <si>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</si>
  <si>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</si>
  <si>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</si>
  <si>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</si>
  <si>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</si>
  <si>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</si>
  <si>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</si>
  <si>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</si>
  <si>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</si>
  <si>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</si>
  <si>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</si>
  <si>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</si>
  <si>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</si>
  <si>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</si>
  <si>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</si>
  <si>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</si>
  <si>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</si>
  <si>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</si>
  <si>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</si>
  <si>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</si>
  <si>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</si>
  <si>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</si>
  <si>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</si>
  <si>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</si>
  <si>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</si>
  <si>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</si>
  <si>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</si>
  <si>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</si>
  <si>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</si>
  <si>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</si>
  <si>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</si>
  <si>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</si>
  <si>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</si>
  <si>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</si>
  <si>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</si>
  <si>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</si>
  <si>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</si>
  <si>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</si>
  <si>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</si>
  <si>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</si>
  <si>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</si>
  <si>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</si>
  <si>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</si>
  <si>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</si>
  <si>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</si>
  <si>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</si>
  <si>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</si>
  <si>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</si>
  <si>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</si>
  <si>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</si>
  <si>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</si>
  <si>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</si>
  <si>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</si>
  <si>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</si>
  <si>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</si>
  <si>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</si>
  <si>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</si>
  <si>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</si>
  <si>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</si>
  <si>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</si>
  <si>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</si>
  <si>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</si>
  <si>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</si>
  <si>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</si>
  <si>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</si>
  <si>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</si>
  <si>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</si>
  <si>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</si>
  <si>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</si>
  <si>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</si>
  <si>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</si>
  <si>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</si>
  <si>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</si>
  <si>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</si>
  <si>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</si>
  <si>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</si>
  <si>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</si>
  <si>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</si>
  <si>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</si>
  <si>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</si>
  <si>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</si>
  <si>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</si>
  <si>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</si>
  <si>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</si>
  <si>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</si>
  <si>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</si>
  <si>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</si>
  <si>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</si>
  <si>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</si>
  <si>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</si>
  <si>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</si>
  <si>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</si>
  <si>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</si>
  <si>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</si>
  <si>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</si>
  <si>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</si>
  <si>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</si>
  <si>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</si>
  <si>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</si>
  <si>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</si>
  <si>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</si>
  <si>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</si>
  <si>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</si>
  <si>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</si>
  <si>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</si>
  <si>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</si>
  <si>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</si>
  <si>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</si>
  <si>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</si>
  <si>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</si>
  <si>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</si>
  <si>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</si>
  <si>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</si>
  <si>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</si>
  <si>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</si>
  <si>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</si>
  <si>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</si>
  <si>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</si>
  <si>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</si>
  <si>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</si>
  <si>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</si>
  <si>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</si>
  <si>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</si>
  <si>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</si>
  <si>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</si>
  <si>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</si>
  <si>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</si>
  <si>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</si>
  <si>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</si>
  <si>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</si>
  <si>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</si>
  <si>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</si>
  <si>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</si>
  <si>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</si>
  <si>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</si>
  <si>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</si>
  <si>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</si>
  <si>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</si>
  <si>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</si>
  <si>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</si>
  <si>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</si>
  <si>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</si>
  <si>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</si>
  <si>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</si>
  <si>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</si>
  <si>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</si>
  <si>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</si>
  <si>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</si>
  <si>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</si>
  <si>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</si>
  <si>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</si>
  <si>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</si>
  <si>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</si>
  <si>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</si>
  <si>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</si>
  <si>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</si>
  <si>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</si>
  <si>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</si>
  <si>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</si>
  <si>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</si>
  <si>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</si>
  <si>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</si>
  <si>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</si>
  <si>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</si>
  <si>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</si>
  <si>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</si>
  <si>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</si>
  <si>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</si>
  <si>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</si>
  <si>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</si>
  <si>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</si>
  <si>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</si>
  <si>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</si>
  <si>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</si>
  <si>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</si>
  <si>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</si>
  <si>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</si>
  <si>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</si>
  <si>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</si>
  <si>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</si>
  <si>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</si>
  <si>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</si>
  <si>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</si>
  <si>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</si>
  <si>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</si>
  <si>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</si>
  <si>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</si>
  <si>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</si>
  <si>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</si>
  <si>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</si>
  <si>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</si>
  <si>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</si>
  <si>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</si>
  <si>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</si>
  <si>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</si>
  <si>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</si>
  <si>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</si>
  <si>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</si>
  <si>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</si>
  <si>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</si>
  <si>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</si>
  <si>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</si>
  <si>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</si>
  <si>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</si>
  <si>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</si>
  <si>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</si>
  <si>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</si>
  <si>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</si>
  <si>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</si>
  <si>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</si>
  <si>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</si>
  <si>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</si>
  <si>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</si>
  <si>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</si>
  <si>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</si>
  <si>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</si>
  <si>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</si>
  <si>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</si>
  <si>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</si>
  <si>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</si>
  <si>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</si>
  <si>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</si>
  <si>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</si>
  <si>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</si>
  <si>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</si>
  <si>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</si>
  <si>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</si>
  <si>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</si>
  <si>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</si>
  <si>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</si>
  <si>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</si>
  <si>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</si>
  <si>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</si>
  <si>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</si>
  <si>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</si>
  <si>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</si>
  <si>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</si>
  <si>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</si>
  <si>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</si>
  <si>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</si>
  <si>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</si>
  <si>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</si>
  <si>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</si>
  <si>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</si>
  <si>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</si>
  <si>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</si>
  <si>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</si>
  <si>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</si>
  <si>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</si>
  <si>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</si>
  <si>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</si>
  <si>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</si>
  <si>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</si>
  <si>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</si>
  <si>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</si>
  <si>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</si>
  <si>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</si>
  <si>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</si>
  <si>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</si>
  <si>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</si>
  <si>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</si>
  <si>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</si>
  <si>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</si>
  <si>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</si>
  <si>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</si>
  <si>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</si>
  <si>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</si>
  <si>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</si>
  <si>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</si>
  <si>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</si>
  <si>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</si>
  <si>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</si>
  <si>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</si>
  <si>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</si>
  <si>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</si>
  <si>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</si>
  <si>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</si>
  <si>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</si>
  <si>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</si>
  <si>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</si>
  <si>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</si>
  <si>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</si>
  <si>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</si>
  <si>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</si>
  <si>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</si>
  <si>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</si>
  <si>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</si>
  <si>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</si>
  <si>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</si>
  <si>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</si>
  <si>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</si>
  <si>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</si>
  <si>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</si>
  <si>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</si>
  <si>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</si>
  <si>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</si>
  <si>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</si>
  <si>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</si>
  <si>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</si>
  <si>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</si>
  <si>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</si>
  <si>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</si>
  <si>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</si>
  <si>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</si>
  <si>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</si>
  <si>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</si>
  <si>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</si>
  <si>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</si>
  <si>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</si>
  <si>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</si>
  <si>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</si>
  <si>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</si>
  <si>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</si>
  <si>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</si>
  <si>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</si>
  <si>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</si>
  <si>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</si>
  <si>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</si>
  <si>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</si>
  <si>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</si>
  <si>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</si>
  <si>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</si>
  <si>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</si>
  <si>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</si>
  <si>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</si>
  <si>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</si>
  <si>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</si>
  <si>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</si>
  <si>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</si>
  <si>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</si>
  <si>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</si>
  <si>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</si>
  <si>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</si>
  <si>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</si>
  <si>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</si>
  <si>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</si>
  <si>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</si>
  <si>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</si>
  <si>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</si>
  <si>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</si>
  <si>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</si>
  <si>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</si>
  <si>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</si>
  <si>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</si>
  <si>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</si>
  <si>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</si>
  <si>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</si>
  <si>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</si>
  <si>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</si>
  <si>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</si>
  <si>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</si>
  <si>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</si>
  <si>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</si>
  <si>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</si>
  <si>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</si>
  <si>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</si>
  <si>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</si>
  <si>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</si>
  <si>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</si>
  <si>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</si>
  <si>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</si>
  <si>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</si>
  <si>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</si>
  <si>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</si>
  <si>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</si>
  <si>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</si>
  <si>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</si>
  <si>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</si>
  <si>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</si>
  <si>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</si>
  <si>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</si>
  <si>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</si>
  <si>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</si>
  <si>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</si>
  <si>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</si>
  <si>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</si>
  <si>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</si>
  <si>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</si>
  <si>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</si>
  <si>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</si>
  <si>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</si>
  <si>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</si>
  <si>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</si>
  <si>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</si>
  <si>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</si>
  <si>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</si>
  <si>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</si>
  <si>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</si>
  <si>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</si>
  <si>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</si>
  <si>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</si>
  <si>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</si>
  <si>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</si>
  <si>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</si>
  <si>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</si>
  <si>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</si>
  <si>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</si>
  <si>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</si>
  <si>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</si>
  <si>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</si>
  <si>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</si>
  <si>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</si>
  <si>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</si>
  <si>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</si>
  <si>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</si>
  <si>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</si>
  <si>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</si>
  <si>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</si>
  <si>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</si>
  <si>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</si>
  <si>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</si>
  <si>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</si>
  <si>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</si>
  <si>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</si>
  <si>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</si>
  <si>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</si>
  <si>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</si>
  <si>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</si>
  <si>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</si>
  <si>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</si>
  <si>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</si>
  <si>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</si>
  <si>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</si>
  <si>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</si>
  <si>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</si>
  <si>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</si>
  <si>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</si>
  <si>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</si>
  <si>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</si>
  <si>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</si>
  <si>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</si>
  <si>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</si>
  <si>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</si>
  <si>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</si>
  <si>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</si>
  <si>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</si>
  <si>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</si>
  <si>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</si>
  <si>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</si>
  <si>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</si>
  <si>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</si>
  <si>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</si>
  <si>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</si>
  <si>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</si>
  <si>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</si>
  <si>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</si>
  <si>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</si>
  <si>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</si>
  <si>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</si>
  <si>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</si>
  <si>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</si>
  <si>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</si>
  <si>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</si>
  <si>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</si>
  <si>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</si>
  <si>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</si>
  <si>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</si>
  <si>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</si>
  <si>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</si>
  <si>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</si>
  <si>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</si>
  <si>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</si>
  <si>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</si>
  <si>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</si>
  <si>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</si>
  <si>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</si>
  <si>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</si>
  <si>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</si>
  <si>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</si>
  <si>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</si>
  <si>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</si>
  <si>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</si>
  <si>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</si>
  <si>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</si>
  <si>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</si>
  <si>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</si>
  <si>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</si>
  <si>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</si>
  <si>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</si>
  <si>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</si>
  <si>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</si>
  <si>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</si>
  <si>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</si>
  <si>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</si>
  <si>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</si>
  <si>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</si>
  <si>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</si>
  <si>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</si>
  <si>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</si>
  <si>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</si>
  <si>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</si>
  <si>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</si>
  <si>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</si>
  <si>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</si>
  <si>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</si>
  <si>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</si>
  <si>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</si>
  <si>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</si>
  <si>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</si>
  <si>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</si>
  <si>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</si>
  <si>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</si>
  <si>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</si>
  <si>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</si>
  <si>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</si>
  <si>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</si>
  <si>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</si>
  <si>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</si>
  <si>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</si>
  <si>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</si>
  <si>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</si>
  <si>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</si>
  <si>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</si>
  <si>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</si>
  <si>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</si>
  <si>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</si>
  <si>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</si>
  <si>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</si>
  <si>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</si>
  <si>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</si>
  <si>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</si>
  <si>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</si>
  <si>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</si>
  <si>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</si>
  <si>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</si>
  <si>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</si>
  <si>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</si>
  <si>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</si>
  <si>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</si>
  <si>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</si>
  <si>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</si>
  <si>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</si>
  <si>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</si>
  <si>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</si>
  <si>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</si>
  <si>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</si>
  <si>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</si>
  <si>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</si>
  <si>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</si>
  <si>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</si>
  <si>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</si>
  <si>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</si>
  <si>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</si>
  <si>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</si>
  <si>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</si>
  <si>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</si>
  <si>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</si>
  <si>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</si>
  <si>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</si>
  <si>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</si>
  <si>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</si>
  <si>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</si>
  <si>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</si>
  <si>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</si>
  <si>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</si>
  <si>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</si>
  <si>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</si>
  <si>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</si>
  <si>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</si>
  <si>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</si>
  <si>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</si>
  <si>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</si>
  <si>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</si>
  <si>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</si>
  <si>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</si>
  <si>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</si>
  <si>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</si>
  <si>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</si>
  <si>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</si>
  <si>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</si>
  <si>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</si>
  <si>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</si>
  <si>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</si>
  <si>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</si>
  <si>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</si>
  <si>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</si>
  <si>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</si>
  <si>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</si>
  <si>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</si>
  <si>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</si>
  <si>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</si>
  <si>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</si>
  <si>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</si>
  <si>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</si>
  <si>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</si>
  <si>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</si>
  <si>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</si>
  <si>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</si>
  <si>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</si>
  <si>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</si>
  <si>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</si>
  <si>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</si>
  <si>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</si>
  <si>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</si>
  <si>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</si>
  <si>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</si>
  <si>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</si>
  <si>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</si>
  <si>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</si>
  <si>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</si>
  <si>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</si>
  <si>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</si>
  <si>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</si>
  <si>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</si>
  <si>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</si>
  <si>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</si>
  <si>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</si>
  <si>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</si>
  <si>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</si>
  <si>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</si>
  <si>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</si>
  <si>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</si>
  <si>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</si>
  <si>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</si>
  <si>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</si>
  <si>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</si>
  <si>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</si>
  <si>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</si>
  <si>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</si>
  <si>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</si>
  <si>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</si>
  <si>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</si>
  <si>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</si>
  <si>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</si>
  <si>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</si>
  <si>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</si>
  <si>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</si>
  <si>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</si>
  <si>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</si>
  <si>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</si>
  <si>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</si>
  <si>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</si>
  <si>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</si>
  <si>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</si>
  <si>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</si>
  <si>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</si>
  <si>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</si>
  <si>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</si>
  <si>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</si>
  <si>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</si>
  <si>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</si>
  <si>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</si>
  <si>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</si>
  <si>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</si>
  <si>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</si>
  <si>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</si>
  <si>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</si>
  <si>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</si>
  <si>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</si>
  <si>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</si>
  <si>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</si>
  <si>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</si>
  <si>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</si>
  <si>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</si>
  <si>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</si>
  <si>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</si>
  <si>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</si>
  <si>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</si>
  <si>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</si>
  <si>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</si>
  <si>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</si>
  <si>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</si>
  <si>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</si>
  <si>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</si>
  <si>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</si>
  <si>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</si>
  <si>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</si>
  <si>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</si>
  <si>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</si>
  <si>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</si>
  <si>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</si>
  <si>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</si>
  <si>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</si>
  <si>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</si>
  <si>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</si>
  <si>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</si>
  <si>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</si>
  <si>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</si>
  <si>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</si>
  <si>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</si>
  <si>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</si>
  <si>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</si>
  <si>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</si>
  <si>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</si>
  <si>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</si>
  <si>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</si>
  <si>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</si>
  <si>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</si>
  <si>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</si>
  <si>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</si>
  <si>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</si>
  <si>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</si>
  <si>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</si>
  <si>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</si>
  <si>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</si>
  <si>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</si>
  <si>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</si>
  <si>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</si>
  <si>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</si>
  <si>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</si>
  <si>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</si>
  <si>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</si>
  <si>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</si>
  <si>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</si>
  <si>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</si>
  <si>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</si>
  <si>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</si>
  <si>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</si>
  <si>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</si>
  <si>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</si>
  <si>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</si>
  <si>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</si>
  <si>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</si>
  <si>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</si>
  <si>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</si>
  <si>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</si>
  <si>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</si>
  <si>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</si>
  <si>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</si>
  <si>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</si>
  <si>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</si>
  <si>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</si>
  <si>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</si>
  <si>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</si>
  <si>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</si>
  <si>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</si>
  <si>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</si>
  <si>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</si>
  <si>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</si>
  <si>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</si>
  <si>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</si>
  <si>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</si>
  <si>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</si>
  <si>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</si>
  <si>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</si>
  <si>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</si>
  <si>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</si>
  <si>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</si>
  <si>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</si>
  <si>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</si>
  <si>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</si>
  <si>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</si>
  <si>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</si>
  <si>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</si>
  <si>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</si>
  <si>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</si>
  <si>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</si>
  <si>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</si>
  <si>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</si>
  <si>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</si>
  <si>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</si>
  <si>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</si>
  <si>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</si>
  <si>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</si>
  <si>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</si>
  <si>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</si>
  <si>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</si>
  <si>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</si>
  <si>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</si>
  <si>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</si>
  <si>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</si>
  <si>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</si>
  <si>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</si>
  <si>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</si>
  <si>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</si>
  <si>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</si>
  <si>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</si>
  <si>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</si>
  <si>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</si>
  <si>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</si>
  <si>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</si>
  <si>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</si>
  <si>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</si>
  <si>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</si>
  <si>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</si>
  <si>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</si>
  <si>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</si>
  <si>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</si>
  <si>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</si>
  <si>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</si>
  <si>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</si>
  <si>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</si>
  <si>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</si>
  <si>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</si>
  <si>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</si>
  <si>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</si>
  <si>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</si>
  <si>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</si>
  <si>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</si>
  <si>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</si>
  <si>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</si>
  <si>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</si>
  <si>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</si>
  <si>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</si>
  <si>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</si>
  <si>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</si>
  <si>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</si>
  <si>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</si>
  <si>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</si>
  <si>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</si>
  <si>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</si>
  <si>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</si>
  <si>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</si>
  <si>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</si>
  <si>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</si>
  <si>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</si>
  <si>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</si>
  <si>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</si>
  <si>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</si>
  <si>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</si>
  <si>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</si>
  <si>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</si>
  <si>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</si>
  <si>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</si>
  <si>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</si>
  <si>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</si>
  <si>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</si>
  <si>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</si>
  <si>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</si>
  <si>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</si>
  <si>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</si>
  <si>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</si>
  <si>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</si>
  <si>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</si>
  <si>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</si>
  <si>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</si>
  <si>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</si>
  <si>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</si>
  <si>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</si>
  <si>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</si>
  <si>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</si>
  <si>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</si>
  <si>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</si>
  <si>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</si>
  <si>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</si>
  <si>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</si>
  <si>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</si>
  <si>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</si>
  <si>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</si>
  <si>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</si>
  <si>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</si>
  <si>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</si>
  <si>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</si>
  <si>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</si>
  <si>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</si>
  <si>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</si>
  <si>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</si>
  <si>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</si>
  <si>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</si>
  <si>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</si>
  <si>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</si>
  <si>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</si>
  <si>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</si>
  <si>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</si>
  <si>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</si>
  <si>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</si>
  <si>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</si>
  <si>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</si>
  <si>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</si>
  <si>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</si>
  <si>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</si>
  <si>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</si>
  <si>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</si>
  <si>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</si>
  <si>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</si>
  <si>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</si>
  <si>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</si>
  <si>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</si>
  <si>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</si>
  <si>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</si>
  <si>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</si>
  <si>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</si>
  <si>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</si>
  <si>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</si>
  <si>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</si>
  <si>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</si>
  <si>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</si>
  <si>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</si>
  <si>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</si>
  <si>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</si>
  <si>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</si>
  <si>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</si>
  <si>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</si>
  <si>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</si>
  <si>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</si>
  <si>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</si>
  <si>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</si>
  <si>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</si>
  <si>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</si>
  <si>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</si>
  <si>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</si>
  <si>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</si>
  <si>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</si>
  <si>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</si>
  <si>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</si>
  <si>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</si>
  <si>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</si>
  <si>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</si>
  <si>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</si>
  <si>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</si>
  <si>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</si>
  <si>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</si>
  <si>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</si>
  <si>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</si>
  <si>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</si>
  <si>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</si>
  <si>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</si>
  <si>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</si>
  <si>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</si>
  <si>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</si>
  <si>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</si>
  <si>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</si>
  <si>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</si>
  <si>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</si>
  <si>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</si>
  <si>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</si>
  <si>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</si>
  <si>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</si>
  <si>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</si>
  <si>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</si>
  <si>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</si>
  <si>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</si>
  <si>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</si>
  <si>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</si>
  <si>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</si>
  <si>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</si>
  <si>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</si>
  <si>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</si>
  <si>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</si>
  <si>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</si>
  <si>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</si>
  <si>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</si>
  <si>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</si>
  <si>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</si>
  <si>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</si>
  <si>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</si>
  <si>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</si>
  <si>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</si>
  <si>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</si>
  <si>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</si>
  <si>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</si>
  <si>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</si>
  <si>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</si>
  <si>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</si>
  <si>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</si>
  <si>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</si>
  <si>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</si>
  <si>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</si>
  <si>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</si>
  <si>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</si>
  <si>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</si>
  <si>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</si>
  <si>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</si>
  <si>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</si>
  <si>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</si>
  <si>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</si>
  <si>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</si>
  <si>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</si>
  <si>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</si>
  <si>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</si>
  <si>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</si>
  <si>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</si>
  <si>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</si>
  <si>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</si>
  <si>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</si>
  <si>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</si>
  <si>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</si>
  <si>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</si>
  <si>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</si>
  <si>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</si>
  <si>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</si>
  <si>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</si>
  <si>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</si>
  <si>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</si>
  <si>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</si>
  <si>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</si>
  <si>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</si>
  <si>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</si>
  <si>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</si>
  <si>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</si>
  <si>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</si>
  <si>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</si>
  <si>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</si>
  <si>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</si>
  <si>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</si>
  <si>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</si>
  <si>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</si>
  <si>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</si>
  <si>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</si>
  <si>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</si>
  <si>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</si>
  <si>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</si>
  <si>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</si>
  <si>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</si>
  <si>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</si>
  <si>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</si>
  <si>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</si>
  <si>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</si>
  <si>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</si>
  <si>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</si>
  <si>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</si>
  <si>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</si>
  <si>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</si>
  <si>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</si>
  <si>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</si>
  <si>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</si>
  <si>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</si>
  <si>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</si>
  <si>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</si>
  <si>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</si>
  <si>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</si>
  <si>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</si>
  <si>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</si>
  <si>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</si>
  <si>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</si>
  <si>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</si>
  <si>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</si>
  <si>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</si>
  <si>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</si>
  <si>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</si>
  <si>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</si>
  <si>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</si>
  <si>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</si>
  <si>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</si>
  <si>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</si>
  <si>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</si>
  <si>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</si>
  <si>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</si>
  <si>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</si>
  <si>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</si>
  <si>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</si>
  <si>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</si>
  <si>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</si>
  <si>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</si>
  <si>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</si>
  <si>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</si>
  <si>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</si>
  <si>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</si>
  <si>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</si>
  <si>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</si>
  <si>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</si>
  <si>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</si>
  <si>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</si>
  <si>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</si>
  <si>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</si>
  <si>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</si>
  <si>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</si>
  <si>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</si>
  <si>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</si>
  <si>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</si>
  <si>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</si>
  <si>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</si>
  <si>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</si>
  <si>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</si>
  <si>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</si>
  <si>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</si>
  <si>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</si>
  <si>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</si>
  <si>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</si>
  <si>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</si>
  <si>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</si>
  <si>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</si>
  <si>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</si>
  <si>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</si>
  <si>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</si>
  <si>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</si>
  <si>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</si>
  <si>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</si>
  <si>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</si>
  <si>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</si>
  <si>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</si>
  <si>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</si>
  <si>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</si>
  <si>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</si>
  <si>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</si>
  <si>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</si>
  <si>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</si>
  <si>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</si>
  <si>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</si>
  <si>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</si>
  <si>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</si>
  <si>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</si>
  <si>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</si>
  <si>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</si>
  <si>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</si>
  <si>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</si>
  <si>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</si>
  <si>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</si>
  <si>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</si>
  <si>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</si>
  <si>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</si>
  <si>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</si>
  <si>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</si>
  <si>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</si>
  <si>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</si>
  <si>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</si>
  <si>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</si>
  <si>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</si>
  <si>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</si>
  <si>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</si>
  <si>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</si>
  <si>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</si>
  <si>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</si>
  <si>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</si>
  <si>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</si>
  <si>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</si>
  <si>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</si>
  <si>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</si>
  <si>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</si>
  <si>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</si>
  <si>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</si>
  <si>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</si>
  <si>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</si>
  <si>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</si>
  <si>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</si>
  <si>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</si>
  <si>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</si>
  <si>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</si>
  <si>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</si>
  <si>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</si>
  <si>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</si>
  <si>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</si>
  <si>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</si>
  <si>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</si>
  <si>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</si>
  <si>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</si>
  <si>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</si>
  <si>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</si>
  <si>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</si>
  <si>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</si>
  <si>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</si>
  <si>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</si>
  <si>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</si>
  <si>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</si>
  <si>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</si>
  <si>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</si>
  <si>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</si>
  <si>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估价对象所在区域基础设施水平——六通</t>
    <phoneticPr fontId="4" type="noConversion"/>
  </si>
  <si>
    <t>正常</t>
  </si>
  <si>
    <t>东南</t>
  </si>
  <si>
    <t>西</t>
    <phoneticPr fontId="4" type="noConversion"/>
  </si>
  <si>
    <t>东</t>
    <phoneticPr fontId="20" type="noConversion"/>
  </si>
  <si>
    <t>板塔结合</t>
    <phoneticPr fontId="20" type="noConversion"/>
  </si>
  <si>
    <t>设定收益年期(n)</t>
  </si>
  <si>
    <t>估价对象周边有朝丰家园、恒大御景湾、怡景城花园、润枫领尚等居住小区，小区规模和社区发展完善程度较好，综合评价居住社区成熟度较好</t>
    <phoneticPr fontId="35" type="noConversion"/>
  </si>
  <si>
    <t>估价对象紧邻城市支路——天达路，周边有348路、411路、457路公交线路等，综合评价交通便捷度一般</t>
    <phoneticPr fontId="4" type="noConversion"/>
  </si>
  <si>
    <t>估价对象所在区域公共配套设施齐备情况一般</t>
    <phoneticPr fontId="4" type="noConversion"/>
  </si>
  <si>
    <t>自然环境：富力又一城公园、红军公园、郎各庄村休闲公园等；人文环境：估价对象周边人文环境较少，综合评价环境状况一般</t>
    <phoneticPr fontId="4" type="noConversion"/>
  </si>
  <si>
    <t>城市支路——天达路</t>
    <phoneticPr fontId="4" type="noConversion"/>
  </si>
  <si>
    <t>富力又一城B区</t>
    <phoneticPr fontId="4" type="noConversion"/>
  </si>
  <si>
    <t>50-60（含）</t>
  </si>
  <si>
    <t>东北</t>
  </si>
  <si>
    <t>南北</t>
  </si>
  <si>
    <r>
      <t>12/22</t>
    </r>
    <r>
      <rPr>
        <sz val="11"/>
        <rFont val="宋体"/>
        <family val="3"/>
        <charset val="134"/>
      </rPr>
      <t>（中楼层）</t>
    </r>
    <phoneticPr fontId="20" type="noConversion"/>
  </si>
  <si>
    <r>
      <rPr>
        <sz val="11"/>
        <rFont val="宋体"/>
        <family val="3"/>
        <charset val="134"/>
      </rPr>
      <t>高楼层</t>
    </r>
    <r>
      <rPr>
        <sz val="11"/>
        <rFont val="Arial"/>
        <family val="2"/>
      </rPr>
      <t>/22</t>
    </r>
    <phoneticPr fontId="20" type="noConversion"/>
  </si>
  <si>
    <r>
      <rPr>
        <sz val="11"/>
        <rFont val="宋体"/>
        <family val="3"/>
        <charset val="134"/>
      </rPr>
      <t>高楼层</t>
    </r>
    <r>
      <rPr>
        <sz val="11"/>
        <rFont val="Arial"/>
        <family val="2"/>
      </rPr>
      <t>/18</t>
    </r>
    <phoneticPr fontId="20" type="noConversion"/>
  </si>
  <si>
    <r>
      <rPr>
        <sz val="11"/>
        <rFont val="宋体"/>
        <family val="3"/>
        <charset val="134"/>
      </rPr>
      <t>中楼层</t>
    </r>
    <r>
      <rPr>
        <sz val="11"/>
        <rFont val="Arial"/>
        <family val="2"/>
      </rPr>
      <t>/20</t>
    </r>
    <phoneticPr fontId="20" type="noConversion"/>
  </si>
  <si>
    <t>塔楼</t>
  </si>
  <si>
    <t>塔楼</t>
    <phoneticPr fontId="20" type="noConversion"/>
  </si>
  <si>
    <t>精装修</t>
  </si>
  <si>
    <t>普通装修</t>
  </si>
  <si>
    <t>专业</t>
  </si>
  <si>
    <t>支路</t>
    <phoneticPr fontId="20" type="noConversion"/>
  </si>
  <si>
    <t>北京市朝阳区黄厂南里2号院9号楼12层1503号住宅用房（富力又一城B区）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</si>
</sst>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298215</xdr:colOff>
      <xdr:row>12</xdr:row>
      <xdr:rowOff>77286</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9142858" cy="2200000"/>
        </a:xfrm>
        <a:prstGeom prst="rect">
          <a:avLst/>
        </a:prstGeom>
      </xdr:spPr>
    </xdr:pic>
    <xdr:clientData/>
  </xdr:twoCellAnchor>
  <xdr:twoCellAnchor editAs="oneCell">
    <xdr:from>
      <xdr:col>0</xdr:col>
      <xdr:colOff>0</xdr:colOff>
      <xdr:row>13</xdr:row>
      <xdr:rowOff>1</xdr:rowOff>
    </xdr:from>
    <xdr:to>
      <xdr:col>12</xdr:col>
      <xdr:colOff>55126</xdr:colOff>
      <xdr:row>34</xdr:row>
      <xdr:rowOff>110289</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215817"/>
          <a:ext cx="8236600" cy="3689683"/>
        </a:xfrm>
        <a:prstGeom prst="rect">
          <a:avLst/>
        </a:prstGeom>
      </xdr:spPr>
    </xdr:pic>
    <xdr:clientData/>
  </xdr:twoCellAnchor>
  <xdr:twoCellAnchor editAs="oneCell">
    <xdr:from>
      <xdr:col>11</xdr:col>
      <xdr:colOff>391026</xdr:colOff>
      <xdr:row>12</xdr:row>
      <xdr:rowOff>133206</xdr:rowOff>
    </xdr:from>
    <xdr:to>
      <xdr:col>21</xdr:col>
      <xdr:colOff>227740</xdr:colOff>
      <xdr:row>34</xdr:row>
      <xdr:rowOff>113058</xdr:rowOff>
    </xdr:to>
    <xdr:pic>
      <xdr:nvPicPr>
        <xdr:cNvPr id="8" name="图片 7"/>
        <xdr:cNvPicPr>
          <a:picLocks noChangeAspect="1"/>
        </xdr:cNvPicPr>
      </xdr:nvPicPr>
      <xdr:blipFill>
        <a:blip xmlns:r="http://schemas.openxmlformats.org/officeDocument/2006/relationships" r:embed="rId3"/>
        <a:stretch>
          <a:fillRect/>
        </a:stretch>
      </xdr:blipFill>
      <xdr:spPr>
        <a:xfrm>
          <a:off x="7890710" y="2178574"/>
          <a:ext cx="6654609" cy="3729695"/>
        </a:xfrm>
        <a:prstGeom prst="rect">
          <a:avLst/>
        </a:prstGeom>
      </xdr:spPr>
    </xdr:pic>
    <xdr:clientData/>
  </xdr:twoCellAnchor>
  <xdr:twoCellAnchor editAs="oneCell">
    <xdr:from>
      <xdr:col>0</xdr:col>
      <xdr:colOff>0</xdr:colOff>
      <xdr:row>36</xdr:row>
      <xdr:rowOff>0</xdr:rowOff>
    </xdr:from>
    <xdr:to>
      <xdr:col>13</xdr:col>
      <xdr:colOff>146261</xdr:colOff>
      <xdr:row>46</xdr:row>
      <xdr:rowOff>114574</xdr:rowOff>
    </xdr:to>
    <xdr:pic>
      <xdr:nvPicPr>
        <xdr:cNvPr id="12" name="图片 11"/>
        <xdr:cNvPicPr>
          <a:picLocks noChangeAspect="1"/>
        </xdr:cNvPicPr>
      </xdr:nvPicPr>
      <xdr:blipFill>
        <a:blip xmlns:r="http://schemas.openxmlformats.org/officeDocument/2006/relationships" r:embed="rId4"/>
        <a:stretch>
          <a:fillRect/>
        </a:stretch>
      </xdr:blipFill>
      <xdr:spPr>
        <a:xfrm>
          <a:off x="0" y="6136105"/>
          <a:ext cx="9009524" cy="1819048"/>
        </a:xfrm>
        <a:prstGeom prst="rect">
          <a:avLst/>
        </a:prstGeom>
      </xdr:spPr>
    </xdr:pic>
    <xdr:clientData/>
  </xdr:twoCellAnchor>
  <xdr:twoCellAnchor editAs="oneCell">
    <xdr:from>
      <xdr:col>0</xdr:col>
      <xdr:colOff>0</xdr:colOff>
      <xdr:row>47</xdr:row>
      <xdr:rowOff>1</xdr:rowOff>
    </xdr:from>
    <xdr:to>
      <xdr:col>10</xdr:col>
      <xdr:colOff>569561</xdr:colOff>
      <xdr:row>67</xdr:row>
      <xdr:rowOff>140369</xdr:rowOff>
    </xdr:to>
    <xdr:pic>
      <xdr:nvPicPr>
        <xdr:cNvPr id="13" name="图片 12"/>
        <xdr:cNvPicPr>
          <a:picLocks noChangeAspect="1"/>
        </xdr:cNvPicPr>
      </xdr:nvPicPr>
      <xdr:blipFill>
        <a:blip xmlns:r="http://schemas.openxmlformats.org/officeDocument/2006/relationships" r:embed="rId5"/>
        <a:stretch>
          <a:fillRect/>
        </a:stretch>
      </xdr:blipFill>
      <xdr:spPr>
        <a:xfrm>
          <a:off x="0" y="8011027"/>
          <a:ext cx="7387456" cy="3549316"/>
        </a:xfrm>
        <a:prstGeom prst="rect">
          <a:avLst/>
        </a:prstGeom>
      </xdr:spPr>
    </xdr:pic>
    <xdr:clientData/>
  </xdr:twoCellAnchor>
  <xdr:twoCellAnchor editAs="oneCell">
    <xdr:from>
      <xdr:col>11</xdr:col>
      <xdr:colOff>68298</xdr:colOff>
      <xdr:row>47</xdr:row>
      <xdr:rowOff>30081</xdr:rowOff>
    </xdr:from>
    <xdr:to>
      <xdr:col>19</xdr:col>
      <xdr:colOff>500459</xdr:colOff>
      <xdr:row>67</xdr:row>
      <xdr:rowOff>120317</xdr:rowOff>
    </xdr:to>
    <xdr:pic>
      <xdr:nvPicPr>
        <xdr:cNvPr id="14" name="图片 13"/>
        <xdr:cNvPicPr>
          <a:picLocks noChangeAspect="1"/>
        </xdr:cNvPicPr>
      </xdr:nvPicPr>
      <xdr:blipFill>
        <a:blip xmlns:r="http://schemas.openxmlformats.org/officeDocument/2006/relationships" r:embed="rId6"/>
        <a:stretch>
          <a:fillRect/>
        </a:stretch>
      </xdr:blipFill>
      <xdr:spPr>
        <a:xfrm>
          <a:off x="7567982" y="8041107"/>
          <a:ext cx="5886477" cy="3499184"/>
        </a:xfrm>
        <a:prstGeom prst="rect">
          <a:avLst/>
        </a:prstGeom>
      </xdr:spPr>
    </xdr:pic>
    <xdr:clientData/>
  </xdr:twoCellAnchor>
  <xdr:twoCellAnchor editAs="oneCell">
    <xdr:from>
      <xdr:col>0</xdr:col>
      <xdr:colOff>0</xdr:colOff>
      <xdr:row>69</xdr:row>
      <xdr:rowOff>0</xdr:rowOff>
    </xdr:from>
    <xdr:to>
      <xdr:col>13</xdr:col>
      <xdr:colOff>222452</xdr:colOff>
      <xdr:row>80</xdr:row>
      <xdr:rowOff>86984</xdr:rowOff>
    </xdr:to>
    <xdr:pic>
      <xdr:nvPicPr>
        <xdr:cNvPr id="15" name="图片 14"/>
        <xdr:cNvPicPr>
          <a:picLocks noChangeAspect="1"/>
        </xdr:cNvPicPr>
      </xdr:nvPicPr>
      <xdr:blipFill>
        <a:blip xmlns:r="http://schemas.openxmlformats.org/officeDocument/2006/relationships" r:embed="rId7"/>
        <a:stretch>
          <a:fillRect/>
        </a:stretch>
      </xdr:blipFill>
      <xdr:spPr>
        <a:xfrm>
          <a:off x="0" y="11760868"/>
          <a:ext cx="9085715" cy="1961905"/>
        </a:xfrm>
        <a:prstGeom prst="rect">
          <a:avLst/>
        </a:prstGeom>
      </xdr:spPr>
    </xdr:pic>
    <xdr:clientData/>
  </xdr:twoCellAnchor>
  <xdr:twoCellAnchor editAs="oneCell">
    <xdr:from>
      <xdr:col>0</xdr:col>
      <xdr:colOff>1</xdr:colOff>
      <xdr:row>81</xdr:row>
      <xdr:rowOff>0</xdr:rowOff>
    </xdr:from>
    <xdr:to>
      <xdr:col>10</xdr:col>
      <xdr:colOff>496489</xdr:colOff>
      <xdr:row>102</xdr:row>
      <xdr:rowOff>90236</xdr:rowOff>
    </xdr:to>
    <xdr:pic>
      <xdr:nvPicPr>
        <xdr:cNvPr id="16" name="图片 15"/>
        <xdr:cNvPicPr>
          <a:picLocks noChangeAspect="1"/>
        </xdr:cNvPicPr>
      </xdr:nvPicPr>
      <xdr:blipFill>
        <a:blip xmlns:r="http://schemas.openxmlformats.org/officeDocument/2006/relationships" r:embed="rId8"/>
        <a:stretch>
          <a:fillRect/>
        </a:stretch>
      </xdr:blipFill>
      <xdr:spPr>
        <a:xfrm>
          <a:off x="1" y="13806237"/>
          <a:ext cx="7314383" cy="3669631"/>
        </a:xfrm>
        <a:prstGeom prst="rect">
          <a:avLst/>
        </a:prstGeom>
      </xdr:spPr>
    </xdr:pic>
    <xdr:clientData/>
  </xdr:twoCellAnchor>
  <xdr:twoCellAnchor editAs="oneCell">
    <xdr:from>
      <xdr:col>10</xdr:col>
      <xdr:colOff>260684</xdr:colOff>
      <xdr:row>81</xdr:row>
      <xdr:rowOff>20053</xdr:rowOff>
    </xdr:from>
    <xdr:to>
      <xdr:col>19</xdr:col>
      <xdr:colOff>553151</xdr:colOff>
      <xdr:row>103</xdr:row>
      <xdr:rowOff>146402</xdr:rowOff>
    </xdr:to>
    <xdr:pic>
      <xdr:nvPicPr>
        <xdr:cNvPr id="17" name="图片 16"/>
        <xdr:cNvPicPr>
          <a:picLocks noChangeAspect="1"/>
        </xdr:cNvPicPr>
      </xdr:nvPicPr>
      <xdr:blipFill>
        <a:blip xmlns:r="http://schemas.openxmlformats.org/officeDocument/2006/relationships" r:embed="rId9"/>
        <a:stretch>
          <a:fillRect/>
        </a:stretch>
      </xdr:blipFill>
      <xdr:spPr>
        <a:xfrm>
          <a:off x="7078579" y="13826290"/>
          <a:ext cx="6428572" cy="3876191"/>
        </a:xfrm>
        <a:prstGeom prst="rect">
          <a:avLst/>
        </a:prstGeom>
      </xdr:spPr>
    </xdr:pic>
    <xdr:clientData/>
  </xdr:twoCellAnchor>
  <xdr:twoCellAnchor editAs="oneCell">
    <xdr:from>
      <xdr:col>0</xdr:col>
      <xdr:colOff>0</xdr:colOff>
      <xdr:row>107</xdr:row>
      <xdr:rowOff>0</xdr:rowOff>
    </xdr:from>
    <xdr:to>
      <xdr:col>12</xdr:col>
      <xdr:colOff>599479</xdr:colOff>
      <xdr:row>142</xdr:row>
      <xdr:rowOff>53390</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8237868"/>
          <a:ext cx="8780953" cy="6019048"/>
        </a:xfrm>
        <a:prstGeom prst="rect">
          <a:avLst/>
        </a:prstGeom>
      </xdr:spPr>
    </xdr:pic>
    <xdr:clientData/>
  </xdr:twoCellAnchor>
  <xdr:twoCellAnchor editAs="oneCell">
    <xdr:from>
      <xdr:col>0</xdr:col>
      <xdr:colOff>0</xdr:colOff>
      <xdr:row>143</xdr:row>
      <xdr:rowOff>0</xdr:rowOff>
    </xdr:from>
    <xdr:to>
      <xdr:col>12</xdr:col>
      <xdr:colOff>389955</xdr:colOff>
      <xdr:row>177</xdr:row>
      <xdr:rowOff>4790</xdr:rowOff>
    </xdr:to>
    <xdr:pic>
      <xdr:nvPicPr>
        <xdr:cNvPr id="21" name="图片 20"/>
        <xdr:cNvPicPr>
          <a:picLocks noChangeAspect="1"/>
        </xdr:cNvPicPr>
      </xdr:nvPicPr>
      <xdr:blipFill>
        <a:blip xmlns:r="http://schemas.openxmlformats.org/officeDocument/2006/relationships" r:embed="rId11"/>
        <a:stretch>
          <a:fillRect/>
        </a:stretch>
      </xdr:blipFill>
      <xdr:spPr>
        <a:xfrm>
          <a:off x="0" y="24373974"/>
          <a:ext cx="8571429" cy="58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估价对象为房地产，为所有。根据《不动产权证书》[]，估价对象建筑面积为121.68平方米，（分摊）出让国有建设用地使用权面积为平方米。估价对象用途为。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2018年1月25日（评估专业人员实地查勘之日）</v>
      </c>
    </row>
    <row r="10" spans="1:2">
      <c r="A10" s="1701" t="s">
        <v>1116</v>
      </c>
      <c r="B10" s="1688" t="str">
        <f>'预评函-1'!A13</f>
        <v>本次估价的“房地产价值”是指在正常市场情况下，在价值时点2018年1月25日，估价对象规划用途为，假定未设立法定优先受偿款下的房地产市场价值。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121.68</v>
      </c>
    </row>
    <row r="19" spans="1:2">
      <c r="A19" s="1701" t="s">
        <v>1125</v>
      </c>
      <c r="B19" s="1688">
        <f ca="1">'预评函-2（1）'!D7</f>
        <v>5448587</v>
      </c>
    </row>
    <row r="20" spans="1:2">
      <c r="A20" s="1701" t="s">
        <v>1163</v>
      </c>
      <c r="B20" s="1688" t="str">
        <f>'预评函-2（1）'!C7</f>
        <v>总价（元）</v>
      </c>
    </row>
    <row r="21" spans="1:2">
      <c r="A21" s="1701" t="s">
        <v>1126</v>
      </c>
      <c r="B21" s="1688">
        <f ca="1">'预评函-2（1）'!D9</f>
        <v>44778</v>
      </c>
    </row>
    <row r="22" spans="1:2">
      <c r="A22" s="1701" t="s">
        <v>1127</v>
      </c>
      <c r="B22" s="1688" t="str">
        <f ca="1">'预评函-2（1）'!D8</f>
        <v>伍佰肆拾肆万捌仟伍佰捌拾柒元整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5448587</v>
      </c>
    </row>
    <row r="30" spans="1:2">
      <c r="A30" s="1701" t="s">
        <v>1133</v>
      </c>
      <c r="B30" s="1688" t="str">
        <f ca="1">'预评函-2（1）'!D16</f>
        <v>伍佰肆拾肆万捌仟伍佰捌拾柒元整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4685775</v>
      </c>
    </row>
    <row r="38" spans="1:2">
      <c r="A38" s="1701" t="s">
        <v>1141</v>
      </c>
      <c r="B38" s="1688">
        <f ca="1">'预评函-2（2）'!E4</f>
        <v>38509</v>
      </c>
    </row>
    <row r="39" spans="1:2">
      <c r="A39" s="1701" t="s">
        <v>1142</v>
      </c>
      <c r="B39" s="1688" t="str">
        <f ca="1">'预评函-2（2）'!D5</f>
        <v>肆佰陆拾捌万伍仟柒佰柒拾伍元整</v>
      </c>
    </row>
    <row r="40" spans="1:2">
      <c r="A40" s="1701" t="s">
        <v>1143</v>
      </c>
      <c r="B40" s="1688">
        <f ca="1">'预评函-2（2）'!F4</f>
        <v>762812</v>
      </c>
    </row>
    <row r="41" spans="1:2">
      <c r="A41" s="1701" t="s">
        <v>1144</v>
      </c>
      <c r="B41" s="1688">
        <f ca="1">'预评函-2（2）'!G4</f>
        <v>6269</v>
      </c>
    </row>
    <row r="42" spans="1:2" s="1698" customFormat="1" ht="15.75" thickBot="1">
      <c r="A42" s="1702" t="s">
        <v>1145</v>
      </c>
      <c r="B42" s="1690" t="str">
        <f ca="1">'预评函-2（2）'!F5</f>
        <v>柒拾陆万贰仟捌佰壹拾贰元整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44778</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4"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43125</v>
      </c>
      <c r="C2" s="1998" t="s">
        <v>1547</v>
      </c>
      <c r="D2" s="1087">
        <v>43125</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1" t="s">
        <v>1557</v>
      </c>
      <c r="B8" s="2019" t="s">
        <v>1558</v>
      </c>
      <c r="C8" s="2823"/>
      <c r="D8" s="2824"/>
      <c r="E8" s="2020" t="s">
        <v>1559</v>
      </c>
      <c r="F8" s="2021" t="s">
        <v>1560</v>
      </c>
      <c r="G8" s="690">
        <f>C6</f>
        <v>0</v>
      </c>
    </row>
    <row r="9" spans="1:10">
      <c r="A9" s="2811"/>
      <c r="B9" s="344" t="s">
        <v>1561</v>
      </c>
      <c r="C9" s="2733" t="s">
        <v>2822</v>
      </c>
      <c r="D9" s="2022"/>
      <c r="E9" s="1009" t="s">
        <v>1562</v>
      </c>
      <c r="F9" s="995"/>
      <c r="G9" s="1011"/>
    </row>
    <row r="10" spans="1:10" ht="13.5" thickBot="1">
      <c r="A10" s="2811"/>
      <c r="B10" s="344" t="s">
        <v>1563</v>
      </c>
      <c r="C10" s="2825"/>
      <c r="D10" s="2826"/>
      <c r="E10" s="2023" t="s">
        <v>1564</v>
      </c>
      <c r="F10" s="1012"/>
      <c r="G10" s="1013"/>
    </row>
    <row r="11" spans="1:10" ht="13.5" thickBot="1">
      <c r="A11" s="2811"/>
      <c r="B11" s="2024" t="s">
        <v>1565</v>
      </c>
      <c r="C11" s="2827"/>
      <c r="D11" s="2828"/>
      <c r="E11" s="1021"/>
      <c r="F11" s="1020"/>
      <c r="G11" s="1073"/>
    </row>
    <row r="12" spans="1:10" ht="26.25" customHeight="1" thickBot="1">
      <c r="A12" s="2814" t="s">
        <v>1566</v>
      </c>
      <c r="B12" s="2025" t="s">
        <v>1567</v>
      </c>
      <c r="C12" s="1015">
        <v>121.68</v>
      </c>
      <c r="D12" s="2025" t="s">
        <v>1568</v>
      </c>
      <c r="E12" s="2026" t="s">
        <v>1569</v>
      </c>
      <c r="F12" s="2027" t="s">
        <v>1570</v>
      </c>
      <c r="G12" s="1073"/>
    </row>
    <row r="13" spans="1:10" ht="26.25" customHeight="1" thickBot="1">
      <c r="A13" s="2815"/>
      <c r="B13" s="2028" t="s">
        <v>1571</v>
      </c>
      <c r="C13" s="1016"/>
      <c r="D13" s="2028" t="s">
        <v>1572</v>
      </c>
      <c r="E13" s="2029" t="s">
        <v>1569</v>
      </c>
      <c r="F13" s="1020"/>
      <c r="G13" s="1073"/>
      <c r="I13" s="2801"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9" t="s">
        <v>1580</v>
      </c>
      <c r="C17" s="2830"/>
      <c r="D17" s="2831" t="s">
        <v>1581</v>
      </c>
      <c r="E17" s="2832"/>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7" t="s">
        <v>1597</v>
      </c>
      <c r="D27" s="2818"/>
      <c r="E27" s="1003"/>
      <c r="F27" s="1010" t="s">
        <v>1597</v>
      </c>
      <c r="G27" s="1003"/>
      <c r="I27" s="1070"/>
      <c r="K27" s="1070"/>
    </row>
    <row r="28" spans="1:15">
      <c r="A28" s="1007" t="s">
        <v>1598</v>
      </c>
      <c r="B28" s="978"/>
      <c r="C28" s="2819" t="s">
        <v>1599</v>
      </c>
      <c r="D28" s="2820"/>
      <c r="E28" s="978"/>
      <c r="F28" s="1893" t="s">
        <v>1599</v>
      </c>
      <c r="G28" s="978"/>
      <c r="I28" s="1070"/>
      <c r="K28" s="1070"/>
    </row>
    <row r="29" spans="1:15">
      <c r="A29" s="1007" t="s">
        <v>1600</v>
      </c>
      <c r="B29" s="978"/>
      <c r="C29" s="2819" t="s">
        <v>1600</v>
      </c>
      <c r="D29" s="2820"/>
      <c r="E29" s="978"/>
      <c r="F29" s="1893" t="s">
        <v>1601</v>
      </c>
      <c r="G29" s="978"/>
      <c r="I29" s="1070"/>
      <c r="K29" s="1070"/>
    </row>
    <row r="30" spans="1:15">
      <c r="A30" s="1007" t="s">
        <v>1602</v>
      </c>
      <c r="B30" s="978"/>
      <c r="C30" s="2808" t="s">
        <v>1603</v>
      </c>
      <c r="D30" s="2067"/>
      <c r="E30" s="1022" t="str">
        <f>E31&amp;" "&amp;E32&amp;" "&amp;E33&amp;" "&amp;E34</f>
        <v xml:space="preserve">   </v>
      </c>
      <c r="F30" s="1893" t="s">
        <v>1604</v>
      </c>
      <c r="G30" s="978"/>
    </row>
    <row r="31" spans="1:15">
      <c r="A31" s="1007" t="s">
        <v>1605</v>
      </c>
      <c r="B31" s="978"/>
      <c r="C31" s="2809"/>
      <c r="D31" s="1892" t="s">
        <v>1606</v>
      </c>
      <c r="E31" s="978"/>
      <c r="F31" s="1893" t="s">
        <v>1607</v>
      </c>
      <c r="G31" s="978"/>
    </row>
    <row r="32" spans="1:15" ht="24.75" thickBot="1">
      <c r="A32" s="1008" t="s">
        <v>1608</v>
      </c>
      <c r="B32" s="1004"/>
      <c r="C32" s="2809"/>
      <c r="D32" s="1892" t="s">
        <v>1609</v>
      </c>
      <c r="E32" s="978"/>
      <c r="F32" s="1893" t="s">
        <v>1610</v>
      </c>
      <c r="G32" s="978"/>
    </row>
    <row r="33" spans="1:7">
      <c r="A33" s="1006" t="s">
        <v>1611</v>
      </c>
      <c r="B33" s="1003"/>
      <c r="C33" s="2809"/>
      <c r="D33" s="1892" t="s">
        <v>1612</v>
      </c>
      <c r="E33" s="978"/>
      <c r="F33" s="1893" t="s">
        <v>1613</v>
      </c>
      <c r="G33" s="978"/>
    </row>
    <row r="34" spans="1:7" ht="13.5" thickBot="1">
      <c r="A34" s="1007" t="s">
        <v>1614</v>
      </c>
      <c r="B34" s="2734" t="s">
        <v>2823</v>
      </c>
      <c r="C34" s="2810"/>
      <c r="D34" s="1892" t="s">
        <v>1615</v>
      </c>
      <c r="E34" s="978"/>
      <c r="F34" s="1894" t="s">
        <v>1616</v>
      </c>
      <c r="G34" s="1005"/>
    </row>
    <row r="35" spans="1:7">
      <c r="A35" s="1007" t="s">
        <v>1567</v>
      </c>
      <c r="B35" s="978"/>
      <c r="C35" s="2819" t="s">
        <v>1617</v>
      </c>
      <c r="D35" s="2820"/>
      <c r="E35" s="978"/>
      <c r="F35" s="1018" t="s">
        <v>1618</v>
      </c>
      <c r="G35" s="1003"/>
    </row>
    <row r="36" spans="1:7" ht="13.5" thickBot="1">
      <c r="A36" s="1007" t="s">
        <v>1619</v>
      </c>
      <c r="B36" s="978"/>
      <c r="C36" s="2821" t="s">
        <v>1620</v>
      </c>
      <c r="D36" s="2822"/>
      <c r="E36" s="1004"/>
      <c r="F36" s="1890" t="s">
        <v>1621</v>
      </c>
      <c r="G36" s="978"/>
    </row>
    <row r="37" spans="1:7" ht="13.5" thickBot="1">
      <c r="A37" s="1007" t="s">
        <v>1622</v>
      </c>
      <c r="B37" s="978"/>
      <c r="C37" s="2806" t="s">
        <v>1623</v>
      </c>
      <c r="D37" s="2068" t="s">
        <v>1607</v>
      </c>
      <c r="E37" s="1003"/>
      <c r="F37" s="1894" t="s">
        <v>1624</v>
      </c>
      <c r="G37" s="1004"/>
    </row>
    <row r="38" spans="1:7">
      <c r="A38" s="1007" t="s">
        <v>1625</v>
      </c>
      <c r="B38" s="978"/>
      <c r="C38" s="2812"/>
      <c r="D38" s="1892" t="s">
        <v>1614</v>
      </c>
      <c r="E38" s="978"/>
      <c r="F38" s="1010" t="s">
        <v>1626</v>
      </c>
      <c r="G38" s="1003"/>
    </row>
    <row r="39" spans="1:7">
      <c r="A39" s="1007" t="s">
        <v>1627</v>
      </c>
      <c r="B39" s="978"/>
      <c r="C39" s="2812" t="s">
        <v>1628</v>
      </c>
      <c r="D39" s="1892" t="s">
        <v>1567</v>
      </c>
      <c r="E39" s="978"/>
      <c r="F39" s="1893" t="s">
        <v>1629</v>
      </c>
      <c r="G39" s="978"/>
    </row>
    <row r="40" spans="1:7" ht="24.75" customHeight="1" thickBot="1">
      <c r="A40" s="1008" t="s">
        <v>1630</v>
      </c>
      <c r="B40" s="1004"/>
      <c r="C40" s="2813"/>
      <c r="D40" s="1895" t="s">
        <v>1571</v>
      </c>
      <c r="E40" s="1004"/>
      <c r="F40" s="1894" t="s">
        <v>1631</v>
      </c>
      <c r="G40" s="1004"/>
    </row>
    <row r="41" spans="1:7">
      <c r="A41" s="1009" t="s">
        <v>1632</v>
      </c>
      <c r="B41" s="1059"/>
      <c r="C41" s="2802" t="s">
        <v>1632</v>
      </c>
      <c r="D41" s="2803"/>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4" t="s">
        <v>1635</v>
      </c>
      <c r="D48" s="2805"/>
      <c r="E48" s="1054"/>
      <c r="F48" s="1894" t="s">
        <v>1636</v>
      </c>
      <c r="G48" s="1004"/>
    </row>
    <row r="49" spans="1:15">
      <c r="A49" s="1007" t="s">
        <v>1637</v>
      </c>
      <c r="B49" s="1053"/>
      <c r="C49" s="2806" t="s">
        <v>1638</v>
      </c>
      <c r="D49" s="2807"/>
      <c r="E49" s="1055"/>
      <c r="F49" s="1083"/>
      <c r="G49" s="1084"/>
    </row>
    <row r="50" spans="1:15" ht="13.5" thickBot="1">
      <c r="A50" s="1007" t="s">
        <v>1639</v>
      </c>
      <c r="B50" s="1053"/>
      <c r="C50" s="2813" t="s">
        <v>1640</v>
      </c>
      <c r="D50" s="2816"/>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43125</v>
      </c>
      <c r="C2" s="1854"/>
      <c r="D2" s="2835"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36"/>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36"/>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121.68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57</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0.95399999999999996</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365040</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2007</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7800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57</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7" t="s">
        <v>1736</v>
      </c>
      <c r="B1" s="2838"/>
      <c r="C1" s="2838"/>
      <c r="D1" s="2838"/>
      <c r="E1" s="2838"/>
      <c r="F1" s="2838"/>
      <c r="G1" s="283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81">
      <c r="A3" s="395" t="s">
        <v>1739</v>
      </c>
      <c r="B3" s="2143" t="s">
        <v>1740</v>
      </c>
      <c r="C3" s="2740" t="s">
        <v>2890</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54">
      <c r="A6" s="411"/>
      <c r="B6" s="1886" t="s">
        <v>1749</v>
      </c>
      <c r="C6" s="2735" t="s">
        <v>2891</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2892</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2883</v>
      </c>
      <c r="D8" s="2151"/>
      <c r="E8" s="2151"/>
      <c r="F8" s="1245"/>
      <c r="G8" s="1245"/>
      <c r="H8" s="2141"/>
      <c r="I8" s="2141"/>
      <c r="J8" s="2141"/>
      <c r="K8" s="2141"/>
      <c r="L8" s="2141"/>
      <c r="M8" s="2141"/>
      <c r="N8" s="2141"/>
      <c r="O8" s="2141"/>
      <c r="P8" s="2141"/>
      <c r="Q8" s="2141"/>
      <c r="R8" s="2141"/>
    </row>
    <row r="9" spans="1:29" ht="67.5">
      <c r="A9" s="411"/>
      <c r="B9" s="1886" t="s">
        <v>1754</v>
      </c>
      <c r="C9" s="2737" t="s">
        <v>2893</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85.5">
      <c r="A15" s="25" t="s">
        <v>1759</v>
      </c>
      <c r="B15" s="2175" t="s">
        <v>1740</v>
      </c>
      <c r="C15" s="2176" t="str">
        <f>C3</f>
        <v>估价对象周边有朝丰家园、恒大御景湾、怡景城花园、润枫领尚等居住小区，小区规模和社区发展完善程度较好，综合评价居住社区成熟度较好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57">
      <c r="A18" s="629"/>
      <c r="B18" s="2180" t="s">
        <v>1749</v>
      </c>
      <c r="C18" s="52" t="str">
        <f>C6</f>
        <v>估价对象紧邻城市支路——天达路，周边有348路、411路、457路公交线路等，综合评价交通便捷度一般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自然环境：富力又一城公园、红军公园、郎各庄村休闲公园等；人文环境：估价对象周边人文环境较少，综合评价环境状况一般</v>
      </c>
      <c r="D20" s="2151"/>
      <c r="E20" s="2179"/>
      <c r="F20" s="1886" t="s">
        <v>1765</v>
      </c>
      <c r="G20" s="52" t="str">
        <f>G6</f>
        <v>估价对象所在区域基础设施水平</v>
      </c>
    </row>
    <row r="21" spans="1:18" ht="28.5">
      <c r="A21" s="629"/>
      <c r="B21" s="1886" t="s">
        <v>1747</v>
      </c>
      <c r="C21" s="52" t="str">
        <f>C7</f>
        <v>估价对象所在区域公共配套设施齐备情况一般</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城市支路——天达路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1" sqref="D11"/>
    </sheetView>
  </sheetViews>
  <sheetFormatPr defaultColWidth="14.625" defaultRowHeight="13.5"/>
  <cols>
    <col min="1" max="1" width="24.375" customWidth="1"/>
  </cols>
  <sheetData>
    <row r="1" spans="1:9" ht="16.5">
      <c r="A1" s="1829" t="s">
        <v>1225</v>
      </c>
      <c r="B1" s="1829">
        <f>SUM(B14:B23)</f>
        <v>121.68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43125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544.8587</v>
      </c>
      <c r="C5" s="1829">
        <f ca="1">ROUND(B5*10000/$B$1,0)</f>
        <v>44778</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121.68</v>
      </c>
      <c r="C14" s="1833">
        <f>项目基本情况!C13</f>
        <v>0</v>
      </c>
      <c r="D14" s="1833">
        <f ca="1">结果表!G19/10000</f>
        <v>544.8587</v>
      </c>
      <c r="E14" s="1833">
        <f ca="1">ROUND(D14*10000/B14,0)</f>
        <v>44778</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 zoomScaleNormal="100" zoomScaleSheetLayoutView="100" zoomScalePageLayoutView="80" workbookViewId="0">
      <selection activeCell="F34" sqref="F3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3" t="str">
        <f>项目基本情况!B1</f>
        <v>预评估</v>
      </c>
      <c r="B2" s="2903"/>
      <c r="C2" s="2903"/>
      <c r="D2" s="2903"/>
      <c r="E2" s="2903"/>
      <c r="F2" s="2903"/>
      <c r="G2" s="2903"/>
      <c r="H2" s="2903"/>
      <c r="I2" s="2903"/>
    </row>
    <row r="3" spans="1:12" ht="12.75">
      <c r="A3" s="2906" t="s">
        <v>1770</v>
      </c>
      <c r="B3" s="2907"/>
      <c r="C3" s="2907"/>
      <c r="D3" s="2907"/>
      <c r="E3" s="2907"/>
      <c r="F3" s="2907"/>
      <c r="G3" s="2907"/>
      <c r="H3" s="2907"/>
      <c r="I3" s="2907"/>
    </row>
    <row r="4" spans="1:12" ht="14.25">
      <c r="A4" s="2196" t="s">
        <v>1771</v>
      </c>
      <c r="B4" s="2197" t="s">
        <v>1772</v>
      </c>
      <c r="C4" s="2198" t="s">
        <v>2882</v>
      </c>
      <c r="D4" s="2198" t="s">
        <v>2877</v>
      </c>
      <c r="E4" s="2887" t="s">
        <v>1773</v>
      </c>
      <c r="F4" s="2888"/>
      <c r="G4" s="2888"/>
      <c r="H4" s="2888"/>
      <c r="I4" s="289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0" t="s">
        <v>1774</v>
      </c>
      <c r="B5" s="2842">
        <v>25</v>
      </c>
      <c r="C5" s="2891">
        <v>80</v>
      </c>
      <c r="D5" s="2905">
        <f>100-C5</f>
        <v>20</v>
      </c>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5885053</v>
      </c>
      <c r="D19" s="60">
        <f ca="1">SUMIF(INDIRECT("'"&amp;D4&amp;"'"&amp;"!A:A"),结果表!B19,INDIRECT("'"&amp;D4&amp;"'"&amp;"!B:B"))</f>
        <v>3702675</v>
      </c>
      <c r="E19" s="2205" t="s">
        <v>1795</v>
      </c>
      <c r="F19" s="2206" t="s">
        <v>1794</v>
      </c>
      <c r="G19" s="61">
        <f ca="1">ROUND(G20*'数据-取费表'!B5,0)</f>
        <v>5448587</v>
      </c>
      <c r="H19" s="2207" t="str">
        <f>'数据-取费表'!B3</f>
        <v>元</v>
      </c>
      <c r="I19" s="2194"/>
    </row>
    <row r="20" spans="1:35" ht="15">
      <c r="A20" s="2208"/>
      <c r="B20" s="2209" t="s">
        <v>1796</v>
      </c>
      <c r="C20" s="62">
        <f ca="1">SUMIF(INDIRECT("'"&amp;C4&amp;"'"&amp;"!A:A"),结果表!B20,INDIRECT("'"&amp;C4&amp;"'"&amp;"!B:B"))</f>
        <v>48365</v>
      </c>
      <c r="D20" s="63">
        <f ca="1">SUMIF(INDIRECT("'"&amp;D4&amp;"'"&amp;"!A:A"),结果表!B20,INDIRECT("'"&amp;D4&amp;"'"&amp;"!B:B"))</f>
        <v>30430</v>
      </c>
      <c r="E20" s="2208"/>
      <c r="F20" s="2209" t="s">
        <v>1796</v>
      </c>
      <c r="G20" s="64">
        <f ca="1">ROUND(C20*$C$18+D20*$D$18,0)</f>
        <v>44778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0.58940576745190976</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44778</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38509</v>
      </c>
      <c r="D34" s="1090">
        <f ca="1">IF(D33="自定义",ROUND(C34/C32,3),1-D35)</f>
        <v>0.86</v>
      </c>
      <c r="E34" s="2232" t="s">
        <v>1809</v>
      </c>
      <c r="F34" s="1827">
        <v>2000</v>
      </c>
      <c r="G34" s="2194"/>
      <c r="H34" s="2194"/>
      <c r="I34" s="2194"/>
    </row>
    <row r="35" spans="1:16" ht="15.75" thickBot="1">
      <c r="A35" s="2233"/>
      <c r="B35" s="2234" t="s">
        <v>1810</v>
      </c>
      <c r="C35" s="73">
        <f ca="1">IF(D33="自定义",F35,ROUND(C32*D35,0))</f>
        <v>6269</v>
      </c>
      <c r="D35" s="1089">
        <f ca="1">IF(D33="自定义",ROUND(C35/C32,3),IF(D33="成本法成本比率",成本法!C56,IF(D33="收益法收益比率",收益法!J38,收益法!J41)))</f>
        <v>0.14000000000000001</v>
      </c>
      <c r="E35" s="2235" t="s">
        <v>1811</v>
      </c>
      <c r="F35" s="79">
        <v>4460</v>
      </c>
      <c r="G35" s="2194"/>
      <c r="H35" s="2194"/>
      <c r="I35" s="2194"/>
    </row>
    <row r="36" spans="1:16" ht="15.75" thickBot="1">
      <c r="A36" s="2893" t="s">
        <v>1812</v>
      </c>
      <c r="B36" s="2236" t="s">
        <v>1813</v>
      </c>
      <c r="C36" s="69">
        <v>0</v>
      </c>
      <c r="D36" s="2237"/>
      <c r="E36" s="2238"/>
      <c r="F36" s="2238"/>
      <c r="G36" s="2194"/>
      <c r="H36" s="2194"/>
      <c r="I36" s="2194"/>
    </row>
    <row r="37" spans="1:16" ht="15.75" thickBot="1">
      <c r="A37" s="2894"/>
      <c r="B37" s="2239" t="s">
        <v>1814</v>
      </c>
      <c r="C37" s="71">
        <v>0</v>
      </c>
      <c r="D37" s="2204"/>
      <c r="E37" s="2204"/>
      <c r="F37" s="2238"/>
      <c r="G37" s="2204"/>
      <c r="H37" s="2204"/>
      <c r="I37" s="2204"/>
    </row>
    <row r="38" spans="1:16" ht="15.75" thickBot="1">
      <c r="A38" s="2895"/>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899" t="s">
        <v>1823</v>
      </c>
      <c r="B45" s="2900"/>
      <c r="C45" s="2901"/>
      <c r="D45" s="80">
        <f ca="1">ROUND(I102*F45,0)</f>
        <v>5448587</v>
      </c>
      <c r="E45" s="81" t="s">
        <v>1824</v>
      </c>
      <c r="F45" s="82">
        <v>1</v>
      </c>
      <c r="G45" s="83" t="s">
        <v>1825</v>
      </c>
      <c r="H45" s="2194"/>
      <c r="I45" s="2194"/>
      <c r="J45" s="2961" t="s">
        <v>1826</v>
      </c>
      <c r="K45" s="2961"/>
      <c r="L45" s="2961"/>
      <c r="M45" s="2961"/>
      <c r="N45" s="2961"/>
      <c r="O45" s="2961"/>
      <c r="P45" s="1844"/>
    </row>
    <row r="46" spans="1:16" ht="14.25" customHeight="1">
      <c r="A46" s="2884" t="s">
        <v>1827</v>
      </c>
      <c r="B46" s="2885"/>
      <c r="C46" s="2885"/>
      <c r="D46" s="2885"/>
      <c r="E46" s="2885"/>
      <c r="F46" s="2885"/>
      <c r="G46" s="2886"/>
      <c r="H46" s="2256"/>
      <c r="I46" s="1143"/>
      <c r="J46" s="1882">
        <v>1</v>
      </c>
      <c r="K46" s="2961" t="s">
        <v>1828</v>
      </c>
      <c r="L46" s="2961"/>
      <c r="M46" s="2962" t="str">
        <f>项目基本情况!B1</f>
        <v>预评估</v>
      </c>
      <c r="N46" s="2962"/>
      <c r="O46" s="2962"/>
      <c r="P46" s="1844"/>
    </row>
    <row r="47" spans="1:16" ht="12" customHeight="1">
      <c r="A47" s="85" t="s">
        <v>1829</v>
      </c>
      <c r="B47" s="86"/>
      <c r="C47" s="87"/>
      <c r="D47" s="88" t="s">
        <v>1830</v>
      </c>
      <c r="E47" s="14" t="s">
        <v>1831</v>
      </c>
      <c r="F47" s="89" t="s">
        <v>1832</v>
      </c>
      <c r="G47" s="90" t="s">
        <v>1833</v>
      </c>
      <c r="H47" s="2256"/>
      <c r="I47" s="1143"/>
      <c r="J47" s="1882">
        <v>2</v>
      </c>
      <c r="K47" s="2961" t="s">
        <v>1834</v>
      </c>
      <c r="L47" s="2961"/>
      <c r="M47" s="2963">
        <f>'数据-取费表'!B2</f>
        <v>43125</v>
      </c>
      <c r="N47" s="2963"/>
      <c r="O47" s="2963"/>
      <c r="P47" s="1844"/>
    </row>
    <row r="48" spans="1:16" ht="25.5">
      <c r="A48" s="2896" t="s">
        <v>1835</v>
      </c>
      <c r="B48" s="2897"/>
      <c r="C48" s="2897"/>
      <c r="D48" s="56">
        <f ca="1">IF(H48="情况1",0,IF(H48="情况2",D52,IF(H48="情况3",D53,IF(H48="情况4",D54))))</f>
        <v>290591</v>
      </c>
      <c r="E48" s="1892" t="str">
        <f>IF(H48="情况4","(销售额-原购置价)×税（费）率","销售额×税（费）率")</f>
        <v>销售额×税（费）率</v>
      </c>
      <c r="F48" s="91">
        <f>IF(H48="情况1","免征",'数据-取费表'!E29)</f>
        <v>5.6000000000000001E-2</v>
      </c>
      <c r="G48" s="2257" t="s">
        <v>1836</v>
      </c>
      <c r="H48" s="2258" t="s">
        <v>1837</v>
      </c>
      <c r="I48" s="2256"/>
      <c r="J48" s="1882">
        <v>3</v>
      </c>
      <c r="K48" s="2961" t="s">
        <v>1838</v>
      </c>
      <c r="L48" s="2961"/>
      <c r="M48" s="2962">
        <f ca="1">I102</f>
        <v>5448587</v>
      </c>
      <c r="N48" s="2962"/>
      <c r="O48" s="2962"/>
      <c r="P48" s="1844"/>
    </row>
    <row r="49" spans="1:16" ht="25.5" customHeight="1">
      <c r="A49" s="92" t="s">
        <v>1839</v>
      </c>
      <c r="B49" s="2889" t="s">
        <v>1840</v>
      </c>
      <c r="C49" s="2889"/>
      <c r="D49" s="93">
        <v>0</v>
      </c>
      <c r="E49" s="13" t="s">
        <v>1841</v>
      </c>
      <c r="F49" s="18" t="s">
        <v>48</v>
      </c>
      <c r="G49" s="2954"/>
      <c r="H49" s="2194"/>
      <c r="I49" s="2259"/>
      <c r="J49" s="1882">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44"/>
    </row>
    <row r="50" spans="1:16" ht="25.5" customHeight="1">
      <c r="A50" s="94"/>
      <c r="B50" s="2889" t="s">
        <v>1842</v>
      </c>
      <c r="C50" s="2889"/>
      <c r="D50" s="95"/>
      <c r="E50" s="21"/>
      <c r="F50" s="96"/>
      <c r="G50" s="2955"/>
      <c r="H50" s="2194"/>
      <c r="I50" s="2259"/>
      <c r="J50" s="2961" t="s">
        <v>1843</v>
      </c>
      <c r="K50" s="2961"/>
      <c r="L50" s="2961"/>
      <c r="M50" s="2961"/>
      <c r="N50" s="2961"/>
      <c r="O50" s="2961"/>
      <c r="P50" s="1844"/>
    </row>
    <row r="51" spans="1:16" ht="12" customHeight="1">
      <c r="A51" s="97"/>
      <c r="B51" s="2889" t="s">
        <v>1844</v>
      </c>
      <c r="C51" s="2889"/>
      <c r="D51" s="98"/>
      <c r="E51" s="20"/>
      <c r="F51" s="96"/>
      <c r="G51" s="2956"/>
      <c r="H51" s="2194"/>
      <c r="I51" s="2259"/>
      <c r="J51" s="2260" t="s">
        <v>1845</v>
      </c>
      <c r="K51" s="2961" t="s">
        <v>1846</v>
      </c>
      <c r="L51" s="2961"/>
      <c r="M51" s="2260" t="s">
        <v>1847</v>
      </c>
      <c r="N51" s="2260" t="s">
        <v>1848</v>
      </c>
      <c r="O51" s="2260" t="s">
        <v>1849</v>
      </c>
      <c r="P51" s="1844"/>
    </row>
    <row r="52" spans="1:16" ht="24" customHeight="1">
      <c r="A52" s="99" t="s">
        <v>1850</v>
      </c>
      <c r="B52" s="2889" t="s">
        <v>1851</v>
      </c>
      <c r="C52" s="2889"/>
      <c r="D52" s="98">
        <f ca="1">ROUND(D45*'数据-取费表'!E29/(1+'数据-取费表'!F30),0)</f>
        <v>290591</v>
      </c>
      <c r="E52" s="10" t="s">
        <v>1852</v>
      </c>
      <c r="F52" s="100">
        <f>'数据-取费表'!E29</f>
        <v>5.6000000000000001E-2</v>
      </c>
      <c r="G52" s="2261"/>
      <c r="H52" s="2194"/>
      <c r="I52" s="2259"/>
      <c r="J52" s="1882">
        <v>1</v>
      </c>
      <c r="K52" s="2921" t="s">
        <v>1853</v>
      </c>
      <c r="L52" s="2921"/>
      <c r="M52" s="778">
        <f ca="1">D48</f>
        <v>290591</v>
      </c>
      <c r="N52" s="1882" t="str">
        <f>E48</f>
        <v>销售额×税（费）率</v>
      </c>
      <c r="O52" s="779">
        <f>F48</f>
        <v>5.6000000000000001E-2</v>
      </c>
      <c r="P52" s="1844"/>
    </row>
    <row r="53" spans="1:16" ht="12" customHeight="1">
      <c r="A53" s="99" t="s">
        <v>1854</v>
      </c>
      <c r="B53" s="2890" t="s">
        <v>1855</v>
      </c>
      <c r="C53" s="2820"/>
      <c r="D53" s="98">
        <f ca="1">ROUND(D45*'数据-取费表'!E29/(1+'数据-取费表'!F30),0)</f>
        <v>290591</v>
      </c>
      <c r="E53" s="10" t="s">
        <v>1852</v>
      </c>
      <c r="F53" s="100">
        <f>'数据-取费表'!E29</f>
        <v>5.6000000000000001E-2</v>
      </c>
      <c r="G53" s="2261"/>
      <c r="H53" s="2194"/>
      <c r="I53" s="2259"/>
      <c r="J53" s="1882">
        <v>2</v>
      </c>
      <c r="K53" s="2921" t="s">
        <v>1856</v>
      </c>
      <c r="L53" s="2921"/>
      <c r="M53" s="778">
        <f t="shared" ref="M53:O54" ca="1" si="1">D55</f>
        <v>2724</v>
      </c>
      <c r="N53" s="1882" t="str">
        <f t="shared" si="1"/>
        <v>销售额×税（费）率</v>
      </c>
      <c r="O53" s="779">
        <f t="shared" si="1"/>
        <v>5.0000000000000001E-4</v>
      </c>
      <c r="P53" s="1844"/>
    </row>
    <row r="54" spans="1:16" ht="12" customHeight="1">
      <c r="A54" s="99" t="s">
        <v>1857</v>
      </c>
      <c r="B54" s="2890" t="s">
        <v>1858</v>
      </c>
      <c r="C54" s="2820"/>
      <c r="D54" s="98">
        <f ca="1">C68</f>
        <v>290591</v>
      </c>
      <c r="E54" s="20" t="s">
        <v>1859</v>
      </c>
      <c r="F54" s="100">
        <f>'数据-取费表'!E29</f>
        <v>5.6000000000000001E-2</v>
      </c>
      <c r="G54" s="2261"/>
      <c r="H54" s="2262"/>
      <c r="I54" s="2259"/>
      <c r="J54" s="1882">
        <v>3</v>
      </c>
      <c r="K54" s="2921" t="s">
        <v>1860</v>
      </c>
      <c r="L54" s="2921"/>
      <c r="M54" s="778">
        <f t="shared" ca="1" si="1"/>
        <v>3083900</v>
      </c>
      <c r="N54" s="1882" t="str">
        <f t="shared" si="1"/>
        <v>增值额×税（费）率</v>
      </c>
      <c r="O54" s="780" t="str">
        <f t="shared" si="1"/>
        <v>——</v>
      </c>
      <c r="P54" s="1844"/>
    </row>
    <row r="55" spans="1:16" ht="24" customHeight="1">
      <c r="A55" s="2812" t="s">
        <v>1861</v>
      </c>
      <c r="B55" s="2897"/>
      <c r="C55" s="2897"/>
      <c r="D55" s="101">
        <f ca="1">IF(H55="个人住宅",0,ROUND(D45*I55,0))</f>
        <v>2724</v>
      </c>
      <c r="E55" s="10" t="s">
        <v>1862</v>
      </c>
      <c r="F55" s="100">
        <f>IF(H55="正常",I55,"免征")</f>
        <v>5.0000000000000001E-4</v>
      </c>
      <c r="G55" s="2261"/>
      <c r="H55" s="2258" t="s">
        <v>1863</v>
      </c>
      <c r="I55" s="102">
        <f>'数据-取费表'!E37</f>
        <v>5.0000000000000001E-4</v>
      </c>
      <c r="J55" s="1882">
        <f>IF(H59="非个人房产","",4)</f>
        <v>4</v>
      </c>
      <c r="K55" s="2921" t="str">
        <f>IF(H59="非个人房产","——","个人所得税")</f>
        <v>个人所得税</v>
      </c>
      <c r="L55" s="2921"/>
      <c r="M55" s="781">
        <f ca="1">D59</f>
        <v>54486</v>
      </c>
      <c r="N55" s="1885" t="str">
        <f>E59</f>
        <v>销售额×税（费）率</v>
      </c>
      <c r="O55" s="782">
        <f>F59</f>
        <v>0.01</v>
      </c>
      <c r="P55" s="1844"/>
    </row>
    <row r="56" spans="1:16" ht="24.75">
      <c r="A56" s="2812" t="s">
        <v>1864</v>
      </c>
      <c r="B56" s="2897"/>
      <c r="C56" s="2897"/>
      <c r="D56" s="101">
        <f ca="1">IF(H56="个人住宅",D57,D58)</f>
        <v>3083900</v>
      </c>
      <c r="E56" s="10" t="s">
        <v>1865</v>
      </c>
      <c r="F56" s="100" t="str">
        <f>IF(H56="正常",F58,"免征")</f>
        <v>——</v>
      </c>
      <c r="G56" s="2263" t="s">
        <v>1866</v>
      </c>
      <c r="H56" s="2264" t="s">
        <v>1863</v>
      </c>
      <c r="I56" s="1021"/>
      <c r="J56" s="1882" t="str">
        <f>IF(项目基本情况!I6="上海银行",IF(J55="",4,J55+1),"")</f>
        <v/>
      </c>
      <c r="K56" s="2939" t="str">
        <f>IF(项目基本情况!I6="上海银行","其他处置费用","")</f>
        <v/>
      </c>
      <c r="L56" s="2940"/>
      <c r="M56" s="778" t="str">
        <f>IF(项目基本情况!I6="上海银行",M69,"")</f>
        <v/>
      </c>
      <c r="N56" s="2952" t="str">
        <f>IF(项目基本情况!I6="上海银行","包含处置中涉及的律师、诉讼、拍卖、评估等费用","")</f>
        <v/>
      </c>
      <c r="O56" s="2953"/>
      <c r="P56" s="1844"/>
    </row>
    <row r="57" spans="1:16" ht="12.75">
      <c r="A57" s="99" t="s">
        <v>1839</v>
      </c>
      <c r="B57" s="2887" t="s">
        <v>1867</v>
      </c>
      <c r="C57" s="2898"/>
      <c r="D57" s="103">
        <v>0</v>
      </c>
      <c r="E57" s="13" t="s">
        <v>1841</v>
      </c>
      <c r="F57" s="70"/>
      <c r="G57" s="2261"/>
      <c r="H57" s="1021"/>
      <c r="I57" s="1021"/>
      <c r="J57" s="2921">
        <f>IF(AND(J55="",J56=""),4,IF(项目基本情况!I6="上海银行",J56+1,J55+1))</f>
        <v>5</v>
      </c>
      <c r="K57" s="2921" t="s">
        <v>1868</v>
      </c>
      <c r="L57" s="2265" t="s">
        <v>1869</v>
      </c>
      <c r="M57" s="783"/>
      <c r="N57" s="784">
        <f ca="1">SUMIF(M52:M56,"&lt;9e307")</f>
        <v>3431701</v>
      </c>
      <c r="O57" s="2266"/>
      <c r="P57" s="1840" t="e">
        <f ca="1">N57/M49</f>
        <v>#VALUE!</v>
      </c>
    </row>
    <row r="58" spans="1:16" ht="24.75">
      <c r="A58" s="99" t="s">
        <v>1850</v>
      </c>
      <c r="B58" s="2887" t="s">
        <v>1870</v>
      </c>
      <c r="C58" s="2888"/>
      <c r="D58" s="101">
        <f ca="1">IF(H58="转让取得",C81,C97)</f>
        <v>3083900</v>
      </c>
      <c r="E58" s="10" t="s">
        <v>1865</v>
      </c>
      <c r="F58" s="14" t="s">
        <v>48</v>
      </c>
      <c r="G58" s="2261"/>
      <c r="H58" s="2264" t="s">
        <v>1871</v>
      </c>
      <c r="I58" s="1021"/>
      <c r="J58" s="2921"/>
      <c r="K58" s="2921"/>
      <c r="L58" s="2265" t="s">
        <v>1872</v>
      </c>
      <c r="M58" s="785"/>
      <c r="N58" s="2267" t="str">
        <f ca="1">IF(H19="元",NUMBERSTRING(INT(N57),2)&amp;"元整",NUMBERSTRING(INT(N57*10000),2)&amp;"元整")</f>
        <v>叁佰肆拾叁万壹仟柒佰零壹元整</v>
      </c>
      <c r="O58" s="2268"/>
      <c r="P58" s="1844"/>
    </row>
    <row r="59" spans="1:16" ht="26.25" thickBot="1">
      <c r="A59" s="2813" t="s">
        <v>1873</v>
      </c>
      <c r="B59" s="2816"/>
      <c r="C59" s="2816"/>
      <c r="D59" s="104">
        <f ca="1">IF(H59="非个人房产","——",IF(H59="个人住宅",0,ROUND(D45*I59,0)))</f>
        <v>54486</v>
      </c>
      <c r="E59" s="105" t="str">
        <f>IF(H59="非个人房产","——","销售额×税（费）率")</f>
        <v>销售额×税（费）率</v>
      </c>
      <c r="F59" s="106">
        <f>IF(H59="非个人房产","——",IF(H59="个人住宅","免征",I59))</f>
        <v>0.01</v>
      </c>
      <c r="G59" s="2269" t="s">
        <v>1866</v>
      </c>
      <c r="H59" s="2264" t="s">
        <v>1874</v>
      </c>
      <c r="I59" s="107">
        <v>0.01</v>
      </c>
      <c r="J59" s="2919">
        <f>J57+1</f>
        <v>6</v>
      </c>
      <c r="K59" s="2921"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0"/>
      <c r="K60" s="2921"/>
      <c r="L60" s="2265" t="s">
        <v>1872</v>
      </c>
      <c r="M60" s="785"/>
      <c r="N60" s="2267" t="e">
        <f ca="1">IF(H19="元",NUMBERSTRING(INT(N59),2)&amp;"元整",NUMBERSTRING(INT(N59*10000),2)&amp;"元整")</f>
        <v>#VALUE!</v>
      </c>
      <c r="O60" s="2268"/>
      <c r="P60" s="1844"/>
    </row>
    <row r="61" spans="1:16" ht="13.5" thickBot="1">
      <c r="A61" s="2902" t="s">
        <v>1876</v>
      </c>
      <c r="B61" s="2902"/>
      <c r="C61" s="2902"/>
      <c r="D61" s="2902"/>
      <c r="E61" s="2902"/>
      <c r="F61" s="1021"/>
      <c r="G61" s="1021"/>
      <c r="H61" s="2247"/>
      <c r="I61" s="2194"/>
      <c r="J61" s="1882">
        <f>J59+1</f>
        <v>7</v>
      </c>
      <c r="K61" s="2921" t="s">
        <v>1877</v>
      </c>
      <c r="L61" s="2921"/>
      <c r="M61" s="788"/>
      <c r="N61" s="789" t="e">
        <f ca="1">IF(H19="元",ROUND(N59/项目基本情况!C12,0),ROUND(N59*10000/项目基本情况!C12,0))</f>
        <v>#VALUE!</v>
      </c>
      <c r="O61" s="2271"/>
      <c r="P61" s="1844"/>
    </row>
    <row r="62" spans="1:16" ht="12.75">
      <c r="A62" s="2909" t="s">
        <v>1878</v>
      </c>
      <c r="B62" s="2910"/>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5189130</v>
      </c>
      <c r="D63" s="112"/>
      <c r="E63" s="113"/>
      <c r="F63" s="1021"/>
      <c r="G63" s="1021"/>
      <c r="H63" s="2247"/>
      <c r="I63" s="2194"/>
      <c r="J63" s="2941"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5448587</v>
      </c>
      <c r="D64" s="117" t="s">
        <v>41</v>
      </c>
      <c r="E64" s="118"/>
      <c r="F64" s="1021"/>
      <c r="G64" s="1021"/>
      <c r="H64" s="2247"/>
      <c r="I64" s="2194"/>
      <c r="J64" s="2941"/>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1"/>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1"/>
      <c r="K66" s="2272" t="s">
        <v>1891</v>
      </c>
      <c r="L66" s="1843" t="e">
        <f>M49*0.5%</f>
        <v>#VALUE!</v>
      </c>
      <c r="M66" s="14" t="e">
        <f>IF(L66&gt;0.5,0.5,ROUND(L66,0))</f>
        <v>#VALUE!</v>
      </c>
      <c r="N66" s="1844" t="s">
        <v>1892</v>
      </c>
      <c r="O66" s="1844"/>
      <c r="P66" s="1844"/>
    </row>
    <row r="67" spans="1:35" ht="12.75">
      <c r="A67" s="120" t="s">
        <v>42</v>
      </c>
      <c r="B67" s="121" t="s">
        <v>1893</v>
      </c>
      <c r="C67" s="124">
        <f ca="1">C63-C66</f>
        <v>5189130</v>
      </c>
      <c r="D67" s="117" t="s">
        <v>41</v>
      </c>
      <c r="E67" s="118"/>
      <c r="F67" s="1021"/>
      <c r="G67" s="1021"/>
      <c r="H67" s="2247"/>
      <c r="I67" s="2194"/>
      <c r="J67" s="2941"/>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290591</v>
      </c>
      <c r="D68" s="128">
        <f>'数据-取费表'!E29</f>
        <v>5.6000000000000001E-2</v>
      </c>
      <c r="E68" s="129"/>
      <c r="F68" s="1021"/>
      <c r="G68" s="1021"/>
      <c r="H68" s="2247"/>
      <c r="I68" s="2194"/>
      <c r="J68" s="2941"/>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1"/>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3" t="s">
        <v>1898</v>
      </c>
      <c r="B70" s="2914"/>
      <c r="C70" s="2914"/>
      <c r="D70" s="2914"/>
      <c r="E70" s="2914"/>
      <c r="F70" s="2914"/>
      <c r="G70" s="2914"/>
      <c r="H70" s="2914"/>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09" t="s">
        <v>1878</v>
      </c>
      <c r="B71" s="2910"/>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5189130</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31135</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0" t="s">
        <v>1908</v>
      </c>
      <c r="F76" s="2889"/>
      <c r="G76" s="2889"/>
      <c r="H76" s="2904"/>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31135</v>
      </c>
      <c r="D78" s="145">
        <f>'数据-取费表'!E31</f>
        <v>6.000000000000001E-3</v>
      </c>
      <c r="E78" s="2881" t="s">
        <v>1913</v>
      </c>
      <c r="F78" s="2882"/>
      <c r="G78" s="2882"/>
      <c r="H78" s="2883"/>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5157995</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165.66548899951823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3083900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3" t="s">
        <v>1917</v>
      </c>
      <c r="B83" s="2914"/>
      <c r="C83" s="2914"/>
      <c r="D83" s="2914"/>
      <c r="E83" s="2914"/>
      <c r="F83" s="2914"/>
      <c r="G83" s="2914"/>
      <c r="H83" s="2914"/>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09" t="s">
        <v>1878</v>
      </c>
      <c r="B84" s="2910"/>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5189130</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31135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1" t="s">
        <v>1925</v>
      </c>
      <c r="F91" s="2882"/>
      <c r="G91" s="2882"/>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1" t="s">
        <v>1928</v>
      </c>
      <c r="F92" s="2882"/>
      <c r="G92" s="2882"/>
      <c r="H92" s="2883"/>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31135</v>
      </c>
      <c r="D93" s="145">
        <f>'数据-取费表'!E31</f>
        <v>6.000000000000001E-3</v>
      </c>
      <c r="E93" s="2881" t="s">
        <v>1913</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1" t="s">
        <v>1930</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5157995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165.66548899951823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3083900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6" t="s">
        <v>1932</v>
      </c>
      <c r="B99" s="2937"/>
      <c r="C99" s="2937"/>
      <c r="D99" s="2938"/>
      <c r="E99" s="2194"/>
      <c r="F99" s="2947" t="s">
        <v>1933</v>
      </c>
      <c r="G99" s="2948"/>
      <c r="H99" s="2948"/>
      <c r="I99" s="2949"/>
    </row>
    <row r="100" spans="1:35" ht="15.75">
      <c r="A100" s="2950" t="s">
        <v>1934</v>
      </c>
      <c r="B100" s="2951"/>
      <c r="C100" s="720" t="str">
        <f>C4</f>
        <v>比较法-住宅</v>
      </c>
      <c r="D100" s="721" t="str">
        <f>D4</f>
        <v>收益法</v>
      </c>
      <c r="E100" s="2194"/>
      <c r="F100" s="2846" t="s">
        <v>1935</v>
      </c>
      <c r="G100" s="2847"/>
      <c r="H100" s="2846" t="s">
        <v>1936</v>
      </c>
      <c r="I100" s="2845"/>
    </row>
    <row r="101" spans="1:35" ht="15.75">
      <c r="A101" s="2928" t="s">
        <v>1937</v>
      </c>
      <c r="B101" s="2289" t="str">
        <f>IF(H19="元","总价（元）","总价（万元）")</f>
        <v>总价（元）</v>
      </c>
      <c r="C101" s="720">
        <f ca="1">C19</f>
        <v>5885053</v>
      </c>
      <c r="D101" s="721">
        <f ca="1">D19</f>
        <v>3702675</v>
      </c>
      <c r="E101" s="2194"/>
      <c r="F101" s="2846" t="str">
        <f>项目基本情况!I1</f>
        <v>房地产</v>
      </c>
      <c r="G101" s="2847"/>
      <c r="H101" s="2844">
        <f>项目基本情况!C12</f>
        <v>121.68</v>
      </c>
      <c r="I101" s="2845"/>
    </row>
    <row r="102" spans="1:35" ht="15.75">
      <c r="A102" s="2928"/>
      <c r="B102" s="2289" t="s">
        <v>1938</v>
      </c>
      <c r="C102" s="722">
        <f ca="1">C20</f>
        <v>48365</v>
      </c>
      <c r="D102" s="723">
        <f ca="1">D20</f>
        <v>30430</v>
      </c>
      <c r="E102" s="2194"/>
      <c r="F102" s="2873" t="s">
        <v>1939</v>
      </c>
      <c r="G102" s="2874"/>
      <c r="H102" s="2290" t="str">
        <f>C106</f>
        <v>总价（元）</v>
      </c>
      <c r="I102" s="1861">
        <f ca="1">H121</f>
        <v>5448587</v>
      </c>
    </row>
    <row r="103" spans="1:35" ht="15">
      <c r="A103" s="2928" t="s">
        <v>1940</v>
      </c>
      <c r="B103" s="2291" t="str">
        <f>B101</f>
        <v>总价（元）</v>
      </c>
      <c r="C103" s="724">
        <f ca="1">H121</f>
        <v>5448587</v>
      </c>
      <c r="D103" s="725"/>
      <c r="E103" s="2194"/>
      <c r="F103" s="2873"/>
      <c r="G103" s="2874"/>
      <c r="H103" s="2290" t="s">
        <v>1938</v>
      </c>
      <c r="I103" s="1049">
        <f ca="1">I121</f>
        <v>44778</v>
      </c>
    </row>
    <row r="104" spans="1:35" ht="16.5" thickBot="1">
      <c r="A104" s="2929"/>
      <c r="B104" s="2292" t="s">
        <v>1938</v>
      </c>
      <c r="C104" s="726">
        <f ca="1">I121</f>
        <v>44778</v>
      </c>
      <c r="D104" s="727"/>
      <c r="E104" s="2194"/>
      <c r="F104" s="2945"/>
      <c r="G104" s="2946"/>
      <c r="H104" s="2930"/>
      <c r="I104" s="2931"/>
    </row>
    <row r="105" spans="1:35" ht="15.75">
      <c r="A105" s="2936" t="s">
        <v>1941</v>
      </c>
      <c r="B105" s="2937"/>
      <c r="C105" s="2937"/>
      <c r="D105" s="2938"/>
      <c r="E105" s="2194"/>
      <c r="F105" s="2934" t="s">
        <v>1942</v>
      </c>
      <c r="G105" s="2935"/>
      <c r="H105" s="2293" t="str">
        <f>C108</f>
        <v>总额（元）</v>
      </c>
      <c r="I105" s="1861">
        <f>SUMIF(I106:I108,"&lt;9E307")</f>
        <v>0</v>
      </c>
    </row>
    <row r="106" spans="1:35" ht="15">
      <c r="A106" s="2860" t="s">
        <v>1943</v>
      </c>
      <c r="B106" s="2861"/>
      <c r="C106" s="2290" t="str">
        <f>B101</f>
        <v>总价（元）</v>
      </c>
      <c r="D106" s="1050">
        <f ca="1">H121</f>
        <v>5448587</v>
      </c>
      <c r="E106" s="2194"/>
      <c r="F106" s="2862" t="s">
        <v>1944</v>
      </c>
      <c r="G106" s="2863"/>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0"/>
      <c r="B107" s="2861"/>
      <c r="C107" s="2290" t="s">
        <v>1938</v>
      </c>
      <c r="D107" s="1051">
        <f ca="1">I121</f>
        <v>44778</v>
      </c>
      <c r="E107" s="2194"/>
      <c r="F107" s="2862" t="s">
        <v>1945</v>
      </c>
      <c r="G107" s="2863"/>
      <c r="H107" s="2293" t="str">
        <f>C110</f>
        <v>总额（元）</v>
      </c>
      <c r="I107" s="1049">
        <f>C37</f>
        <v>0</v>
      </c>
      <c r="K107" s="2294"/>
    </row>
    <row r="108" spans="1:35" ht="15">
      <c r="A108" s="2867" t="s">
        <v>1946</v>
      </c>
      <c r="B108" s="2868"/>
      <c r="C108" s="2293" t="str">
        <f>IF(H19="元","总额（元）","总额（万元）")</f>
        <v>总额（元）</v>
      </c>
      <c r="D108" s="1050">
        <f>IF(D36="正常操作",I106+I107+I108,I107+I108)</f>
        <v>0</v>
      </c>
      <c r="E108" s="2194"/>
      <c r="F108" s="2862" t="s">
        <v>1947</v>
      </c>
      <c r="G108" s="2863"/>
      <c r="H108" s="2293" t="str">
        <f>C111</f>
        <v>总额（元）</v>
      </c>
      <c r="I108" s="1049">
        <f>C38</f>
        <v>0</v>
      </c>
    </row>
    <row r="109" spans="1:35" ht="15.75">
      <c r="A109" s="2862" t="s">
        <v>1944</v>
      </c>
      <c r="B109" s="2863"/>
      <c r="C109" s="2293" t="str">
        <f>C108</f>
        <v>总额（元）</v>
      </c>
      <c r="D109" s="637">
        <f>IF(D36="同一抵押权人同一抵押物续贷",C36&amp;"（未扣减，详见特别提示）",C36)</f>
        <v>0</v>
      </c>
      <c r="E109" s="2194"/>
      <c r="F109" s="2945"/>
      <c r="G109" s="2946"/>
      <c r="H109" s="2932"/>
      <c r="I109" s="2933"/>
    </row>
    <row r="110" spans="1:35" ht="28.5" customHeight="1">
      <c r="A110" s="2862" t="s">
        <v>1945</v>
      </c>
      <c r="B110" s="2863"/>
      <c r="C110" s="2293" t="str">
        <f>C108</f>
        <v>总额（元）</v>
      </c>
      <c r="D110" s="637">
        <f>C37</f>
        <v>0</v>
      </c>
      <c r="E110" s="2194"/>
      <c r="F110" s="2848" t="str">
        <f>IF(项目基本情况!F5="已注销","——","3.房地产抵押价值")</f>
        <v>3.房地产抵押价值</v>
      </c>
      <c r="G110" s="2849"/>
      <c r="H110" s="2295" t="str">
        <f>C112</f>
        <v>总价（元）</v>
      </c>
      <c r="I110" s="1862">
        <f ca="1">IF(F110="——","——",I102-I105)</f>
        <v>5448587</v>
      </c>
    </row>
    <row r="111" spans="1:35" ht="15">
      <c r="A111" s="2862" t="s">
        <v>1947</v>
      </c>
      <c r="B111" s="2863"/>
      <c r="C111" s="2293" t="str">
        <f>C108</f>
        <v>总额（元）</v>
      </c>
      <c r="D111" s="637">
        <f>C38</f>
        <v>0</v>
      </c>
      <c r="E111" s="2194"/>
      <c r="F111" s="2964"/>
      <c r="G111" s="2965"/>
      <c r="H111" s="2290" t="s">
        <v>1938</v>
      </c>
      <c r="I111" s="2296">
        <f ca="1">D113</f>
        <v>44778</v>
      </c>
    </row>
    <row r="112" spans="1:35" ht="26.25" customHeight="1">
      <c r="A112" s="2860" t="str">
        <f>IF(项目基本情况!F5="已注销","——","3.房地产抵押价值")</f>
        <v>3.房地产抵押价值</v>
      </c>
      <c r="B112" s="2861"/>
      <c r="C112" s="2290" t="str">
        <f>B101</f>
        <v>总价（元）</v>
      </c>
      <c r="D112" s="1050">
        <f ca="1">IF(A112="——","——",D106-D108)</f>
        <v>5448587</v>
      </c>
      <c r="E112" s="2194"/>
      <c r="F112" s="2848" t="str">
        <f>IF(项目基本情况!F5="已注销及未注销","4.抵押担保权已注销时的房地产抵押价值",IF(项目基本情况!F5="已注销","3.抵押担保权已注销时的房地产抵押价值","——"))</f>
        <v>——</v>
      </c>
      <c r="G112" s="2849"/>
      <c r="H112" s="2295" t="str">
        <f>C114</f>
        <v>总价（元）</v>
      </c>
      <c r="I112" s="1862" t="str">
        <f>IF(F112="——","——",I102-I107-I108)</f>
        <v>——</v>
      </c>
    </row>
    <row r="113" spans="1:15" ht="15">
      <c r="A113" s="2860"/>
      <c r="B113" s="2861"/>
      <c r="C113" s="2290" t="s">
        <v>1938</v>
      </c>
      <c r="D113" s="1051">
        <f ca="1">ROUND(IF(D112=D106,D107,IF(H19="元",D112/项目基本情况!C12,D112*10000/项目基本情况!C12)),0)</f>
        <v>44778</v>
      </c>
      <c r="E113" s="2194"/>
      <c r="F113" s="2964"/>
      <c r="G113" s="2965"/>
      <c r="H113" s="2290" t="s">
        <v>1938</v>
      </c>
      <c r="I113" s="2297" t="str">
        <f>D115</f>
        <v>——</v>
      </c>
    </row>
    <row r="114" spans="1:15" ht="15.75">
      <c r="A114" s="2860" t="str">
        <f>IF(项目基本情况!F5="已注销及未注销","4.抵押担保权已注销时的房地产抵押价值",IF(项目基本情况!F5="已注销","3.抵押担保权已注销时的房地产抵押价值","——"))</f>
        <v>——</v>
      </c>
      <c r="B114" s="2861"/>
      <c r="C114" s="2290" t="str">
        <f>B101</f>
        <v>总价（元）</v>
      </c>
      <c r="D114" s="1050" t="str">
        <f>IF(A114="——","——",D106-D110-D111)</f>
        <v>——</v>
      </c>
      <c r="E114" s="2194"/>
      <c r="F114" s="2848" t="str">
        <f>IF(项目基本情况!G5="抵押净值",IF(OR(项目基本情况!F5="已注销",项目基本情况!F5="房地产抵押价值"),"4.抵押净值","5.抵押净值"),"——")</f>
        <v>——</v>
      </c>
      <c r="G114" s="2849"/>
      <c r="H114" s="2290" t="str">
        <f>C116</f>
        <v>总价（元）</v>
      </c>
      <c r="I114" s="1861" t="str">
        <f>IF(F114="——","——",N59)</f>
        <v>——</v>
      </c>
    </row>
    <row r="115" spans="1:15" ht="15.75" thickBot="1">
      <c r="A115" s="2860"/>
      <c r="B115" s="2861"/>
      <c r="C115" s="2290" t="s">
        <v>1938</v>
      </c>
      <c r="D115" s="1051" t="str">
        <f>IF(A114="——","——",ROUND(IF(D114=D106,D107,IF(H19="元",D114/项目基本情况!C12,D114*10000/项目基本情况!C12)),0))</f>
        <v>——</v>
      </c>
      <c r="E115" s="2194"/>
      <c r="F115" s="2850"/>
      <c r="G115" s="2851"/>
      <c r="H115" s="2298" t="s">
        <v>1938</v>
      </c>
      <c r="I115" s="1863" t="str">
        <f ca="1">D117</f>
        <v>——</v>
      </c>
    </row>
    <row r="116" spans="1:15" ht="15.75">
      <c r="A116" s="2860" t="str">
        <f>IF(项目基本情况!G5="抵押净值",IF(OR(项目基本情况!F5="已注销",项目基本情况!F5="房地产抵押价值"),"4.抵押净值","5.抵押净值"),"——")</f>
        <v>——</v>
      </c>
      <c r="B116" s="2861"/>
      <c r="C116" s="2290" t="str">
        <f>B101</f>
        <v>总价（元）</v>
      </c>
      <c r="D116" s="1050" t="str">
        <f>IF(A116="——","——",N59)</f>
        <v>——</v>
      </c>
      <c r="E116" s="2194"/>
      <c r="F116" s="2960"/>
      <c r="G116" s="2960"/>
      <c r="H116" s="2916"/>
      <c r="I116" s="2916"/>
      <c r="N116" s="55"/>
      <c r="O116" s="55"/>
    </row>
    <row r="117" spans="1:15" ht="15.75" thickBot="1">
      <c r="A117" s="2865"/>
      <c r="B117" s="2866"/>
      <c r="C117" s="2298" t="s">
        <v>1938</v>
      </c>
      <c r="D117" s="1052" t="str">
        <f ca="1">IF(D116=D112,D113,IF(A116="——","——",N61))</f>
        <v>——</v>
      </c>
      <c r="E117" s="2194"/>
      <c r="F117" s="2840" t="str">
        <f>IF(B32="总价","（以上估价结果中单价为总价除以建筑面积得出）","（以上估价结果中总价为楼面单价乘以建筑面积得出）")</f>
        <v>（以上估价结果中总价为楼面单价乘以建筑面积得出）</v>
      </c>
      <c r="G117" s="2840"/>
      <c r="H117" s="2840"/>
      <c r="I117" s="2840"/>
      <c r="N117" s="55"/>
      <c r="O117" s="55"/>
    </row>
    <row r="118" spans="1:15" ht="15">
      <c r="A118" s="2917" t="s">
        <v>1948</v>
      </c>
      <c r="B118" s="2918"/>
      <c r="C118" s="2918"/>
      <c r="D118" s="2918"/>
      <c r="E118" s="2918"/>
      <c r="F118" s="2918"/>
      <c r="G118" s="2918"/>
      <c r="H118" s="2918"/>
      <c r="I118" s="2918"/>
    </row>
    <row r="119" spans="1:15" ht="14.25">
      <c r="A119" s="2841" t="s">
        <v>1949</v>
      </c>
      <c r="B119" s="2871" t="s">
        <v>1950</v>
      </c>
      <c r="C119" s="2871" t="s">
        <v>1951</v>
      </c>
      <c r="D119" s="2943" t="s">
        <v>1952</v>
      </c>
      <c r="E119" s="2944"/>
      <c r="F119" s="2842" t="s">
        <v>1810</v>
      </c>
      <c r="G119" s="2842"/>
      <c r="H119" s="2842" t="s">
        <v>1953</v>
      </c>
      <c r="I119" s="2942"/>
    </row>
    <row r="120" spans="1:15" ht="14.25">
      <c r="A120" s="2841"/>
      <c r="B120" s="2872"/>
      <c r="C120" s="2872"/>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121.68</v>
      </c>
      <c r="C121" s="1886">
        <f>项目基本情况!C13</f>
        <v>0</v>
      </c>
      <c r="D121" s="1886">
        <f ca="1">ROUND(IF(B32="总价",C34,IF('数据-取费表'!B3="万元",E121*B121/10000,E121*B121)),0)</f>
        <v>4685775</v>
      </c>
      <c r="E121" s="1886">
        <f ca="1">ROUND(IF(B32="楼面单价",C34,IF(H19="元",D121/B121,D121*10000/B121)),0)</f>
        <v>38509</v>
      </c>
      <c r="F121" s="1886">
        <f ca="1">ROUND(IF(B32="总价",C35,IF('数据-取费表'!B3="万元",G121*B121/10000,G121*B121)),0)</f>
        <v>762812</v>
      </c>
      <c r="G121" s="1886">
        <f ca="1">ROUND(IF(B32="楼面单价",C35,IF(H19="元",F121/B121,F121*10000/B121)),0)</f>
        <v>6269</v>
      </c>
      <c r="H121" s="1886">
        <f ca="1">ROUND(IF(B32="总价",C32,IF('数据-取费表'!B3="万元",I121*B121/10000,I121*B121)),0)</f>
        <v>5448587</v>
      </c>
      <c r="I121" s="637">
        <f ca="1">ROUND(IF(B32="楼面单价",C32,IF(H19="元",H121/B121,H121*10000/B121)),0)</f>
        <v>44778</v>
      </c>
    </row>
    <row r="122" spans="1:15" ht="14.25">
      <c r="A122" s="2841" t="s">
        <v>1957</v>
      </c>
      <c r="B122" s="2842"/>
      <c r="C122" s="2842"/>
      <c r="D122" s="2875" t="str">
        <f ca="1">IF(H19="元",NUMBERSTRING(INT(D121),2)&amp;"元整",NUMBERSTRING(INT(D121*10000),2)&amp;"元整")</f>
        <v>肆佰陆拾捌万伍仟柒佰柒拾伍元整</v>
      </c>
      <c r="E122" s="2922"/>
      <c r="F122" s="2875" t="str">
        <f ca="1">IF(H19="元",NUMBERSTRING(INT(F121),2)&amp;"元整",NUMBERSTRING(INT(F121*10000),2)&amp;"元整")</f>
        <v>柒拾陆万贰仟捌佰壹拾贰元整</v>
      </c>
      <c r="G122" s="2922"/>
      <c r="H122" s="2875" t="str">
        <f ca="1">IF(H19="元",NUMBERSTRING(INT(H121),2)&amp;"元整",NUMBERSTRING(INT(H121*10000),2)&amp;"元整")</f>
        <v>伍佰肆拾肆万捌仟伍佰捌拾柒元整</v>
      </c>
      <c r="I122" s="2876"/>
    </row>
    <row r="123" spans="1:15" ht="15">
      <c r="A123" s="2923" t="str">
        <f>IF(项目基本情况!D5="房地产市场价值","——",MID(A108,3,LEN(A108)-2))</f>
        <v>估价师所知悉的法定优先受偿款</v>
      </c>
      <c r="B123" s="2853"/>
      <c r="C123" s="2924"/>
      <c r="D123" s="2852">
        <f>I105</f>
        <v>0</v>
      </c>
      <c r="E123" s="2853"/>
      <c r="F123" s="2853"/>
      <c r="G123" s="2853"/>
      <c r="H123" s="2853"/>
      <c r="I123" s="2854"/>
    </row>
    <row r="124" spans="1:15" ht="14.25">
      <c r="A124" s="2925" t="s">
        <v>1957</v>
      </c>
      <c r="B124" s="2926"/>
      <c r="C124" s="2927"/>
      <c r="D124" s="2855">
        <f>H109</f>
        <v>0</v>
      </c>
      <c r="E124" s="2856"/>
      <c r="F124" s="2856"/>
      <c r="G124" s="2856"/>
      <c r="H124" s="2856"/>
      <c r="I124" s="2857"/>
    </row>
    <row r="125" spans="1:15" ht="15">
      <c r="A125" s="2858" t="str">
        <f>IF(项目基本情况!D5="房地产市场价值","——",MID(A112,3,LEN(A112)-2))</f>
        <v>房地产抵押价值</v>
      </c>
      <c r="B125" s="2859"/>
      <c r="C125" s="2859"/>
      <c r="D125" s="2852">
        <f ca="1">I110</f>
        <v>5448587</v>
      </c>
      <c r="E125" s="2853"/>
      <c r="F125" s="2853"/>
      <c r="G125" s="2853"/>
      <c r="H125" s="2853"/>
      <c r="I125" s="2854"/>
    </row>
    <row r="126" spans="1:15" ht="14.25">
      <c r="A126" s="2841" t="s">
        <v>1957</v>
      </c>
      <c r="B126" s="2842"/>
      <c r="C126" s="2842"/>
      <c r="D126" s="2855">
        <f ca="1">I111</f>
        <v>44778</v>
      </c>
      <c r="E126" s="2856"/>
      <c r="F126" s="2856"/>
      <c r="G126" s="2856"/>
      <c r="H126" s="2856"/>
      <c r="I126" s="2857"/>
    </row>
    <row r="127" spans="1:15" ht="15.75" thickBot="1">
      <c r="A127" s="2858" t="str">
        <f>IF(项目基本情况!D5="房地产市场价值","——",MID(A114,3,LEN(A114)-2))</f>
        <v/>
      </c>
      <c r="B127" s="2859"/>
      <c r="C127" s="2859"/>
      <c r="D127" s="2957" t="str">
        <f>I112</f>
        <v>——</v>
      </c>
      <c r="E127" s="2958"/>
      <c r="F127" s="2958"/>
      <c r="G127" s="2958"/>
      <c r="H127" s="2958"/>
      <c r="I127" s="2959"/>
    </row>
    <row r="128" spans="1:15" ht="15.75" thickTop="1" thickBot="1">
      <c r="A128" s="2841" t="s">
        <v>1957</v>
      </c>
      <c r="B128" s="2842"/>
      <c r="C128" s="2843"/>
      <c r="D128" s="2915" t="str">
        <f>I113</f>
        <v>——</v>
      </c>
      <c r="E128" s="2915"/>
      <c r="F128" s="2915"/>
      <c r="G128" s="2915"/>
      <c r="H128" s="2915"/>
      <c r="I128" s="2915"/>
    </row>
    <row r="129" spans="1:9" ht="16.5" thickTop="1" thickBot="1">
      <c r="A129" s="2858" t="str">
        <f>IF(项目基本情况!D5="房地产市场价值","——",MID(F114,3,LEN(F114)-2))</f>
        <v/>
      </c>
      <c r="B129" s="2859"/>
      <c r="C129" s="2852"/>
      <c r="D129" s="2864" t="str">
        <f>I114</f>
        <v>——</v>
      </c>
      <c r="E129" s="2864"/>
      <c r="F129" s="2864"/>
      <c r="G129" s="2864"/>
      <c r="H129" s="2864"/>
      <c r="I129" s="2864"/>
    </row>
    <row r="130" spans="1:9" ht="15.75" thickTop="1" thickBot="1">
      <c r="A130" s="2869" t="s">
        <v>1957</v>
      </c>
      <c r="B130" s="2870"/>
      <c r="C130" s="2870"/>
      <c r="D130" s="2877">
        <f>H116</f>
        <v>0</v>
      </c>
      <c r="E130" s="2878"/>
      <c r="F130" s="2878"/>
      <c r="G130" s="2878"/>
      <c r="H130" s="2878"/>
      <c r="I130" s="287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39" t="str">
        <f>IF(B32="总价","（以上估价结果中楼面单价为总价除以建筑面积得出）","（以上估价结果中总价为楼面单价乘以建筑面积得出）")</f>
        <v>（以上估价结果中总价为楼面单价乘以建筑面积得出）</v>
      </c>
      <c r="B132" s="2839"/>
      <c r="C132" s="2839"/>
      <c r="D132" s="2839"/>
      <c r="E132" s="2839"/>
      <c r="F132" s="2839"/>
      <c r="G132" s="2839"/>
      <c r="H132" s="2839"/>
      <c r="I132" s="2839"/>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6" t="s">
        <v>1966</v>
      </c>
      <c r="B2" s="2976"/>
      <c r="C2" s="2976"/>
      <c r="D2" s="2976"/>
      <c r="E2" s="2976"/>
      <c r="F2" s="2976"/>
      <c r="G2" s="2976"/>
      <c r="H2" s="2976"/>
      <c r="I2" s="2976"/>
    </row>
    <row r="3" spans="1:12" ht="12.75">
      <c r="A3" s="2906" t="s">
        <v>1770</v>
      </c>
      <c r="B3" s="2907"/>
      <c r="C3" s="2907"/>
      <c r="D3" s="2907"/>
      <c r="E3" s="2907"/>
      <c r="F3" s="2907"/>
      <c r="G3" s="2907"/>
      <c r="H3" s="2907"/>
      <c r="I3" s="2907"/>
    </row>
    <row r="4" spans="1:12" ht="14.25">
      <c r="A4" s="2196" t="s">
        <v>1771</v>
      </c>
      <c r="B4" s="2197" t="s">
        <v>1772</v>
      </c>
      <c r="C4" s="2198"/>
      <c r="D4" s="2198"/>
      <c r="E4" s="2887" t="s">
        <v>1967</v>
      </c>
      <c r="F4" s="2888"/>
      <c r="G4" s="2888"/>
      <c r="H4" s="2888"/>
      <c r="I4" s="289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0" t="s">
        <v>1774</v>
      </c>
      <c r="B5" s="2842">
        <v>25</v>
      </c>
      <c r="C5" s="2891"/>
      <c r="D5" s="2905"/>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7" t="s">
        <v>1970</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3" t="s">
        <v>1979</v>
      </c>
      <c r="B37" s="2236" t="s">
        <v>1980</v>
      </c>
      <c r="C37" s="69"/>
      <c r="D37" s="2237"/>
      <c r="E37" s="2238"/>
      <c r="F37" s="2238"/>
      <c r="G37" s="2194"/>
      <c r="H37" s="2194"/>
      <c r="I37" s="2194"/>
    </row>
    <row r="38" spans="1:16" ht="15.75" thickBot="1">
      <c r="A38" s="2894"/>
      <c r="B38" s="2239" t="s">
        <v>1981</v>
      </c>
      <c r="C38" s="71"/>
      <c r="D38" s="2204"/>
      <c r="E38" s="2204"/>
      <c r="F38" s="2238"/>
      <c r="G38" s="2204"/>
      <c r="H38" s="2204"/>
      <c r="I38" s="2204"/>
    </row>
    <row r="39" spans="1:16" ht="15.75" thickBot="1">
      <c r="A39" s="2895"/>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899" t="s">
        <v>1992</v>
      </c>
      <c r="B46" s="2900"/>
      <c r="C46" s="2901"/>
      <c r="D46" s="80">
        <f>ROUND(I103*F46,0)</f>
        <v>0</v>
      </c>
      <c r="E46" s="81" t="s">
        <v>1993</v>
      </c>
      <c r="F46" s="82">
        <v>1</v>
      </c>
      <c r="G46" s="83" t="s">
        <v>1994</v>
      </c>
      <c r="H46" s="2194"/>
      <c r="I46" s="2194"/>
      <c r="J46" s="2961" t="s">
        <v>1826</v>
      </c>
      <c r="K46" s="2961"/>
      <c r="L46" s="2961"/>
      <c r="M46" s="2961"/>
      <c r="N46" s="2961"/>
      <c r="O46" s="2961"/>
      <c r="P46" s="1844"/>
    </row>
    <row r="47" spans="1:16" ht="14.25" customHeight="1">
      <c r="A47" s="2884" t="s">
        <v>1827</v>
      </c>
      <c r="B47" s="2885"/>
      <c r="C47" s="2885"/>
      <c r="D47" s="2885"/>
      <c r="E47" s="2885"/>
      <c r="F47" s="2885"/>
      <c r="G47" s="2886"/>
      <c r="H47" s="2256"/>
      <c r="I47" s="1143"/>
      <c r="J47" s="1882">
        <v>1</v>
      </c>
      <c r="K47" s="2961" t="s">
        <v>1828</v>
      </c>
      <c r="L47" s="2961"/>
      <c r="M47" s="2977"/>
      <c r="N47" s="2977"/>
      <c r="O47" s="2977"/>
      <c r="P47" s="1844"/>
    </row>
    <row r="48" spans="1:16" ht="12" customHeight="1">
      <c r="A48" s="85" t="s">
        <v>1829</v>
      </c>
      <c r="B48" s="86"/>
      <c r="C48" s="87"/>
      <c r="D48" s="88" t="s">
        <v>1830</v>
      </c>
      <c r="E48" s="14" t="s">
        <v>1831</v>
      </c>
      <c r="F48" s="89" t="s">
        <v>1832</v>
      </c>
      <c r="G48" s="90" t="s">
        <v>1833</v>
      </c>
      <c r="H48" s="2256"/>
      <c r="I48" s="1143"/>
      <c r="J48" s="1882">
        <v>2</v>
      </c>
      <c r="K48" s="2961" t="s">
        <v>1834</v>
      </c>
      <c r="L48" s="2961"/>
      <c r="M48" s="2963">
        <f>'数据-取费表'!B2</f>
        <v>43125</v>
      </c>
      <c r="N48" s="2963"/>
      <c r="O48" s="2963"/>
      <c r="P48" s="1844"/>
    </row>
    <row r="49" spans="1:16" ht="25.5">
      <c r="A49" s="2896" t="s">
        <v>1835</v>
      </c>
      <c r="B49" s="2897"/>
      <c r="C49" s="2897"/>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1" t="s">
        <v>1838</v>
      </c>
      <c r="L49" s="2961"/>
      <c r="M49" s="2962">
        <f>I103</f>
        <v>0</v>
      </c>
      <c r="N49" s="2962"/>
      <c r="O49" s="2962"/>
      <c r="P49" s="1844"/>
    </row>
    <row r="50" spans="1:16" ht="25.5" customHeight="1">
      <c r="A50" s="92" t="s">
        <v>1839</v>
      </c>
      <c r="B50" s="2889" t="s">
        <v>1840</v>
      </c>
      <c r="C50" s="2889"/>
      <c r="D50" s="93">
        <v>0</v>
      </c>
      <c r="E50" s="13" t="s">
        <v>1841</v>
      </c>
      <c r="F50" s="18" t="s">
        <v>48</v>
      </c>
      <c r="G50" s="2954"/>
      <c r="H50" s="2194"/>
      <c r="I50" s="2259"/>
      <c r="J50" s="1882">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44"/>
    </row>
    <row r="51" spans="1:16" ht="25.5" customHeight="1">
      <c r="A51" s="94"/>
      <c r="B51" s="2889" t="s">
        <v>1842</v>
      </c>
      <c r="C51" s="2889"/>
      <c r="D51" s="95"/>
      <c r="E51" s="21"/>
      <c r="F51" s="96"/>
      <c r="G51" s="2955"/>
      <c r="H51" s="2194"/>
      <c r="I51" s="2259"/>
      <c r="J51" s="2961" t="s">
        <v>1843</v>
      </c>
      <c r="K51" s="2961"/>
      <c r="L51" s="2961"/>
      <c r="M51" s="2961"/>
      <c r="N51" s="2961"/>
      <c r="O51" s="2961"/>
      <c r="P51" s="1844"/>
    </row>
    <row r="52" spans="1:16" ht="12" customHeight="1">
      <c r="A52" s="97"/>
      <c r="B52" s="2889" t="s">
        <v>1844</v>
      </c>
      <c r="C52" s="2889"/>
      <c r="D52" s="98"/>
      <c r="E52" s="20"/>
      <c r="F52" s="96"/>
      <c r="G52" s="2956"/>
      <c r="H52" s="2194"/>
      <c r="I52" s="2259"/>
      <c r="J52" s="2260" t="s">
        <v>1845</v>
      </c>
      <c r="K52" s="2961" t="s">
        <v>1846</v>
      </c>
      <c r="L52" s="2961"/>
      <c r="M52" s="2260" t="s">
        <v>1847</v>
      </c>
      <c r="N52" s="2260" t="s">
        <v>1848</v>
      </c>
      <c r="O52" s="2260" t="s">
        <v>1849</v>
      </c>
      <c r="P52" s="1844"/>
    </row>
    <row r="53" spans="1:16" ht="24" customHeight="1">
      <c r="A53" s="99" t="s">
        <v>1850</v>
      </c>
      <c r="B53" s="2889" t="s">
        <v>1851</v>
      </c>
      <c r="C53" s="2889"/>
      <c r="D53" s="98">
        <f>ROUND(D46*'数据-取费表'!E29/(1+'数据-取费表'!F30),0)</f>
        <v>0</v>
      </c>
      <c r="E53" s="10" t="s">
        <v>1852</v>
      </c>
      <c r="F53" s="100">
        <f>'数据-取费表'!E29</f>
        <v>5.6000000000000001E-2</v>
      </c>
      <c r="G53" s="2261"/>
      <c r="H53" s="2194"/>
      <c r="I53" s="2259"/>
      <c r="J53" s="1882">
        <v>1</v>
      </c>
      <c r="K53" s="2921" t="s">
        <v>1853</v>
      </c>
      <c r="L53" s="2921"/>
      <c r="M53" s="778">
        <f>D49</f>
        <v>0</v>
      </c>
      <c r="N53" s="1882" t="str">
        <f>E49</f>
        <v>销售额×税（费）率</v>
      </c>
      <c r="O53" s="779">
        <f>F49</f>
        <v>5.6000000000000001E-2</v>
      </c>
      <c r="P53" s="1844"/>
    </row>
    <row r="54" spans="1:16" ht="12" customHeight="1">
      <c r="A54" s="99" t="s">
        <v>1854</v>
      </c>
      <c r="B54" s="2890" t="s">
        <v>1855</v>
      </c>
      <c r="C54" s="2820"/>
      <c r="D54" s="98">
        <f>ROUND(D46*'数据-取费表'!E29/(1+'数据-取费表'!F30),0)</f>
        <v>0</v>
      </c>
      <c r="E54" s="10" t="s">
        <v>1852</v>
      </c>
      <c r="F54" s="100">
        <f>'数据-取费表'!E29</f>
        <v>5.6000000000000001E-2</v>
      </c>
      <c r="G54" s="2261"/>
      <c r="H54" s="2194"/>
      <c r="I54" s="2259"/>
      <c r="J54" s="1882">
        <v>2</v>
      </c>
      <c r="K54" s="2921" t="s">
        <v>1856</v>
      </c>
      <c r="L54" s="2921"/>
      <c r="M54" s="778">
        <f t="shared" ref="M54:O55" si="1">D56</f>
        <v>0</v>
      </c>
      <c r="N54" s="1882" t="str">
        <f t="shared" si="1"/>
        <v>销售额×税（费）率</v>
      </c>
      <c r="O54" s="779">
        <f t="shared" si="1"/>
        <v>5.0000000000000001E-4</v>
      </c>
      <c r="P54" s="1844"/>
    </row>
    <row r="55" spans="1:16" ht="12" customHeight="1">
      <c r="A55" s="99" t="s">
        <v>1857</v>
      </c>
      <c r="B55" s="2890" t="s">
        <v>1858</v>
      </c>
      <c r="C55" s="2820"/>
      <c r="D55" s="98">
        <f>C69</f>
        <v>0</v>
      </c>
      <c r="E55" s="20" t="s">
        <v>1859</v>
      </c>
      <c r="F55" s="100">
        <f>'数据-取费表'!E29</f>
        <v>5.6000000000000001E-2</v>
      </c>
      <c r="G55" s="2261"/>
      <c r="H55" s="2262"/>
      <c r="I55" s="2259"/>
      <c r="J55" s="1882">
        <v>3</v>
      </c>
      <c r="K55" s="2921" t="s">
        <v>1860</v>
      </c>
      <c r="L55" s="2921"/>
      <c r="M55" s="778">
        <f t="shared" si="1"/>
        <v>0</v>
      </c>
      <c r="N55" s="1882" t="str">
        <f t="shared" si="1"/>
        <v>增值额×税（费）率</v>
      </c>
      <c r="O55" s="780" t="str">
        <f t="shared" si="1"/>
        <v>——</v>
      </c>
      <c r="P55" s="1844"/>
    </row>
    <row r="56" spans="1:16" ht="24" customHeight="1">
      <c r="A56" s="2812" t="s">
        <v>1861</v>
      </c>
      <c r="B56" s="2897"/>
      <c r="C56" s="2897"/>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1" t="str">
        <f>IF(H60="非个人房产","——","个人所得税")</f>
        <v>——</v>
      </c>
      <c r="L56" s="2921"/>
      <c r="M56" s="781" t="str">
        <f>D60</f>
        <v>——</v>
      </c>
      <c r="N56" s="1885" t="str">
        <f>E60</f>
        <v>——</v>
      </c>
      <c r="O56" s="782" t="str">
        <f>F60</f>
        <v>——</v>
      </c>
      <c r="P56" s="1844"/>
    </row>
    <row r="57" spans="1:16" ht="24.75">
      <c r="A57" s="2812" t="s">
        <v>1864</v>
      </c>
      <c r="B57" s="2897"/>
      <c r="C57" s="2897"/>
      <c r="D57" s="101">
        <f>IF(H57="个人住宅",D58,D59)</f>
        <v>0</v>
      </c>
      <c r="E57" s="10" t="s">
        <v>1865</v>
      </c>
      <c r="F57" s="100" t="str">
        <f>IF(H57="正常",F59,"免征")</f>
        <v>——</v>
      </c>
      <c r="G57" s="2263" t="s">
        <v>1866</v>
      </c>
      <c r="H57" s="2264" t="s">
        <v>1863</v>
      </c>
      <c r="I57" s="1021"/>
      <c r="J57" s="1882" t="str">
        <f>IF(项目基本情况!I6="上海银行",IF(J56="",4,J56+1),"")</f>
        <v/>
      </c>
      <c r="K57" s="2939" t="str">
        <f>IF(项目基本情况!I6="上海银行","其他处置费用","")</f>
        <v/>
      </c>
      <c r="L57" s="2940"/>
      <c r="M57" s="778" t="str">
        <f>IF(项目基本情况!I6="上海银行",M70,"")</f>
        <v/>
      </c>
      <c r="N57" s="2952" t="str">
        <f>IF(项目基本情况!I6="上海银行","包含处置中涉及的律师、诉讼、拍卖、评估等费用","")</f>
        <v/>
      </c>
      <c r="O57" s="2953"/>
      <c r="P57" s="1844"/>
    </row>
    <row r="58" spans="1:16" ht="12.75">
      <c r="A58" s="99" t="s">
        <v>1839</v>
      </c>
      <c r="B58" s="2887" t="s">
        <v>1867</v>
      </c>
      <c r="C58" s="2898"/>
      <c r="D58" s="103">
        <v>0</v>
      </c>
      <c r="E58" s="13" t="s">
        <v>1841</v>
      </c>
      <c r="F58" s="70"/>
      <c r="G58" s="2261"/>
      <c r="H58" s="1021"/>
      <c r="I58" s="1021"/>
      <c r="J58" s="2921">
        <f>IF(AND(J56="",J57=""),4,IF(项目基本情况!I6="上海银行",J57+1,J56+1))</f>
        <v>4</v>
      </c>
      <c r="K58" s="2921" t="s">
        <v>1868</v>
      </c>
      <c r="L58" s="2265" t="s">
        <v>1869</v>
      </c>
      <c r="M58" s="783"/>
      <c r="N58" s="784">
        <f>SUMIF(M53:M57,"&lt;9e307")</f>
        <v>0</v>
      </c>
      <c r="O58" s="2266"/>
      <c r="P58" s="1840" t="e">
        <f>N58/M50</f>
        <v>#VALUE!</v>
      </c>
    </row>
    <row r="59" spans="1:16" ht="24.75">
      <c r="A59" s="99" t="s">
        <v>1850</v>
      </c>
      <c r="B59" s="2887" t="s">
        <v>1870</v>
      </c>
      <c r="C59" s="2888"/>
      <c r="D59" s="101">
        <f>IF(H59="转让取得",C82,C98)</f>
        <v>0</v>
      </c>
      <c r="E59" s="10" t="s">
        <v>1865</v>
      </c>
      <c r="F59" s="14" t="s">
        <v>48</v>
      </c>
      <c r="G59" s="2261"/>
      <c r="H59" s="2264" t="s">
        <v>1871</v>
      </c>
      <c r="I59" s="1021"/>
      <c r="J59" s="2921"/>
      <c r="K59" s="2921"/>
      <c r="L59" s="2265" t="s">
        <v>1872</v>
      </c>
      <c r="M59" s="785"/>
      <c r="N59" s="2267" t="str">
        <f>IF(H19="元",NUMBERSTRING(INT(N58),2)&amp;"元整",NUMBERSTRING(INT(N58*10000),2)&amp;"元整")</f>
        <v>零元整</v>
      </c>
      <c r="O59" s="2268"/>
      <c r="P59" s="1844"/>
    </row>
    <row r="60" spans="1:16" ht="24.75" thickBot="1">
      <c r="A60" s="2813" t="s">
        <v>1873</v>
      </c>
      <c r="B60" s="2816"/>
      <c r="C60" s="281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921" t="s">
        <v>1875</v>
      </c>
      <c r="L60" s="1882" t="s">
        <v>1869</v>
      </c>
      <c r="M60" s="786"/>
      <c r="N60" s="787" t="e">
        <f>M50-N58</f>
        <v>#VALUE!</v>
      </c>
      <c r="O60" s="2270"/>
      <c r="P60" s="1844"/>
    </row>
    <row r="61" spans="1:16" ht="12" customHeight="1">
      <c r="A61" s="2067"/>
      <c r="B61" s="2194"/>
      <c r="C61" s="2194"/>
      <c r="D61" s="2194"/>
      <c r="E61" s="1021"/>
      <c r="F61" s="1021"/>
      <c r="G61" s="1021"/>
      <c r="H61" s="2247"/>
      <c r="I61" s="2194"/>
      <c r="J61" s="2920"/>
      <c r="K61" s="2921"/>
      <c r="L61" s="2265" t="s">
        <v>1872</v>
      </c>
      <c r="M61" s="785"/>
      <c r="N61" s="2267" t="e">
        <f>IF(H19="元",NUMBERSTRING(INT(N60),2)&amp;"元整",NUMBERSTRING(INT(N60*10000),2)&amp;"元整")</f>
        <v>#VALUE!</v>
      </c>
      <c r="O61" s="2268"/>
      <c r="P61" s="1844"/>
    </row>
    <row r="62" spans="1:16" ht="13.5" thickBot="1">
      <c r="A62" s="2902" t="s">
        <v>1876</v>
      </c>
      <c r="B62" s="2902"/>
      <c r="C62" s="2902"/>
      <c r="D62" s="2902"/>
      <c r="E62" s="2902"/>
      <c r="F62" s="1021"/>
      <c r="G62" s="1021"/>
      <c r="H62" s="2247"/>
      <c r="I62" s="2194"/>
      <c r="J62" s="1882">
        <f>J60+1</f>
        <v>6</v>
      </c>
      <c r="K62" s="2921" t="s">
        <v>1877</v>
      </c>
      <c r="L62" s="2921"/>
      <c r="M62" s="788"/>
      <c r="N62" s="789" t="e">
        <f>IF(H19="元",ROUND(N60/项目基本情况!C12,0),ROUND(N60*10000/项目基本情况!C12,0))</f>
        <v>#VALUE!</v>
      </c>
      <c r="O62" s="2271"/>
      <c r="P62" s="1844"/>
    </row>
    <row r="63" spans="1:16" ht="12.75">
      <c r="A63" s="2909" t="s">
        <v>1878</v>
      </c>
      <c r="B63" s="2910"/>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1"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1"/>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1"/>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1"/>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1"/>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1"/>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1"/>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3" t="s">
        <v>1898</v>
      </c>
      <c r="B71" s="2914"/>
      <c r="C71" s="2914"/>
      <c r="D71" s="2914"/>
      <c r="E71" s="2914"/>
      <c r="F71" s="2914"/>
      <c r="G71" s="2914"/>
      <c r="H71" s="2914"/>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09" t="s">
        <v>1878</v>
      </c>
      <c r="B72" s="2910"/>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0" t="s">
        <v>1908</v>
      </c>
      <c r="F77" s="2889"/>
      <c r="G77" s="2889"/>
      <c r="H77" s="2904"/>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1" t="s">
        <v>1913</v>
      </c>
      <c r="F79" s="2882"/>
      <c r="G79" s="2882"/>
      <c r="H79" s="2883"/>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3" t="s">
        <v>1917</v>
      </c>
      <c r="B84" s="2914"/>
      <c r="C84" s="2914"/>
      <c r="D84" s="2914"/>
      <c r="E84" s="2914"/>
      <c r="F84" s="2914"/>
      <c r="G84" s="2914"/>
      <c r="H84" s="291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09" t="s">
        <v>1878</v>
      </c>
      <c r="B85" s="2910"/>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1" t="s">
        <v>1925</v>
      </c>
      <c r="F92" s="2882"/>
      <c r="G92" s="2882"/>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1" t="s">
        <v>1928</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1" t="s">
        <v>1913</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1" t="s">
        <v>1930</v>
      </c>
      <c r="F95" s="2882"/>
      <c r="G95" s="2882"/>
      <c r="H95" s="2883"/>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6" t="s">
        <v>1932</v>
      </c>
      <c r="B100" s="2937"/>
      <c r="C100" s="2937"/>
      <c r="D100" s="2938"/>
      <c r="E100" s="2194"/>
      <c r="F100" s="2947" t="s">
        <v>1933</v>
      </c>
      <c r="G100" s="2948"/>
      <c r="H100" s="2948"/>
      <c r="I100" s="2949"/>
    </row>
    <row r="101" spans="1:35" ht="15.75">
      <c r="A101" s="2950" t="s">
        <v>1934</v>
      </c>
      <c r="B101" s="2951"/>
      <c r="C101" s="720">
        <f>C4</f>
        <v>0</v>
      </c>
      <c r="D101" s="721">
        <f>D4</f>
        <v>0</v>
      </c>
      <c r="E101" s="2194"/>
      <c r="F101" s="2846" t="s">
        <v>1935</v>
      </c>
      <c r="G101" s="2847"/>
      <c r="H101" s="2972" t="s">
        <v>1936</v>
      </c>
      <c r="I101" s="2845"/>
    </row>
    <row r="102" spans="1:35" ht="15.75">
      <c r="A102" s="2973" t="s">
        <v>1996</v>
      </c>
      <c r="B102" s="2289" t="str">
        <f>IF(H19="元","总价（元）","总价（万元）")</f>
        <v>总价（元）</v>
      </c>
      <c r="C102" s="720" t="e">
        <f ca="1">C19</f>
        <v>#REF!</v>
      </c>
      <c r="D102" s="721" t="e">
        <f ca="1">D19</f>
        <v>#REF!</v>
      </c>
      <c r="E102" s="2194"/>
      <c r="F102" s="2974"/>
      <c r="G102" s="2975"/>
      <c r="H102" s="2844">
        <f>典型户型修正!B25</f>
        <v>0</v>
      </c>
      <c r="I102" s="2845"/>
    </row>
    <row r="103" spans="1:35" ht="15.75">
      <c r="A103" s="2973"/>
      <c r="B103" s="2289" t="s">
        <v>1938</v>
      </c>
      <c r="C103" s="722" t="e">
        <f ca="1">C20</f>
        <v>#REF!</v>
      </c>
      <c r="D103" s="723" t="e">
        <f ca="1">D20</f>
        <v>#REF!</v>
      </c>
      <c r="E103" s="2194"/>
      <c r="F103" s="2873" t="s">
        <v>1939</v>
      </c>
      <c r="G103" s="2874"/>
      <c r="H103" s="2290" t="str">
        <f>C109</f>
        <v>总价（元）</v>
      </c>
      <c r="I103" s="1861">
        <f>H124</f>
        <v>0</v>
      </c>
    </row>
    <row r="104" spans="1:35" ht="15">
      <c r="A104" s="2973" t="s">
        <v>1997</v>
      </c>
      <c r="B104" s="2291" t="str">
        <f>B102</f>
        <v>总价（元）</v>
      </c>
      <c r="C104" s="1189" t="e">
        <f ca="1">ROUND(IF('数据-取费表'!B4="总价",G19,IF(H19="元",G20*'数据-取费表'!E5,G20*'数据-取费表'!E5/10000)),0)</f>
        <v>#REF!</v>
      </c>
      <c r="D104" s="725"/>
      <c r="E104" s="2194"/>
      <c r="F104" s="2873"/>
      <c r="G104" s="2874"/>
      <c r="H104" s="2290" t="s">
        <v>1938</v>
      </c>
      <c r="I104" s="1049" t="e">
        <f>I124</f>
        <v>#DIV/0!</v>
      </c>
    </row>
    <row r="105" spans="1:35" ht="15.75">
      <c r="A105" s="2973"/>
      <c r="B105" s="2289" t="s">
        <v>1938</v>
      </c>
      <c r="C105" s="1190" t="e">
        <f ca="1">ROUND(IF('数据-取费表'!B4="楼面单价",G20,IF(H19="元",G19/'数据-取费表'!E5,G19*10000/'数据-取费表'!E5)),0)</f>
        <v>#REF!</v>
      </c>
      <c r="D105" s="725"/>
      <c r="E105" s="2194"/>
      <c r="F105" s="2945"/>
      <c r="G105" s="2946"/>
      <c r="H105" s="2930"/>
      <c r="I105" s="2931"/>
    </row>
    <row r="106" spans="1:35" ht="15.75">
      <c r="A106" s="2966" t="s">
        <v>1998</v>
      </c>
      <c r="B106" s="2329" t="str">
        <f>B102</f>
        <v>总价（元）</v>
      </c>
      <c r="C106" s="724">
        <f>H124</f>
        <v>0</v>
      </c>
      <c r="D106" s="1188"/>
      <c r="E106" s="2194"/>
      <c r="F106" s="2934" t="s">
        <v>1942</v>
      </c>
      <c r="G106" s="2935"/>
      <c r="H106" s="2293" t="str">
        <f>C111</f>
        <v>总额（元）</v>
      </c>
      <c r="I106" s="1861">
        <f>SUMIF(I107:I109,"&lt;9E307")</f>
        <v>0</v>
      </c>
    </row>
    <row r="107" spans="1:35" ht="15.75" thickBot="1">
      <c r="A107" s="2929"/>
      <c r="B107" s="2292" t="s">
        <v>1938</v>
      </c>
      <c r="C107" s="726" t="e">
        <f>I124</f>
        <v>#DIV/0!</v>
      </c>
      <c r="D107" s="727"/>
      <c r="E107" s="2194"/>
      <c r="F107" s="2862" t="s">
        <v>1944</v>
      </c>
      <c r="G107" s="2863"/>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9" t="s">
        <v>1941</v>
      </c>
      <c r="B108" s="2970"/>
      <c r="C108" s="2970"/>
      <c r="D108" s="2971"/>
      <c r="E108" s="2194"/>
      <c r="F108" s="2862" t="s">
        <v>1945</v>
      </c>
      <c r="G108" s="2863"/>
      <c r="H108" s="2293" t="str">
        <f>C113</f>
        <v>总额（元）</v>
      </c>
      <c r="I108" s="1049">
        <f>C38</f>
        <v>0</v>
      </c>
      <c r="K108" s="2294"/>
    </row>
    <row r="109" spans="1:35" ht="15">
      <c r="A109" s="2860" t="s">
        <v>1999</v>
      </c>
      <c r="B109" s="2861"/>
      <c r="C109" s="2290" t="str">
        <f>B102</f>
        <v>总价（元）</v>
      </c>
      <c r="D109" s="1050">
        <f>H124</f>
        <v>0</v>
      </c>
      <c r="E109" s="2194"/>
      <c r="F109" s="2862" t="s">
        <v>1947</v>
      </c>
      <c r="G109" s="2863"/>
      <c r="H109" s="2293" t="str">
        <f>C114</f>
        <v>总额（元）</v>
      </c>
      <c r="I109" s="1049">
        <f>C39</f>
        <v>0</v>
      </c>
    </row>
    <row r="110" spans="1:35" ht="15.75">
      <c r="A110" s="2860"/>
      <c r="B110" s="2861"/>
      <c r="C110" s="2290" t="s">
        <v>1938</v>
      </c>
      <c r="D110" s="1051" t="e">
        <f>I124</f>
        <v>#DIV/0!</v>
      </c>
      <c r="E110" s="2194"/>
      <c r="F110" s="2945"/>
      <c r="G110" s="2946"/>
      <c r="H110" s="2932"/>
      <c r="I110" s="2933"/>
    </row>
    <row r="111" spans="1:35" ht="28.5" customHeight="1">
      <c r="A111" s="2867" t="s">
        <v>1946</v>
      </c>
      <c r="B111" s="2868"/>
      <c r="C111" s="2293" t="str">
        <f>IF(H19="元","总额（元）","总额（万元）")</f>
        <v>总额（元）</v>
      </c>
      <c r="D111" s="1050">
        <f>IF(D37="正常操作",I107+I108+I109,I108+I109)</f>
        <v>0</v>
      </c>
      <c r="E111" s="2194"/>
      <c r="F111" s="2848" t="str">
        <f>IF(项目基本情况!F5="已注销","——","3.房地产抵押价值")</f>
        <v>3.房地产抵押价值</v>
      </c>
      <c r="G111" s="2849"/>
      <c r="H111" s="2330" t="str">
        <f>C115</f>
        <v>总价（元）</v>
      </c>
      <c r="I111" s="1861">
        <f>IF(F111="——","——",I103-I106)</f>
        <v>0</v>
      </c>
    </row>
    <row r="112" spans="1:35" ht="15">
      <c r="A112" s="2862" t="s">
        <v>1944</v>
      </c>
      <c r="B112" s="2863"/>
      <c r="C112" s="2293" t="str">
        <f>C111</f>
        <v>总额（元）</v>
      </c>
      <c r="D112" s="637">
        <f>IF(D37="同一抵押权人同一抵押物续贷",C37&amp;"（未扣减，详见特别提示）",C37)</f>
        <v>0</v>
      </c>
      <c r="E112" s="2194"/>
      <c r="F112" s="2964"/>
      <c r="G112" s="2965"/>
      <c r="H112" s="2290" t="s">
        <v>1938</v>
      </c>
      <c r="I112" s="2296" t="e">
        <f>D116</f>
        <v>#DIV/0!</v>
      </c>
    </row>
    <row r="113" spans="1:26" ht="15.75">
      <c r="A113" s="2862" t="s">
        <v>1945</v>
      </c>
      <c r="B113" s="2863"/>
      <c r="C113" s="2293" t="str">
        <f>C111</f>
        <v>总额（元）</v>
      </c>
      <c r="D113" s="637">
        <f>C38</f>
        <v>0</v>
      </c>
      <c r="E113" s="2194"/>
      <c r="F113" s="2848" t="str">
        <f>IF(项目基本情况!F5="已注销及未注销","4.抵押担保权已注销时的房地产抵押价值",IF(项目基本情况!F5="已注销","3.抵押担保权已注销时的房地产抵押价值","——"))</f>
        <v>——</v>
      </c>
      <c r="G113" s="2849"/>
      <c r="H113" s="2330" t="str">
        <f>C117</f>
        <v>总价（元）</v>
      </c>
      <c r="I113" s="1861" t="str">
        <f>IF(F113="——","——",I103-I108-I109)</f>
        <v>——</v>
      </c>
    </row>
    <row r="114" spans="1:26" ht="15">
      <c r="A114" s="2862" t="s">
        <v>1947</v>
      </c>
      <c r="B114" s="2863"/>
      <c r="C114" s="2293" t="str">
        <f>C111</f>
        <v>总额（元）</v>
      </c>
      <c r="D114" s="637">
        <f>C39</f>
        <v>0</v>
      </c>
      <c r="E114" s="2194"/>
      <c r="F114" s="2964"/>
      <c r="G114" s="2965"/>
      <c r="H114" s="2290" t="s">
        <v>1938</v>
      </c>
      <c r="I114" s="1049" t="str">
        <f>D118</f>
        <v>——</v>
      </c>
    </row>
    <row r="115" spans="1:26" ht="15.75">
      <c r="A115" s="2860" t="str">
        <f>IF(项目基本情况!F5="已注销","——","3.房地产抵押价值")</f>
        <v>3.房地产抵押价值</v>
      </c>
      <c r="B115" s="2861"/>
      <c r="C115" s="2290" t="str">
        <f>B102</f>
        <v>总价（元）</v>
      </c>
      <c r="D115" s="1050">
        <f>IF(A115="——","——",D109-D111)</f>
        <v>0</v>
      </c>
      <c r="E115" s="2194"/>
      <c r="F115" s="2848" t="str">
        <f>IF(项目基本情况!G5="抵押净值",IF(OR(项目基本情况!F5="已注销",项目基本情况!F5="房地产抵押价值"),"4.抵押净值","5.抵押净值"),"——")</f>
        <v>——</v>
      </c>
      <c r="G115" s="2849"/>
      <c r="H115" s="2290" t="str">
        <f>C119</f>
        <v>总价（元）</v>
      </c>
      <c r="I115" s="1861" t="str">
        <f>IF(F115="——","——",N60)</f>
        <v>——</v>
      </c>
    </row>
    <row r="116" spans="1:26" ht="15.75" thickBot="1">
      <c r="A116" s="2860"/>
      <c r="B116" s="2861"/>
      <c r="C116" s="2290" t="s">
        <v>2000</v>
      </c>
      <c r="D116" s="1051" t="e">
        <f>ROUND(IF(D115=D109,D110,IF(H19="元",D115/B124,D115*10000/B124)),0)</f>
        <v>#DIV/0!</v>
      </c>
      <c r="E116" s="2194"/>
      <c r="F116" s="2850"/>
      <c r="G116" s="2851"/>
      <c r="H116" s="2298" t="s">
        <v>2000</v>
      </c>
      <c r="I116" s="1863" t="str">
        <f>D120</f>
        <v>——</v>
      </c>
    </row>
    <row r="117" spans="1:26" ht="15.75">
      <c r="A117" s="2860" t="str">
        <f>IF(项目基本情况!F5="已注销及未注销","4.抵押担保权已注销时的房地产抵押价值",IF(项目基本情况!F5="已注销","3.抵押担保权已注销时的房地产抵押价值","——"))</f>
        <v>——</v>
      </c>
      <c r="B117" s="2861"/>
      <c r="C117" s="2290" t="str">
        <f>B102</f>
        <v>总价（元）</v>
      </c>
      <c r="D117" s="1050" t="str">
        <f>IF(A117="——","——",D109-D113-D114)</f>
        <v>——</v>
      </c>
      <c r="E117" s="2194"/>
      <c r="F117" s="2960"/>
      <c r="G117" s="2960"/>
      <c r="H117" s="2916"/>
      <c r="I117" s="2916"/>
      <c r="N117" s="55"/>
      <c r="O117" s="55"/>
    </row>
    <row r="118" spans="1:26" s="1844" customFormat="1" ht="15">
      <c r="A118" s="2860"/>
      <c r="B118" s="2861"/>
      <c r="C118" s="2290" t="s">
        <v>2000</v>
      </c>
      <c r="D118" s="1051" t="str">
        <f>IF(A117="——","——",IF(H19="元",ROUND(D117/B124,0),ROUND(D117*10000/B124,0)))</f>
        <v>——</v>
      </c>
      <c r="E118" s="2194"/>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4" customFormat="1" ht="15">
      <c r="A119" s="2860" t="str">
        <f>IF(项目基本情况!G5="抵押净值",IF(OR(项目基本情况!F5="已注销",项目基本情况!F5="房地产抵押价值"),"4.抵押净值","5.抵押净值"),"——")</f>
        <v>——</v>
      </c>
      <c r="B119" s="286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5"/>
      <c r="B120" s="2866"/>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1" t="s">
        <v>1949</v>
      </c>
      <c r="B122" s="2871" t="s">
        <v>2002</v>
      </c>
      <c r="C122" s="2871" t="s">
        <v>2003</v>
      </c>
      <c r="D122" s="2943" t="s">
        <v>1952</v>
      </c>
      <c r="E122" s="2944"/>
      <c r="F122" s="2842" t="s">
        <v>2004</v>
      </c>
      <c r="G122" s="2842"/>
      <c r="H122" s="2842" t="s">
        <v>1953</v>
      </c>
      <c r="I122" s="294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1"/>
      <c r="B123" s="2872"/>
      <c r="C123" s="2872"/>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1" t="s">
        <v>1957</v>
      </c>
      <c r="B125" s="2842"/>
      <c r="C125" s="2842"/>
      <c r="D125" s="2875" t="str">
        <f>IF(H19="元",NUMBERSTRING(INT(D124),2)&amp;"元整",NUMBERSTRING(INT(D124*10000),2)&amp;"元整")</f>
        <v>零元整</v>
      </c>
      <c r="E125" s="2922"/>
      <c r="F125" s="2875" t="str">
        <f>IF(H19="元",NUMBERSTRING(INT(F124),2)&amp;"元整",NUMBERSTRING(INT(F124*10000),2)&amp;"元整")</f>
        <v>零元整</v>
      </c>
      <c r="G125" s="2922"/>
      <c r="H125" s="2875" t="str">
        <f>IF(H19="元",NUMBERSTRING(INT(H124),2)&amp;"元整",NUMBERSTRING(INT(H124*10000),2)&amp;"元整")</f>
        <v>零元整</v>
      </c>
      <c r="I125" s="28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3" t="str">
        <f>IF(项目基本情况!D5="房地产市场价值","——",MID(A111,3,LEN(A111)-2))</f>
        <v>估价师所知悉的法定优先受偿款</v>
      </c>
      <c r="B126" s="2853"/>
      <c r="C126" s="2924"/>
      <c r="D126" s="2852">
        <f>I106</f>
        <v>0</v>
      </c>
      <c r="E126" s="2853"/>
      <c r="F126" s="2853"/>
      <c r="G126" s="2853"/>
      <c r="H126" s="2853"/>
      <c r="I126" s="285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5" t="s">
        <v>1957</v>
      </c>
      <c r="B127" s="2926"/>
      <c r="C127" s="2927"/>
      <c r="D127" s="2855">
        <f>H110</f>
        <v>0</v>
      </c>
      <c r="E127" s="2856"/>
      <c r="F127" s="2856"/>
      <c r="G127" s="2856"/>
      <c r="H127" s="2856"/>
      <c r="I127" s="285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8" t="str">
        <f>IF(项目基本情况!D5="房地产市场价值","——",MID(A115,3,LEN(A115)-2))</f>
        <v>房地产抵押价值</v>
      </c>
      <c r="B128" s="2859"/>
      <c r="C128" s="2859"/>
      <c r="D128" s="2852">
        <f>I111</f>
        <v>0</v>
      </c>
      <c r="E128" s="2853"/>
      <c r="F128" s="2853"/>
      <c r="G128" s="2853"/>
      <c r="H128" s="2853"/>
      <c r="I128" s="285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1" t="s">
        <v>1957</v>
      </c>
      <c r="B129" s="2842"/>
      <c r="C129" s="2842"/>
      <c r="D129" s="2855" t="e">
        <f>I112</f>
        <v>#DIV/0!</v>
      </c>
      <c r="E129" s="2856"/>
      <c r="F129" s="2856"/>
      <c r="G129" s="2856"/>
      <c r="H129" s="2856"/>
      <c r="I129" s="285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8" t="str">
        <f>IF(项目基本情况!D5="房地产市场价值","——",MID(A117,3,LEN(A117)-2))</f>
        <v/>
      </c>
      <c r="B130" s="2859"/>
      <c r="C130" s="2859"/>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1" t="s">
        <v>1957</v>
      </c>
      <c r="B131" s="2842"/>
      <c r="C131" s="2843"/>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8" t="str">
        <f>IF(项目基本情况!D5="房地产市场价值","——",MID(F115,3,LEN(F115)-2))</f>
        <v/>
      </c>
      <c r="B132" s="2859"/>
      <c r="C132" s="2852"/>
      <c r="D132" s="2864" t="str">
        <f>I115</f>
        <v>——</v>
      </c>
      <c r="E132" s="2864"/>
      <c r="F132" s="2864"/>
      <c r="G132" s="2864"/>
      <c r="H132" s="2864"/>
      <c r="I132" s="286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9" t="s">
        <v>1957</v>
      </c>
      <c r="B133" s="2870"/>
      <c r="C133" s="2870"/>
      <c r="D133" s="2877">
        <f>H117</f>
        <v>0</v>
      </c>
      <c r="E133" s="2878"/>
      <c r="F133" s="2878"/>
      <c r="G133" s="2878"/>
      <c r="H133" s="2878"/>
      <c r="I133" s="287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9" t="str">
        <f>IF(B32="总价","（以上估价结果中楼面单价为总价除以建筑面积得出）","（以上估价结果中总价为楼面单价乘以建筑面积得出）")</f>
        <v>（以上估价结果中总价为楼面单价乘以建筑面积得出）</v>
      </c>
      <c r="B135" s="2839"/>
      <c r="C135" s="2839"/>
      <c r="D135" s="2839"/>
      <c r="E135" s="2839"/>
      <c r="F135" s="2839"/>
      <c r="G135" s="2839"/>
      <c r="H135" s="2839"/>
      <c r="I135" s="283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2055093</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16889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121.68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121.68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424055</v>
      </c>
      <c r="D33" s="183"/>
      <c r="E33" s="1531"/>
      <c r="F33" s="191"/>
      <c r="G33" s="184"/>
    </row>
    <row r="34" spans="1:7" s="206" customFormat="1" ht="13.5" customHeight="1">
      <c r="A34" s="176" t="s">
        <v>2043</v>
      </c>
      <c r="B34" s="177" t="s">
        <v>2065</v>
      </c>
      <c r="C34" s="199">
        <f>IF(B1="仅计算典型户型",'数据-取费表'!F18,'数据-取费表'!E18)</f>
        <v>365040</v>
      </c>
      <c r="D34" s="1532"/>
      <c r="E34" s="199"/>
      <c r="F34" s="1543" t="str">
        <f>IF('数据-取费表'!B25=0,"",'数据-取费表'!E20)</f>
        <v/>
      </c>
      <c r="G34" s="179"/>
    </row>
    <row r="35" spans="1:7" ht="13.5" customHeight="1">
      <c r="A35" s="176" t="s">
        <v>2017</v>
      </c>
      <c r="B35" s="177" t="s">
        <v>2066</v>
      </c>
      <c r="C35" s="199">
        <f>ROUND(C34*F35,0)</f>
        <v>10951</v>
      </c>
      <c r="D35" s="199"/>
      <c r="E35" s="199"/>
      <c r="F35" s="1544">
        <f>'数据-取费表'!E21</f>
        <v>0.03</v>
      </c>
      <c r="G35" s="179" t="s">
        <v>2067</v>
      </c>
    </row>
    <row r="36" spans="1:7" ht="24">
      <c r="A36" s="176" t="s">
        <v>2019</v>
      </c>
      <c r="B36" s="177" t="s">
        <v>2068</v>
      </c>
      <c r="C36" s="199">
        <f>ROUND(IF('数据-取费表'!B10="住宅",C34*F36,0),0)</f>
        <v>18252</v>
      </c>
      <c r="D36" s="199"/>
      <c r="E36" s="199"/>
      <c r="F36" s="1544">
        <f>'数据-取费表'!E22</f>
        <v>0.05</v>
      </c>
      <c r="G36" s="207" t="s">
        <v>2069</v>
      </c>
    </row>
    <row r="37" spans="1:7" s="206" customFormat="1" ht="13.5" customHeight="1">
      <c r="A37" s="176" t="s">
        <v>2050</v>
      </c>
      <c r="B37" s="177" t="s">
        <v>2070</v>
      </c>
      <c r="C37" s="199">
        <f>ROUND(E37*D37,0)</f>
        <v>24336</v>
      </c>
      <c r="D37" s="1532">
        <f>IF(B1="仅计算典型户型",'数据-取费表'!E5,'数据-取费表'!B5)</f>
        <v>121.68</v>
      </c>
      <c r="E37" s="199">
        <f>'数据-取费表'!E23</f>
        <v>200</v>
      </c>
      <c r="F37" s="1544"/>
      <c r="G37" s="208" t="s">
        <v>2071</v>
      </c>
    </row>
    <row r="38" spans="1:7" ht="13.5" customHeight="1">
      <c r="A38" s="176" t="s">
        <v>2072</v>
      </c>
      <c r="B38" s="177" t="s">
        <v>2073</v>
      </c>
      <c r="C38" s="199">
        <f>ROUND(C34*F38,0)</f>
        <v>5476</v>
      </c>
      <c r="D38" s="199"/>
      <c r="E38" s="199"/>
      <c r="F38" s="1544">
        <f>'数据-取费表'!E24</f>
        <v>1.4999999999999999E-2</v>
      </c>
      <c r="G38" s="179" t="s">
        <v>2067</v>
      </c>
    </row>
    <row r="39" spans="1:7" s="175" customFormat="1" ht="13.5" customHeight="1">
      <c r="A39" s="204" t="s">
        <v>2032</v>
      </c>
      <c r="B39" s="173" t="s">
        <v>2035</v>
      </c>
      <c r="C39" s="183">
        <f>ROUND(C33*F20,0)</f>
        <v>8481</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20546</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20143</v>
      </c>
      <c r="D42" s="188"/>
      <c r="E42" s="188"/>
      <c r="F42" s="189"/>
      <c r="G42" s="2978" t="s">
        <v>2077</v>
      </c>
    </row>
    <row r="43" spans="1:7" ht="13.5" customHeight="1">
      <c r="A43" s="176" t="s">
        <v>2017</v>
      </c>
      <c r="B43" s="177" t="s">
        <v>2046</v>
      </c>
      <c r="C43" s="188">
        <f ca="1">ROUND(IF('数据-取费表'!B23&lt;=1,C39*F22*'数据-取费表'!B22/2,C39*(POWER((1+F22),'数据-取费表'!B22/2)-1)),0)</f>
        <v>403</v>
      </c>
      <c r="D43" s="188"/>
      <c r="E43" s="188"/>
      <c r="F43" s="189"/>
      <c r="G43" s="2979"/>
    </row>
    <row r="44" spans="1:7" ht="13.5" customHeight="1">
      <c r="A44" s="176" t="s">
        <v>2019</v>
      </c>
      <c r="B44" s="177" t="s">
        <v>2048</v>
      </c>
      <c r="C44" s="188">
        <f ca="1">ROUND(IF('数据-取费表'!B23&lt;=1,C40*F22*'数据-取费表'!B22/2,C40*(POWER((1+F22),'数据-取费表'!B22/2)-1)),4)</f>
        <v>1E-3</v>
      </c>
      <c r="D44" s="188"/>
      <c r="E44" s="188"/>
      <c r="F44" s="189"/>
      <c r="G44" s="2980"/>
    </row>
    <row r="45" spans="1:7" s="175" customFormat="1" ht="13.5" customHeight="1">
      <c r="A45" s="204" t="s">
        <v>2041</v>
      </c>
      <c r="B45" s="194" t="s">
        <v>2053</v>
      </c>
      <c r="C45" s="195">
        <f>C46</f>
        <v>108134</v>
      </c>
      <c r="D45" s="185">
        <f>C47</f>
        <v>5.0000000000000001E-3</v>
      </c>
      <c r="E45" s="186" t="s">
        <v>2075</v>
      </c>
      <c r="F45" s="196"/>
      <c r="G45" s="197" t="s">
        <v>2078</v>
      </c>
    </row>
    <row r="46" spans="1:7" s="175" customFormat="1" ht="13.5" customHeight="1">
      <c r="A46" s="176" t="s">
        <v>2043</v>
      </c>
      <c r="B46" s="198" t="s">
        <v>2079</v>
      </c>
      <c r="C46" s="199">
        <f>ROUND((C33+C39)*F27,0)</f>
        <v>108134</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609554</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518121</v>
      </c>
      <c r="D51" s="183"/>
      <c r="E51" s="183"/>
      <c r="F51" s="210"/>
      <c r="G51" s="184" t="s">
        <v>2091</v>
      </c>
    </row>
    <row r="52" spans="1:7" s="172" customFormat="1" ht="16.5" thickBot="1">
      <c r="A52" s="211" t="s">
        <v>2092</v>
      </c>
      <c r="B52" s="212"/>
      <c r="C52" s="213">
        <f ca="1">C31+C51</f>
        <v>2055093</v>
      </c>
      <c r="D52" s="212"/>
      <c r="E52" s="212"/>
      <c r="F52" s="212"/>
      <c r="G52" s="214"/>
    </row>
    <row r="55" spans="1:7" ht="15">
      <c r="B55" s="216" t="s">
        <v>2093</v>
      </c>
      <c r="C55" s="217"/>
    </row>
    <row r="56" spans="1:7">
      <c r="B56" s="219" t="s">
        <v>2094</v>
      </c>
      <c r="C56" s="220">
        <f ca="1">ROUND(C51/C52,3)</f>
        <v>0.252</v>
      </c>
    </row>
    <row r="57" spans="1:7">
      <c r="B57" s="219" t="s">
        <v>2095</v>
      </c>
      <c r="C57" s="221">
        <f ca="1">1-C56</f>
        <v>0.748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5"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2875</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3702675</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30430</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89031</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88920</v>
      </c>
      <c r="D6" s="80" t="s">
        <v>2803</v>
      </c>
      <c r="E6" s="319" t="s">
        <v>2108</v>
      </c>
      <c r="F6" s="320">
        <f>'数据-取费表'!B29</f>
        <v>7800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111</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518121</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365040</v>
      </c>
      <c r="D14" s="1887" t="s">
        <v>2127</v>
      </c>
      <c r="E14" s="1888"/>
      <c r="F14" s="979"/>
      <c r="G14" s="1238"/>
      <c r="H14" s="337" t="s">
        <v>2106</v>
      </c>
      <c r="I14" s="319" t="s">
        <v>2128</v>
      </c>
      <c r="J14" s="14">
        <f ca="1">C29</f>
        <v>609554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10951</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18252</v>
      </c>
      <c r="D16" s="319" t="s">
        <v>2131</v>
      </c>
      <c r="E16" s="319" t="s">
        <v>2132</v>
      </c>
      <c r="F16" s="342">
        <f>IF('数据-取费表'!B10="住宅",'数据-取费表'!E22,0)</f>
        <v>0.05</v>
      </c>
      <c r="G16" s="1238"/>
      <c r="H16" s="1419" t="s">
        <v>14</v>
      </c>
      <c r="I16" s="1420" t="s">
        <v>2137</v>
      </c>
      <c r="J16" s="327">
        <f ca="1">ROUND(J17+J22+J23+J24,0)</f>
        <v>6096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24336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5476</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424055</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8481</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6096</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20546</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-6096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108134</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609554</v>
      </c>
      <c r="D29" s="1432"/>
      <c r="E29" s="1430"/>
      <c r="F29" s="1433"/>
      <c r="G29" s="791"/>
      <c r="H29" s="356" t="s">
        <v>24</v>
      </c>
      <c r="I29" s="357" t="s">
        <v>2202</v>
      </c>
      <c r="J29" s="358">
        <f ca="1">ROUND(J26/(1+F40)^F41,0)</f>
        <v>0</v>
      </c>
      <c r="K29" s="359" t="s">
        <v>2203</v>
      </c>
      <c r="L29" s="360"/>
      <c r="M29" s="361">
        <f>IF(D1="仅计算典型户型",'数据-取费表'!E5,'数据-取费表'!B5)</f>
        <v>121.68</v>
      </c>
    </row>
    <row r="30" spans="1:37" ht="18" customHeight="1" thickTop="1">
      <c r="A30" s="1419" t="s">
        <v>14</v>
      </c>
      <c r="B30" s="1420" t="s">
        <v>2204</v>
      </c>
      <c r="C30" s="327">
        <f ca="1">ROUND(C31+C36+C37+C38,0)</f>
        <v>11956</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4451.6000000000004</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41450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6096</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518</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890</v>
      </c>
      <c r="D38" s="1432" t="s">
        <v>2179</v>
      </c>
      <c r="E38" s="1430" t="s">
        <v>2175</v>
      </c>
      <c r="F38" s="1425">
        <f>'数据-取费表'!B46</f>
        <v>0.01</v>
      </c>
      <c r="G38" s="791"/>
      <c r="H38" s="1229"/>
      <c r="I38" s="365" t="s">
        <v>2217</v>
      </c>
      <c r="J38" s="220">
        <f ca="1">ROUND(J34/C39,3)</f>
        <v>0.53800000000000003</v>
      </c>
      <c r="K38" s="1234"/>
      <c r="L38" s="1229"/>
      <c r="M38" s="1229"/>
    </row>
    <row r="39" spans="1:18" ht="18" customHeight="1" thickTop="1">
      <c r="A39" s="1419" t="s">
        <v>22</v>
      </c>
      <c r="B39" s="1434" t="s">
        <v>2218</v>
      </c>
      <c r="C39" s="327">
        <f ca="1">C5-C30</f>
        <v>77075</v>
      </c>
      <c r="D39" s="1435" t="s">
        <v>2219</v>
      </c>
      <c r="E39" s="1436"/>
      <c r="F39" s="1437"/>
      <c r="G39" s="791"/>
      <c r="H39" s="1229"/>
      <c r="I39" s="365" t="s">
        <v>2220</v>
      </c>
      <c r="J39" s="220">
        <f ca="1">1-J38</f>
        <v>0.46199999999999997</v>
      </c>
      <c r="K39" s="1234"/>
      <c r="L39" s="1229"/>
      <c r="M39" s="1229"/>
    </row>
    <row r="40" spans="1:18" s="791" customFormat="1" ht="18" customHeight="1">
      <c r="A40" s="316" t="s">
        <v>23</v>
      </c>
      <c r="B40" s="317" t="s">
        <v>2221</v>
      </c>
      <c r="C40" s="318">
        <f ca="1">ROUND(C39*(1-((1+F42)/(1+F40))^F41)/(F40-F42),0)</f>
        <v>3702675</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2889</v>
      </c>
      <c r="F41" s="355">
        <f>IF('数据-取费表'!B28="租赁期内按合同租金",'数据-取费表'!B34,IF(E41="收益年期(n)",'数据-取费表'!B33,'数据-取费表'!B13))</f>
        <v>57</v>
      </c>
      <c r="H41" s="1236"/>
      <c r="I41" s="219" t="s">
        <v>2094</v>
      </c>
      <c r="J41" s="220">
        <f ca="1">ROUND(C13/C40,3)</f>
        <v>0.14000000000000001</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0.86</v>
      </c>
      <c r="K42" s="1233"/>
      <c r="L42" s="1236"/>
      <c r="M42" s="1236"/>
      <c r="Q42" s="795"/>
    </row>
    <row r="43" spans="1:18" s="791" customFormat="1" ht="18" customHeight="1" thickBot="1">
      <c r="A43" s="356" t="s">
        <v>24</v>
      </c>
      <c r="B43" s="357" t="s">
        <v>2224</v>
      </c>
      <c r="C43" s="358">
        <f ca="1">ROUND(C40/F43,0)</f>
        <v>30430</v>
      </c>
      <c r="D43" s="359" t="s">
        <v>2225</v>
      </c>
      <c r="E43" s="360" t="s">
        <v>2226</v>
      </c>
      <c r="F43" s="361">
        <f>IF(D1="仅计算典型户型",'数据-取费表'!E5,'数据-取费表'!B5)</f>
        <v>121.68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3702675</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-3850344</v>
      </c>
      <c r="D47" s="2344" t="str">
        <f>C2</f>
        <v>元</v>
      </c>
      <c r="E47" s="776"/>
      <c r="F47" s="776"/>
      <c r="I47" s="2345" t="s">
        <v>2237</v>
      </c>
      <c r="J47" s="1342"/>
      <c r="K47" s="1343"/>
      <c r="L47" s="1356">
        <f>IF(M48="住宅",0,IF(L49&gt;J52,L61,J61))</f>
        <v>0</v>
      </c>
      <c r="O47" s="1370" t="s">
        <v>959</v>
      </c>
      <c r="P47" s="1367" t="s">
        <v>2238</v>
      </c>
      <c r="Q47" s="1368">
        <f ca="1">C29</f>
        <v>609554</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57</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2007</v>
      </c>
      <c r="K50" s="2353" t="s">
        <v>2254</v>
      </c>
      <c r="L50" s="1345"/>
      <c r="O50" s="1370" t="s">
        <v>962</v>
      </c>
      <c r="P50" s="1367" t="s">
        <v>2255</v>
      </c>
      <c r="Q50" s="1368">
        <f>J54</f>
        <v>57</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3702675</v>
      </c>
      <c r="R51" s="1369" t="s">
        <v>964</v>
      </c>
    </row>
    <row r="52" spans="1:18" s="791" customFormat="1" ht="16.5" thickBot="1">
      <c r="A52" s="321"/>
      <c r="B52" s="322"/>
      <c r="C52" s="323"/>
      <c r="D52" s="324"/>
      <c r="E52" s="319" t="s">
        <v>2111</v>
      </c>
      <c r="F52" s="320">
        <f>F8</f>
        <v>12</v>
      </c>
      <c r="I52" s="2354" t="s">
        <v>2259</v>
      </c>
      <c r="J52" s="1347">
        <f>IF(J50="",J51,J50+J51-YEAR('数据-取费表'!B2))</f>
        <v>-11</v>
      </c>
      <c r="K52" s="2355" t="s">
        <v>2260</v>
      </c>
      <c r="L52" s="1348">
        <f ca="1">ROUND(-PV('数据-取费表'!B15,L49,(C40-C13*J35)),0)</f>
        <v>81743260</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57</v>
      </c>
      <c r="K54" s="2981" t="s">
        <v>2802</v>
      </c>
      <c r="L54" s="2982"/>
      <c r="O54" s="1366" t="s">
        <v>957</v>
      </c>
      <c r="P54" s="1367" t="s">
        <v>2232</v>
      </c>
      <c r="Q54" s="1368">
        <f ca="1">C40+J29</f>
        <v>3702675</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518121</v>
      </c>
      <c r="D57" s="1293"/>
      <c r="E57" s="1294"/>
      <c r="F57" s="1301"/>
      <c r="I57" s="2363" t="s">
        <v>2269</v>
      </c>
      <c r="J57" s="1354"/>
      <c r="K57" s="2349" t="s">
        <v>2270</v>
      </c>
      <c r="L57" s="1127">
        <f>IF(L49&lt;J52,"——",L49-J52)</f>
        <v>68</v>
      </c>
      <c r="O57" s="1370" t="s">
        <v>960</v>
      </c>
      <c r="P57" s="1367" t="s">
        <v>2271</v>
      </c>
      <c r="Q57" s="1371">
        <f>L53</f>
        <v>0</v>
      </c>
      <c r="R57" s="1369"/>
    </row>
    <row r="58" spans="1:18" s="791" customFormat="1" ht="29.25" thickBot="1">
      <c r="A58" s="1300"/>
      <c r="B58" s="319" t="s">
        <v>2201</v>
      </c>
      <c r="C58" s="188">
        <f ca="1">C29</f>
        <v>609554</v>
      </c>
      <c r="D58" s="1293"/>
      <c r="E58" s="1294"/>
      <c r="F58" s="1301"/>
      <c r="I58" s="2364" t="s">
        <v>2272</v>
      </c>
      <c r="J58" s="1353" t="str">
        <f>IF(OR(M48="住宅",J52&lt;L49,J57="是"),"——",J52-L49)</f>
        <v>——</v>
      </c>
      <c r="K58" s="2349" t="s">
        <v>2273</v>
      </c>
      <c r="L58" s="1127">
        <f ca="1">IF(L49&lt;J52,"——",IF(L56="比较法",L50,IF(L56="基准地价",L51,L52)))</f>
        <v>81743260</v>
      </c>
      <c r="O58" s="1370" t="s">
        <v>961</v>
      </c>
      <c r="P58" s="1367" t="s">
        <v>2274</v>
      </c>
      <c r="Q58" s="1368" t="e">
        <f>L59</f>
        <v>#DIV/0!</v>
      </c>
      <c r="R58" s="1369" t="s">
        <v>2275</v>
      </c>
    </row>
    <row r="59" spans="1:18" s="791" customFormat="1" ht="29.25" thickBot="1">
      <c r="A59" s="332" t="s">
        <v>14</v>
      </c>
      <c r="B59" s="333" t="s">
        <v>2204</v>
      </c>
      <c r="C59" s="334">
        <f ca="1">ROUND(C60+C65+C66+C67,0)</f>
        <v>6614</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3702675</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3702675</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6096</v>
      </c>
      <c r="D65" s="1892" t="s">
        <v>2214</v>
      </c>
      <c r="E65" s="319" t="s">
        <v>2158</v>
      </c>
      <c r="F65" s="350">
        <f t="shared" si="0"/>
        <v>0.01</v>
      </c>
      <c r="I65" s="2367" t="s">
        <v>2294</v>
      </c>
      <c r="J65" s="1873">
        <v>50</v>
      </c>
      <c r="K65" s="1873">
        <v>35</v>
      </c>
      <c r="L65" s="1873">
        <v>60</v>
      </c>
      <c r="M65" s="1872">
        <v>0</v>
      </c>
      <c r="O65" s="1370" t="s">
        <v>959</v>
      </c>
      <c r="P65" s="1367" t="s">
        <v>2268</v>
      </c>
      <c r="Q65" s="1372">
        <f ca="1">L52</f>
        <v>81743260</v>
      </c>
      <c r="R65" s="1373" t="s">
        <v>2295</v>
      </c>
    </row>
    <row r="66" spans="1:18" s="791" customFormat="1" ht="20.25" thickBot="1">
      <c r="A66" s="337" t="s">
        <v>20</v>
      </c>
      <c r="B66" s="319" t="s">
        <v>2173</v>
      </c>
      <c r="C66" s="14">
        <f ca="1">ROUND(C57*F66,0)</f>
        <v>518</v>
      </c>
      <c r="D66" s="1892" t="s">
        <v>2174</v>
      </c>
      <c r="E66" s="319" t="s">
        <v>2175</v>
      </c>
      <c r="F66" s="351">
        <f t="shared" si="0"/>
        <v>1E-3</v>
      </c>
      <c r="I66" s="2367" t="s">
        <v>2296</v>
      </c>
      <c r="J66" s="1873">
        <v>40</v>
      </c>
      <c r="K66" s="1873">
        <v>30</v>
      </c>
      <c r="L66" s="1873">
        <v>50</v>
      </c>
      <c r="M66" s="1871">
        <v>0.02</v>
      </c>
      <c r="O66" s="1370" t="s">
        <v>960</v>
      </c>
      <c r="P66" s="1374" t="s">
        <v>2297</v>
      </c>
      <c r="Q66" s="1368">
        <f ca="1">ROUND(Q67-Q68*Q69,0)</f>
        <v>35625</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77075</v>
      </c>
      <c r="R67" s="1369" t="s">
        <v>2233</v>
      </c>
    </row>
    <row r="68" spans="1:18" ht="15.75" thickBot="1">
      <c r="A68" s="332" t="s">
        <v>22</v>
      </c>
      <c r="B68" s="89" t="s">
        <v>2183</v>
      </c>
      <c r="C68" s="334">
        <f ca="1">C49-C59</f>
        <v>-6614</v>
      </c>
      <c r="D68" s="1887" t="s">
        <v>2184</v>
      </c>
      <c r="E68" s="1891"/>
      <c r="F68" s="353"/>
      <c r="H68" s="791"/>
      <c r="I68" s="791"/>
      <c r="J68" s="791"/>
      <c r="K68" s="791"/>
      <c r="L68" s="791"/>
      <c r="M68" s="791"/>
      <c r="O68" s="1370" t="s">
        <v>966</v>
      </c>
      <c r="P68" s="1374" t="s">
        <v>2299</v>
      </c>
      <c r="Q68" s="1368">
        <f ca="1">C13</f>
        <v>518121</v>
      </c>
      <c r="R68" s="1369" t="s">
        <v>2233</v>
      </c>
    </row>
    <row r="69" spans="1:18" ht="15.75" thickBot="1">
      <c r="A69" s="316" t="s">
        <v>23</v>
      </c>
      <c r="B69" s="317" t="s">
        <v>2221</v>
      </c>
      <c r="C69" s="318">
        <f ca="1">ROUND(C68*(1-((1+F71)/(1+F69))^F70)/(F69-F71),0)</f>
        <v>-147669</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57</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-1214</v>
      </c>
      <c r="D72" s="359" t="s">
        <v>2225</v>
      </c>
      <c r="E72" s="360" t="s">
        <v>2226</v>
      </c>
      <c r="F72" s="361">
        <f>F43</f>
        <v>121.68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3702675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1024</v>
      </c>
      <c r="B1" s="3000"/>
      <c r="C1" s="3001"/>
      <c r="D1" s="3002">
        <f>SUM(I10,I15,I20,I21,I23)</f>
        <v>0</v>
      </c>
      <c r="E1" s="3002"/>
      <c r="F1" s="3002"/>
      <c r="G1" s="3002"/>
      <c r="H1" s="3002"/>
      <c r="I1" s="3003"/>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86">
        <f>C27-C30-C31-C32</f>
        <v>0</v>
      </c>
      <c r="F26" s="2986"/>
      <c r="G26" s="2986"/>
      <c r="H26" s="1828" t="s">
        <v>1219</v>
      </c>
    </row>
    <row r="27" spans="1:9">
      <c r="A27" s="1412">
        <v>1</v>
      </c>
      <c r="B27" s="1413" t="s">
        <v>1007</v>
      </c>
      <c r="C27" s="1413">
        <f>C28+C29</f>
        <v>0</v>
      </c>
      <c r="D27" s="1413"/>
      <c r="E27" s="2987"/>
      <c r="F27" s="2987"/>
      <c r="G27" s="2987"/>
    </row>
    <row r="28" spans="1:9">
      <c r="A28" s="1414" t="s">
        <v>1008</v>
      </c>
      <c r="B28" s="1413" t="s">
        <v>1009</v>
      </c>
      <c r="C28" s="1413"/>
      <c r="D28" s="1413"/>
      <c r="E28" s="2987"/>
      <c r="F28" s="2987"/>
      <c r="G28" s="2987"/>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8"/>
      <c r="F32" s="2988"/>
      <c r="G32" s="2988"/>
    </row>
    <row r="33" spans="1:7" hidden="1">
      <c r="A33" s="2983" t="s">
        <v>1018</v>
      </c>
      <c r="B33" s="2984"/>
      <c r="C33" s="2984"/>
      <c r="D33" s="2985"/>
      <c r="E33" s="2986"/>
      <c r="F33" s="2986"/>
      <c r="G33" s="2986"/>
    </row>
    <row r="34" spans="1:7" hidden="1">
      <c r="A34" s="1416">
        <v>1</v>
      </c>
      <c r="B34" s="1413" t="s">
        <v>1019</v>
      </c>
      <c r="C34" s="1413"/>
      <c r="D34" s="1413"/>
      <c r="E34" s="2987"/>
      <c r="F34" s="2987"/>
      <c r="G34" s="2987"/>
    </row>
    <row r="35" spans="1:7" hidden="1">
      <c r="A35" s="1416">
        <v>2</v>
      </c>
      <c r="B35" s="1413" t="s">
        <v>1020</v>
      </c>
      <c r="C35" s="1413"/>
      <c r="D35" s="1413"/>
      <c r="E35" s="2987"/>
      <c r="F35" s="2987"/>
      <c r="G35" s="2987"/>
    </row>
    <row r="36" spans="1:7" hidden="1">
      <c r="A36" s="1416">
        <v>3</v>
      </c>
      <c r="B36" s="1413" t="s">
        <v>1021</v>
      </c>
      <c r="C36" s="1413"/>
      <c r="D36" s="1413"/>
      <c r="E36" s="2987"/>
      <c r="F36" s="2987"/>
      <c r="G36" s="2987"/>
    </row>
    <row r="37" spans="1:7" hidden="1">
      <c r="A37" s="1416">
        <v>4</v>
      </c>
      <c r="B37" s="1413" t="s">
        <v>1022</v>
      </c>
      <c r="C37" s="1413"/>
      <c r="D37" s="1413"/>
      <c r="E37" s="2987"/>
      <c r="F37" s="2987"/>
      <c r="G37" s="2987"/>
    </row>
    <row r="38" spans="1:7" hidden="1">
      <c r="A38" s="2983" t="s">
        <v>1023</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pane ySplit="7560" topLeftCell="A85"/>
      <selection activeCell="F44" sqref="F44"/>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2875</v>
      </c>
      <c r="D1" s="2380"/>
      <c r="E1" s="2381" t="s">
        <v>2876</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5885053</v>
      </c>
      <c r="C2" s="163" t="str">
        <f>'数据-取费表'!B3</f>
        <v>元</v>
      </c>
      <c r="D2" s="2383" t="s">
        <v>1254</v>
      </c>
      <c r="E2" s="1842">
        <f ca="1">SUMIF(INDIRECT("'"&amp;G2&amp;"'"&amp;"!A:A"),"承租人权益价值",INDIRECT("'"&amp;G2&amp;"'"&amp;"!c:c"))</f>
        <v>-3850344</v>
      </c>
      <c r="F2" s="2384" t="str">
        <f>C2</f>
        <v>元</v>
      </c>
      <c r="G2" s="2385" t="s">
        <v>2877</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48365</v>
      </c>
      <c r="C3" s="379" t="s">
        <v>2338</v>
      </c>
      <c r="D3" s="378">
        <f>IF(C1="仅计算典型户型",'数据-取费表'!E5,'数据-取费表'!B5)</f>
        <v>121.68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3" t="s">
        <v>2340</v>
      </c>
      <c r="D4" s="3044"/>
      <c r="E4" s="3045" t="s">
        <v>2341</v>
      </c>
      <c r="F4" s="3046"/>
      <c r="G4" s="3043" t="s">
        <v>2342</v>
      </c>
      <c r="H4" s="3044"/>
      <c r="I4" s="3043" t="s">
        <v>2343</v>
      </c>
      <c r="J4" s="3044"/>
      <c r="K4" s="23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0" t="s">
        <v>2342</v>
      </c>
      <c r="AC4" s="3040" t="s">
        <v>2343</v>
      </c>
    </row>
    <row r="5" spans="1:29" ht="38.25" customHeight="1" thickBot="1">
      <c r="A5" s="383"/>
      <c r="B5" s="384"/>
      <c r="C5" s="3054" t="s">
        <v>2909</v>
      </c>
      <c r="D5" s="3055"/>
      <c r="E5" s="3028" t="s">
        <v>2895</v>
      </c>
      <c r="F5" s="3029"/>
      <c r="G5" s="3028" t="s">
        <v>2895</v>
      </c>
      <c r="H5" s="3029"/>
      <c r="I5" s="3028" t="s">
        <v>2895</v>
      </c>
      <c r="J5" s="3029"/>
      <c r="K5" s="2395"/>
      <c r="L5" s="1242"/>
      <c r="M5" s="1243"/>
      <c r="N5" s="1243"/>
      <c r="O5" s="1243"/>
      <c r="P5" s="3049"/>
      <c r="Q5" s="3050"/>
      <c r="R5" s="3034"/>
      <c r="S5" s="3035"/>
      <c r="T5" s="3034"/>
      <c r="U5" s="3035"/>
      <c r="V5" s="3053"/>
      <c r="W5" s="3053"/>
      <c r="X5" s="1899"/>
      <c r="Y5" s="3034"/>
      <c r="Z5" s="3035"/>
      <c r="AA5" s="3041"/>
      <c r="AB5" s="3041"/>
      <c r="AC5" s="3041"/>
    </row>
    <row r="6" spans="1:29" ht="15.75" hidden="1" thickBot="1">
      <c r="A6" s="385"/>
      <c r="B6" s="386"/>
      <c r="C6" s="3026" t="s">
        <v>2350</v>
      </c>
      <c r="D6" s="3027"/>
      <c r="E6" s="3056" t="s">
        <v>2350</v>
      </c>
      <c r="F6" s="3057"/>
      <c r="G6" s="3026" t="s">
        <v>2350</v>
      </c>
      <c r="H6" s="3027"/>
      <c r="I6" s="3026" t="s">
        <v>2350</v>
      </c>
      <c r="J6" s="3027"/>
      <c r="K6" s="2395"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v>43117</v>
      </c>
      <c r="F7" s="392">
        <f>SUMIF(58:58,YEAR(E7)&amp;"-"&amp;MONTH(E7),59:59)</f>
        <v>100</v>
      </c>
      <c r="G7" s="391">
        <v>43066</v>
      </c>
      <c r="H7" s="390">
        <f>SUMIF(58:58,YEAR(G7)&amp;"-"&amp;MONTH(G7),59:59)</f>
        <v>99</v>
      </c>
      <c r="I7" s="391">
        <v>43077</v>
      </c>
      <c r="J7" s="390">
        <f>SUMIF(58:58,YEAR(I7)&amp;"-"&amp;MONTH(I7),59:59)</f>
        <v>99</v>
      </c>
      <c r="K7" s="2396"/>
      <c r="L7" s="1244"/>
      <c r="M7" s="1245"/>
      <c r="N7" s="1245"/>
      <c r="O7" s="1245"/>
      <c r="P7" s="3030" t="s">
        <v>2353</v>
      </c>
      <c r="Q7" s="3038"/>
      <c r="R7" s="749" t="s">
        <v>34</v>
      </c>
      <c r="S7" s="750">
        <f t="shared" ref="S7:S15" si="0">F7</f>
        <v>100</v>
      </c>
      <c r="T7" s="749" t="s">
        <v>34</v>
      </c>
      <c r="U7" s="750">
        <f t="shared" ref="U7:U15" si="1">H7</f>
        <v>99</v>
      </c>
      <c r="V7" s="749" t="s">
        <v>34</v>
      </c>
      <c r="W7" s="750">
        <f t="shared" ref="W7:W15" si="2">J7</f>
        <v>99</v>
      </c>
      <c r="X7" s="751"/>
      <c r="Y7" s="3030" t="s">
        <v>2353</v>
      </c>
      <c r="Z7" s="3031"/>
      <c r="AA7" s="752">
        <f>D7/F7</f>
        <v>1</v>
      </c>
      <c r="AB7" s="752">
        <f>D7/H7</f>
        <v>1.0101010101010102</v>
      </c>
      <c r="AC7" s="752">
        <f>D7/J7</f>
        <v>1.0101010101010102</v>
      </c>
    </row>
    <row r="8" spans="1:29" s="35" customFormat="1" ht="15.75" thickBot="1">
      <c r="A8" s="387" t="s">
        <v>2354</v>
      </c>
      <c r="B8" s="388"/>
      <c r="C8" s="394" t="s">
        <v>2355</v>
      </c>
      <c r="D8" s="390">
        <v>100</v>
      </c>
      <c r="E8" s="2397" t="s">
        <v>2884</v>
      </c>
      <c r="F8" s="392">
        <f>SUMIF(61:61,E8,62:62)-SUMIF(61:61,C8,62:62)+100</f>
        <v>100</v>
      </c>
      <c r="G8" s="394" t="s">
        <v>2884</v>
      </c>
      <c r="H8" s="390">
        <f>SUMIF(61:61,G8,62:62)-SUMIF(61:61,C8,62:62)+100</f>
        <v>100</v>
      </c>
      <c r="I8" s="2397" t="s">
        <v>2884</v>
      </c>
      <c r="J8" s="390">
        <f>SUMIF(61:61,I8,62:62)-SUMIF(61:61,C8,62:62)+100</f>
        <v>100</v>
      </c>
      <c r="K8" s="2396"/>
      <c r="L8" s="1244"/>
      <c r="M8" s="1245"/>
      <c r="N8" s="1245"/>
      <c r="O8" s="1245"/>
      <c r="P8" s="3030" t="s">
        <v>2356</v>
      </c>
      <c r="Q8" s="3031"/>
      <c r="R8" s="749" t="s">
        <v>34</v>
      </c>
      <c r="S8" s="750">
        <f t="shared" si="0"/>
        <v>100</v>
      </c>
      <c r="T8" s="749" t="s">
        <v>34</v>
      </c>
      <c r="U8" s="750">
        <f t="shared" si="1"/>
        <v>100</v>
      </c>
      <c r="V8" s="749" t="s">
        <v>34</v>
      </c>
      <c r="W8" s="750">
        <f t="shared" si="2"/>
        <v>100</v>
      </c>
      <c r="X8" s="751"/>
      <c r="Y8" s="3030" t="s">
        <v>2356</v>
      </c>
      <c r="Z8" s="3031"/>
      <c r="AA8" s="752">
        <f t="shared" ref="AA8:AA46" si="3">D8/F8</f>
        <v>1</v>
      </c>
      <c r="AB8" s="752">
        <f t="shared" ref="AB8:AB46" si="4">D8/H8</f>
        <v>1</v>
      </c>
      <c r="AC8" s="752">
        <f t="shared" ref="AC8:AC46" si="5">D8/J8</f>
        <v>1</v>
      </c>
    </row>
    <row r="9" spans="1:29" s="35" customFormat="1">
      <c r="A9" s="395" t="s">
        <v>2357</v>
      </c>
      <c r="B9" s="28" t="s">
        <v>2358</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75" thickBot="1">
      <c r="A10" s="401"/>
      <c r="B10" s="402" t="s">
        <v>2361</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7"/>
      <c r="M10" s="1248"/>
      <c r="N10" s="1248"/>
      <c r="O10" s="1248"/>
      <c r="P10" s="3039"/>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39"/>
      <c r="Q11" s="1886"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39"/>
      <c r="Q12" s="1886">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39"/>
      <c r="Q13" s="1886">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39"/>
      <c r="Q14" s="1886">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估价对象周边有朝丰家园、恒大御景湾、怡景城花园、润枫领尚等居住小区，小区规模和社区发展完善程度较好，综合评价居住社区成熟度较好</v>
      </c>
      <c r="D15" s="420">
        <v>100</v>
      </c>
      <c r="E15" s="2740" t="s">
        <v>2890</v>
      </c>
      <c r="F15" s="422">
        <f>SUMIF(76:76,E16,77:77)-SUMIF(76:76,C16,77:77)+100</f>
        <v>100</v>
      </c>
      <c r="G15" s="2740" t="s">
        <v>2890</v>
      </c>
      <c r="H15" s="420">
        <f>SUMIF(76:76,G16,77:77)-SUMIF(76:76,C16,77:77)+100</f>
        <v>100</v>
      </c>
      <c r="I15" s="2740" t="s">
        <v>2890</v>
      </c>
      <c r="J15" s="420">
        <f>SUMIF(76:76,I16,77:77)-SUMIF(76:76,C16,77:77)+100</f>
        <v>100</v>
      </c>
      <c r="K15" s="424">
        <v>1</v>
      </c>
      <c r="L15" s="1252"/>
      <c r="M15" s="1243"/>
      <c r="N15" s="1243"/>
      <c r="O15" s="1243"/>
      <c r="P15" s="3017" t="s">
        <v>2364</v>
      </c>
      <c r="Q15" s="1898" t="str">
        <f t="shared" si="6"/>
        <v>居住社区成熟度</v>
      </c>
      <c r="R15" s="753" t="s">
        <v>28</v>
      </c>
      <c r="S15" s="754">
        <f t="shared" si="0"/>
        <v>100</v>
      </c>
      <c r="T15" s="753" t="s">
        <v>28</v>
      </c>
      <c r="U15" s="754">
        <f t="shared" si="1"/>
        <v>100</v>
      </c>
      <c r="V15" s="753" t="s">
        <v>28</v>
      </c>
      <c r="W15" s="754">
        <f t="shared" si="2"/>
        <v>100</v>
      </c>
      <c r="X15" s="1899"/>
      <c r="Y15" s="3019"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18"/>
      <c r="Q16" s="1898"/>
      <c r="R16" s="753"/>
      <c r="S16" s="754"/>
      <c r="T16" s="753"/>
      <c r="U16" s="754"/>
      <c r="V16" s="753"/>
      <c r="W16" s="754"/>
      <c r="X16" s="1899"/>
      <c r="Y16" s="3020"/>
      <c r="Z16" s="1901"/>
      <c r="AA16" s="1902">
        <v>1</v>
      </c>
      <c r="AB16" s="1902">
        <v>1</v>
      </c>
      <c r="AC16" s="1902">
        <v>1</v>
      </c>
    </row>
    <row r="17" spans="1:29" ht="88.5" customHeight="1">
      <c r="A17" s="408"/>
      <c r="B17" s="431" t="s">
        <v>1749</v>
      </c>
      <c r="C17" s="2405" t="str">
        <f>估价对象房地状况!C6</f>
        <v>估价对象紧邻城市支路——天达路，周边有348路、411路、457路公交线路等，综合评价交通便捷度一般</v>
      </c>
      <c r="D17" s="430">
        <v>100</v>
      </c>
      <c r="E17" s="2735" t="s">
        <v>2891</v>
      </c>
      <c r="F17" s="433">
        <f>SUMIF(78:78,E18,79:79)-SUMIF(78:78,C18,79:79)+100</f>
        <v>100</v>
      </c>
      <c r="G17" s="2735" t="s">
        <v>2891</v>
      </c>
      <c r="H17" s="435">
        <f>SUMIF(78:78,G18,79:79)-SUMIF(78:78,C18,79:79)+100</f>
        <v>100</v>
      </c>
      <c r="I17" s="2735" t="s">
        <v>2891</v>
      </c>
      <c r="J17" s="435">
        <f>SUMIF(78:78,I18,79:79)-SUMIF(78:78,C18,79:79)+100</f>
        <v>100</v>
      </c>
      <c r="K17" s="424">
        <v>1</v>
      </c>
      <c r="L17" s="1252"/>
      <c r="M17" s="1243"/>
      <c r="N17" s="1243"/>
      <c r="O17" s="1243"/>
      <c r="P17" s="3018"/>
      <c r="Q17" s="1898" t="str">
        <f>B17</f>
        <v>交通便捷度</v>
      </c>
      <c r="R17" s="753" t="s">
        <v>28</v>
      </c>
      <c r="S17" s="754">
        <f>F17</f>
        <v>100</v>
      </c>
      <c r="T17" s="753" t="s">
        <v>28</v>
      </c>
      <c r="U17" s="754">
        <f>H17</f>
        <v>100</v>
      </c>
      <c r="V17" s="753" t="s">
        <v>28</v>
      </c>
      <c r="W17" s="754">
        <f>J17</f>
        <v>100</v>
      </c>
      <c r="X17" s="1899"/>
      <c r="Y17" s="3020"/>
      <c r="Z17" s="1901" t="str">
        <f>Q17</f>
        <v>交通便捷度</v>
      </c>
      <c r="AA17" s="1902">
        <f t="shared" si="3"/>
        <v>1</v>
      </c>
      <c r="AB17" s="1902">
        <f t="shared" si="4"/>
        <v>1</v>
      </c>
      <c r="AC17" s="1902">
        <f t="shared" si="5"/>
        <v>1</v>
      </c>
    </row>
    <row r="18" spans="1:29" ht="15">
      <c r="A18" s="408"/>
      <c r="B18" s="436"/>
      <c r="C18" s="437" t="s">
        <v>31</v>
      </c>
      <c r="D18" s="430"/>
      <c r="E18" s="1467" t="s">
        <v>31</v>
      </c>
      <c r="F18" s="433"/>
      <c r="G18" s="2406" t="s">
        <v>31</v>
      </c>
      <c r="H18" s="427"/>
      <c r="I18" s="1467" t="s">
        <v>31</v>
      </c>
      <c r="J18" s="427"/>
      <c r="K18" s="2404"/>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1747</v>
      </c>
      <c r="C19" s="2405" t="str">
        <f>估价对象房地状况!C7</f>
        <v>估价对象所在区域公共配套设施齐备情况一般</v>
      </c>
      <c r="D19" s="435">
        <v>100</v>
      </c>
      <c r="E19" s="2736" t="s">
        <v>2892</v>
      </c>
      <c r="F19" s="439">
        <f>SUMIF(80:80,E20,81:81)-SUMIF(80:80,C20,81:81)+100</f>
        <v>100</v>
      </c>
      <c r="G19" s="2736" t="s">
        <v>2892</v>
      </c>
      <c r="H19" s="430">
        <f>SUMIF(80:80,G20,81:81)-SUMIF(80:80,C20,81:81)+100</f>
        <v>100</v>
      </c>
      <c r="I19" s="2736" t="s">
        <v>2892</v>
      </c>
      <c r="J19" s="430">
        <f>SUMIF(80:80,I20,81:81)-SUMIF(80:80,C20,81:81)+100</f>
        <v>100</v>
      </c>
      <c r="K19" s="424">
        <v>1</v>
      </c>
      <c r="L19" s="1252"/>
      <c r="M19" s="1243"/>
      <c r="N19" s="1243"/>
      <c r="O19" s="1243"/>
      <c r="P19" s="3018"/>
      <c r="Q19" s="1898" t="str">
        <f>B19</f>
        <v>公共配套设施</v>
      </c>
      <c r="R19" s="753" t="s">
        <v>28</v>
      </c>
      <c r="S19" s="754">
        <f>F19</f>
        <v>100</v>
      </c>
      <c r="T19" s="753" t="s">
        <v>28</v>
      </c>
      <c r="U19" s="754">
        <f>H19</f>
        <v>100</v>
      </c>
      <c r="V19" s="753" t="s">
        <v>28</v>
      </c>
      <c r="W19" s="754">
        <f>J19</f>
        <v>100</v>
      </c>
      <c r="X19" s="1899"/>
      <c r="Y19" s="302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1750</v>
      </c>
      <c r="C21" s="2405" t="str">
        <f>估价对象房地状况!C8</f>
        <v>估价对象所在区域基础设施水平——六通</v>
      </c>
      <c r="D21" s="435">
        <v>100</v>
      </c>
      <c r="E21" s="2736" t="s">
        <v>2883</v>
      </c>
      <c r="F21" s="439">
        <f>SUMIF(82:82,E22,83:83)-SUMIF(82:82,C22,83:83)+100</f>
        <v>100</v>
      </c>
      <c r="G21" s="2736" t="s">
        <v>2883</v>
      </c>
      <c r="H21" s="430">
        <f>SUMIF(82:82,G22,83:83)-SUMIF(82:82,C22,83:83)+100</f>
        <v>100</v>
      </c>
      <c r="I21" s="2736" t="s">
        <v>2883</v>
      </c>
      <c r="J21" s="430">
        <f>SUMIF(82:82,I22,83:83)-SUMIF(82:82,C22,83:83)+100</f>
        <v>100</v>
      </c>
      <c r="K21" s="424">
        <v>1</v>
      </c>
      <c r="L21" s="1252"/>
      <c r="M21" s="1243"/>
      <c r="N21" s="1243"/>
      <c r="O21" s="1243"/>
      <c r="P21" s="3018"/>
      <c r="Q21" s="1898" t="str">
        <f>B21</f>
        <v>基础设施水平</v>
      </c>
      <c r="R21" s="753" t="s">
        <v>28</v>
      </c>
      <c r="S21" s="754">
        <f>F21</f>
        <v>100</v>
      </c>
      <c r="T21" s="753" t="s">
        <v>28</v>
      </c>
      <c r="U21" s="754">
        <f>H21</f>
        <v>100</v>
      </c>
      <c r="V21" s="753" t="s">
        <v>28</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18"/>
      <c r="Q22" s="1898"/>
      <c r="R22" s="753"/>
      <c r="S22" s="754"/>
      <c r="T22" s="753"/>
      <c r="U22" s="754"/>
      <c r="V22" s="753"/>
      <c r="W22" s="754"/>
      <c r="X22" s="1899"/>
      <c r="Y22" s="3020"/>
      <c r="Z22" s="1901"/>
      <c r="AA22" s="1902">
        <v>1</v>
      </c>
      <c r="AB22" s="1902">
        <v>1</v>
      </c>
      <c r="AC22" s="1902">
        <v>1</v>
      </c>
    </row>
    <row r="23" spans="1:29" ht="117" customHeight="1">
      <c r="A23" s="408"/>
      <c r="B23" s="431" t="s">
        <v>1754</v>
      </c>
      <c r="C23" s="2405" t="str">
        <f>估价对象房地状况!C9</f>
        <v>自然环境：富力又一城公园、红军公园、郎各庄村休闲公园等；人文环境：估价对象周边人文环境较少，综合评价环境状况一般</v>
      </c>
      <c r="D23" s="430">
        <v>100</v>
      </c>
      <c r="E23" s="2737" t="s">
        <v>2893</v>
      </c>
      <c r="F23" s="433">
        <f>SUMIF(84:84,E24,85:85)-SUMIF(84:84,C24,85:85)+100</f>
        <v>100</v>
      </c>
      <c r="G23" s="2737" t="s">
        <v>2893</v>
      </c>
      <c r="H23" s="430">
        <f>SUMIF(84:84,G24,85:85)-SUMIF(84:84,C24,85:85)+100</f>
        <v>100</v>
      </c>
      <c r="I23" s="2737" t="s">
        <v>2893</v>
      </c>
      <c r="J23" s="430">
        <f>SUMIF(84:84,I24,85:85)-SUMIF(84:84,C24,85:85)+100</f>
        <v>100</v>
      </c>
      <c r="K23" s="424">
        <v>1</v>
      </c>
      <c r="L23" s="1252"/>
      <c r="M23" s="1243"/>
      <c r="N23" s="1243"/>
      <c r="O23" s="1243"/>
      <c r="P23" s="3018"/>
      <c r="Q23" s="1898" t="str">
        <f>B23</f>
        <v>自然及人文环境</v>
      </c>
      <c r="R23" s="753" t="s">
        <v>28</v>
      </c>
      <c r="S23" s="754">
        <f>F23</f>
        <v>100</v>
      </c>
      <c r="T23" s="753" t="s">
        <v>28</v>
      </c>
      <c r="U23" s="754">
        <f>H23</f>
        <v>100</v>
      </c>
      <c r="V23" s="753" t="s">
        <v>28</v>
      </c>
      <c r="W23" s="754">
        <f>J23</f>
        <v>100</v>
      </c>
      <c r="X23" s="1899"/>
      <c r="Y23" s="3020"/>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3" t="s">
        <v>31</v>
      </c>
      <c r="H24" s="427"/>
      <c r="I24" s="428" t="s">
        <v>31</v>
      </c>
      <c r="J24" s="427"/>
      <c r="K24" s="2404"/>
      <c r="L24" s="1252"/>
      <c r="M24" s="1243"/>
      <c r="N24" s="1243"/>
      <c r="O24" s="1243"/>
      <c r="P24" s="3018"/>
      <c r="Q24" s="1898"/>
      <c r="R24" s="753"/>
      <c r="S24" s="754"/>
      <c r="T24" s="753"/>
      <c r="U24" s="754"/>
      <c r="V24" s="753"/>
      <c r="W24" s="754"/>
      <c r="X24" s="1899"/>
      <c r="Y24" s="3020"/>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8"/>
      <c r="Q25" s="1898" t="str">
        <f t="shared" ref="Q25:Q46" si="11">B25</f>
        <v>楼层-1</v>
      </c>
      <c r="R25" s="753" t="s">
        <v>28</v>
      </c>
      <c r="S25" s="754">
        <f>F25</f>
        <v>100</v>
      </c>
      <c r="T25" s="753" t="s">
        <v>28</v>
      </c>
      <c r="U25" s="754">
        <f>H25</f>
        <v>100</v>
      </c>
      <c r="V25" s="753" t="s">
        <v>28</v>
      </c>
      <c r="W25" s="754">
        <f>J25</f>
        <v>100</v>
      </c>
      <c r="X25" s="1899"/>
      <c r="Y25" s="3020"/>
      <c r="Z25" s="1901" t="str">
        <f>Q25</f>
        <v>楼层-1</v>
      </c>
      <c r="AA25" s="1902">
        <f t="shared" si="3"/>
        <v>1</v>
      </c>
      <c r="AB25" s="1902">
        <f t="shared" si="4"/>
        <v>1</v>
      </c>
      <c r="AC25" s="1902">
        <f t="shared" si="5"/>
        <v>1</v>
      </c>
    </row>
    <row r="26" spans="1:29" ht="15">
      <c r="A26" s="408"/>
      <c r="B26" s="402" t="s">
        <v>2366</v>
      </c>
      <c r="C26" s="441" t="s">
        <v>2885</v>
      </c>
      <c r="D26" s="415">
        <v>100</v>
      </c>
      <c r="E26" s="2409" t="s">
        <v>2897</v>
      </c>
      <c r="F26" s="442">
        <f>SUMIF(88:88,E26,89:89)-SUMIF(88:88,C26,89:89)+100</f>
        <v>96</v>
      </c>
      <c r="G26" s="2410" t="s">
        <v>2898</v>
      </c>
      <c r="H26" s="415">
        <f>SUMIF(88:88,G26,89:89)-SUMIF(88:88,C26,89:89)+100</f>
        <v>101</v>
      </c>
      <c r="I26" s="2409" t="s">
        <v>2898</v>
      </c>
      <c r="J26" s="415">
        <f>SUMIF(88:88,I26,89:89)-SUMIF(88:88,C26,89:89)+100</f>
        <v>101</v>
      </c>
      <c r="K26" s="406">
        <v>1</v>
      </c>
      <c r="L26" s="1252"/>
      <c r="M26" s="1243"/>
      <c r="N26" s="1243"/>
      <c r="O26" s="1243"/>
      <c r="P26" s="3018"/>
      <c r="Q26" s="1898" t="str">
        <f t="shared" si="11"/>
        <v>朝向</v>
      </c>
      <c r="R26" s="753" t="s">
        <v>28</v>
      </c>
      <c r="S26" s="754">
        <f>F26</f>
        <v>96</v>
      </c>
      <c r="T26" s="753" t="s">
        <v>28</v>
      </c>
      <c r="U26" s="754">
        <f>H26</f>
        <v>101</v>
      </c>
      <c r="V26" s="753" t="s">
        <v>28</v>
      </c>
      <c r="W26" s="754">
        <f>J26</f>
        <v>101</v>
      </c>
      <c r="X26" s="1899"/>
      <c r="Y26" s="3020"/>
      <c r="Z26" s="1901" t="str">
        <f>Q26</f>
        <v>朝向</v>
      </c>
      <c r="AA26" s="1902">
        <f t="shared" si="3"/>
        <v>1.0416666666666667</v>
      </c>
      <c r="AB26" s="1902">
        <f t="shared" si="4"/>
        <v>0.99009900990099009</v>
      </c>
      <c r="AC26" s="1902">
        <f t="shared" si="5"/>
        <v>0.99009900990099009</v>
      </c>
    </row>
    <row r="27" spans="1:29" s="35" customFormat="1" ht="15">
      <c r="A27" s="411"/>
      <c r="B27" s="2398" t="s">
        <v>2367</v>
      </c>
      <c r="C27" s="2748" t="s">
        <v>2908</v>
      </c>
      <c r="D27" s="443">
        <v>100</v>
      </c>
      <c r="E27" s="2748" t="s">
        <v>2908</v>
      </c>
      <c r="F27" s="445">
        <f>SUMIF(90:90,E27,91:91)-SUMIF(90:90,C27,91:91)+100</f>
        <v>100</v>
      </c>
      <c r="G27" s="2748" t="s">
        <v>2908</v>
      </c>
      <c r="H27" s="443">
        <f>SUMIF(90:90,G27,91:91)-SUMIF(90:90,C27,91:91)+100</f>
        <v>100</v>
      </c>
      <c r="I27" s="2748" t="s">
        <v>2908</v>
      </c>
      <c r="J27" s="443">
        <f>SUMIF(90:90,I27,91:91)-SUMIF(90:90,C27,91:91)+100</f>
        <v>100</v>
      </c>
      <c r="K27" s="2399"/>
      <c r="L27" s="1244"/>
      <c r="M27" s="1245"/>
      <c r="N27" s="1245"/>
      <c r="O27" s="1245"/>
      <c r="P27" s="3018"/>
      <c r="Q27" s="1886" t="str">
        <f t="shared" si="11"/>
        <v>道路级别</v>
      </c>
      <c r="R27" s="749" t="s">
        <v>28</v>
      </c>
      <c r="S27" s="750">
        <f>F27</f>
        <v>100</v>
      </c>
      <c r="T27" s="749" t="s">
        <v>28</v>
      </c>
      <c r="U27" s="750">
        <f>H27</f>
        <v>100</v>
      </c>
      <c r="V27" s="749" t="s">
        <v>28</v>
      </c>
      <c r="W27" s="750">
        <f>J27</f>
        <v>100</v>
      </c>
      <c r="X27" s="751"/>
      <c r="Y27" s="3020"/>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18"/>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0"/>
      <c r="Z28" s="1901" t="str">
        <f t="shared" ref="Z28:Z46" si="15">Q28</f>
        <v>楼层</v>
      </c>
      <c r="AA28" s="1902">
        <f t="shared" si="3"/>
        <v>1</v>
      </c>
      <c r="AB28" s="1902">
        <f t="shared" si="4"/>
        <v>1</v>
      </c>
      <c r="AC28" s="1902">
        <f t="shared" si="5"/>
        <v>1</v>
      </c>
    </row>
    <row r="29" spans="1:29" ht="15.75" thickBot="1">
      <c r="A29" s="408"/>
      <c r="B29" s="2741" t="s">
        <v>2829</v>
      </c>
      <c r="C29" s="414" t="s">
        <v>2899</v>
      </c>
      <c r="D29" s="415">
        <v>100</v>
      </c>
      <c r="E29" s="414" t="s">
        <v>2900</v>
      </c>
      <c r="F29" s="442">
        <f>SUMIF(94:94,E29,95:95)-SUMIF(94:94,C29,95:95)+100</f>
        <v>101.5</v>
      </c>
      <c r="G29" s="414" t="s">
        <v>2901</v>
      </c>
      <c r="H29" s="415">
        <f>SUMIF(94:94,G29,95:95)-SUMIF(94:94,C29,95:95)+100</f>
        <v>101.5</v>
      </c>
      <c r="I29" s="414" t="s">
        <v>2902</v>
      </c>
      <c r="J29" s="415">
        <f>SUMIF(94:94,I29,95:95)-SUMIF(94:94,C29,95:95)+100</f>
        <v>100</v>
      </c>
      <c r="K29" s="2399"/>
      <c r="L29" s="1252"/>
      <c r="M29" s="1243"/>
      <c r="N29" s="1243"/>
      <c r="O29" s="1243"/>
      <c r="P29" s="3018"/>
      <c r="Q29" s="1898" t="str">
        <f t="shared" si="11"/>
        <v>楼层</v>
      </c>
      <c r="R29" s="753" t="s">
        <v>28</v>
      </c>
      <c r="S29" s="754">
        <f t="shared" si="12"/>
        <v>101.5</v>
      </c>
      <c r="T29" s="753" t="s">
        <v>28</v>
      </c>
      <c r="U29" s="754">
        <f t="shared" si="13"/>
        <v>101.5</v>
      </c>
      <c r="V29" s="753" t="s">
        <v>28</v>
      </c>
      <c r="W29" s="754">
        <f t="shared" si="14"/>
        <v>100</v>
      </c>
      <c r="X29" s="1899"/>
      <c r="Y29" s="3020"/>
      <c r="Z29" s="1901" t="str">
        <f t="shared" si="15"/>
        <v>楼层</v>
      </c>
      <c r="AA29" s="1902">
        <f t="shared" si="3"/>
        <v>0.98522167487684731</v>
      </c>
      <c r="AB29" s="1902">
        <f t="shared" si="4"/>
        <v>0.98522167487684731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8"/>
      <c r="Q30" s="1898">
        <f t="shared" si="11"/>
        <v>111</v>
      </c>
      <c r="R30" s="753" t="s">
        <v>28</v>
      </c>
      <c r="S30" s="754">
        <f t="shared" si="12"/>
        <v>100</v>
      </c>
      <c r="T30" s="753" t="s">
        <v>28</v>
      </c>
      <c r="U30" s="754">
        <f t="shared" si="13"/>
        <v>100</v>
      </c>
      <c r="V30" s="753" t="s">
        <v>28</v>
      </c>
      <c r="W30" s="754">
        <f t="shared" si="14"/>
        <v>100</v>
      </c>
      <c r="X30" s="1899"/>
      <c r="Y30" s="3020"/>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8"/>
      <c r="Q31" s="1898">
        <f t="shared" si="11"/>
        <v>111</v>
      </c>
      <c r="R31" s="753" t="s">
        <v>28</v>
      </c>
      <c r="S31" s="754">
        <f t="shared" si="12"/>
        <v>100</v>
      </c>
      <c r="T31" s="753" t="s">
        <v>28</v>
      </c>
      <c r="U31" s="754">
        <f t="shared" si="13"/>
        <v>100</v>
      </c>
      <c r="V31" s="753" t="s">
        <v>28</v>
      </c>
      <c r="W31" s="754">
        <f t="shared" si="14"/>
        <v>100</v>
      </c>
      <c r="X31" s="1899"/>
      <c r="Y31" s="3020"/>
      <c r="Z31" s="1901">
        <f t="shared" si="15"/>
        <v>111</v>
      </c>
      <c r="AA31" s="1902">
        <f t="shared" si="3"/>
        <v>1</v>
      </c>
      <c r="AB31" s="1902">
        <f t="shared" si="4"/>
        <v>1</v>
      </c>
      <c r="AC31" s="1902">
        <f t="shared" si="5"/>
        <v>1</v>
      </c>
    </row>
    <row r="32" spans="1:29" ht="15">
      <c r="A32" s="419" t="s">
        <v>2368</v>
      </c>
      <c r="B32" s="28" t="s">
        <v>2369</v>
      </c>
      <c r="C32" s="2412" t="s">
        <v>2903</v>
      </c>
      <c r="D32" s="448">
        <v>100</v>
      </c>
      <c r="E32" s="2413" t="s">
        <v>2903</v>
      </c>
      <c r="F32" s="442">
        <f>SUMIF(100:100,E32,101:101)-SUMIF(100:100,C32,101:101)+100</f>
        <v>100</v>
      </c>
      <c r="G32" s="2412" t="s">
        <v>2903</v>
      </c>
      <c r="H32" s="448">
        <f>SUMIF(100:100,G32,101:101)-SUMIF(100:100,C32,101:101)+100</f>
        <v>100</v>
      </c>
      <c r="I32" s="2413" t="s">
        <v>2903</v>
      </c>
      <c r="J32" s="415">
        <f>SUMIF(100:100,I32,101:101)-SUMIF(100:100,C32,101:101)+100</f>
        <v>100</v>
      </c>
      <c r="K32" s="406">
        <v>2</v>
      </c>
      <c r="L32" s="1252"/>
      <c r="M32" s="1243"/>
      <c r="N32" s="1243"/>
      <c r="O32" s="1243"/>
      <c r="P32" s="3021" t="s">
        <v>2370</v>
      </c>
      <c r="Q32" s="1898" t="str">
        <f t="shared" si="11"/>
        <v>建筑类型</v>
      </c>
      <c r="R32" s="753" t="s">
        <v>28</v>
      </c>
      <c r="S32" s="754">
        <f t="shared" si="12"/>
        <v>100</v>
      </c>
      <c r="T32" s="753" t="s">
        <v>28</v>
      </c>
      <c r="U32" s="754">
        <f t="shared" si="13"/>
        <v>100</v>
      </c>
      <c r="V32" s="753" t="s">
        <v>28</v>
      </c>
      <c r="W32" s="754">
        <f t="shared" si="14"/>
        <v>100</v>
      </c>
      <c r="X32" s="1899"/>
      <c r="Y32" s="3024"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121.68</v>
      </c>
      <c r="D33" s="52">
        <v>100</v>
      </c>
      <c r="E33" s="450">
        <v>82.14</v>
      </c>
      <c r="F33" s="405">
        <f>LOOKUP(E33,103:103,104:104)-LOOKUP(C33,103:103,104:104)+100</f>
        <v>102</v>
      </c>
      <c r="G33" s="450">
        <v>163.09</v>
      </c>
      <c r="H33" s="52">
        <f>LOOKUP(G33,103:103,104:104)-LOOKUP(C33,103:103,104:104)+100</f>
        <v>99</v>
      </c>
      <c r="I33" s="450">
        <v>158.49</v>
      </c>
      <c r="J33" s="52">
        <v>99</v>
      </c>
      <c r="K33" s="2399"/>
      <c r="L33" s="1250"/>
      <c r="M33" s="1253"/>
      <c r="N33" s="1253"/>
      <c r="O33" s="1253"/>
      <c r="P33" s="3022"/>
      <c r="Q33" s="755" t="str">
        <f t="shared" si="11"/>
        <v>项目建筑规模</v>
      </c>
      <c r="R33" s="756" t="s">
        <v>28</v>
      </c>
      <c r="S33" s="757">
        <f t="shared" si="12"/>
        <v>102</v>
      </c>
      <c r="T33" s="756" t="s">
        <v>28</v>
      </c>
      <c r="U33" s="757">
        <f t="shared" si="13"/>
        <v>99</v>
      </c>
      <c r="V33" s="756" t="s">
        <v>28</v>
      </c>
      <c r="W33" s="757">
        <f t="shared" si="14"/>
        <v>99</v>
      </c>
      <c r="X33" s="758"/>
      <c r="Y33" s="3024"/>
      <c r="Z33" s="759" t="str">
        <f t="shared" si="15"/>
        <v>项目建筑规模</v>
      </c>
      <c r="AA33" s="1902">
        <f t="shared" si="3"/>
        <v>0.98039215686274506</v>
      </c>
      <c r="AB33" s="1902">
        <f t="shared" si="4"/>
        <v>1.0101010101010102</v>
      </c>
      <c r="AC33" s="1902">
        <f t="shared" si="5"/>
        <v>1.0101010101010102</v>
      </c>
    </row>
    <row r="34" spans="1:29" ht="15">
      <c r="A34" s="453"/>
      <c r="B34" s="402" t="s">
        <v>2372</v>
      </c>
      <c r="C34" s="2414" t="s">
        <v>2878</v>
      </c>
      <c r="D34" s="415">
        <v>100</v>
      </c>
      <c r="E34" s="2415" t="s">
        <v>2878</v>
      </c>
      <c r="F34" s="442">
        <f>SUMIF(105:105,E34,106:106)-SUMIF(105:105,C34,106:106)+100</f>
        <v>100</v>
      </c>
      <c r="G34" s="2414" t="s">
        <v>2878</v>
      </c>
      <c r="H34" s="415">
        <f>SUMIF(105:105,G34,106:106)-SUMIF(105:105,C34,106:106)+100</f>
        <v>100</v>
      </c>
      <c r="I34" s="2415" t="s">
        <v>2878</v>
      </c>
      <c r="J34" s="415">
        <f>SUMIF(105:105,I34,106:106)-SUMIF(105:105,C34,106:106)+100</f>
        <v>100</v>
      </c>
      <c r="K34" s="406">
        <v>2</v>
      </c>
      <c r="L34" s="1252"/>
      <c r="M34" s="1243"/>
      <c r="N34" s="1243"/>
      <c r="O34" s="1243"/>
      <c r="P34" s="3022"/>
      <c r="Q34" s="1898" t="str">
        <f t="shared" si="11"/>
        <v>建筑结构</v>
      </c>
      <c r="R34" s="753" t="s">
        <v>28</v>
      </c>
      <c r="S34" s="754">
        <f t="shared" si="12"/>
        <v>100</v>
      </c>
      <c r="T34" s="753" t="s">
        <v>28</v>
      </c>
      <c r="U34" s="754">
        <f t="shared" si="13"/>
        <v>100</v>
      </c>
      <c r="V34" s="753" t="s">
        <v>28</v>
      </c>
      <c r="W34" s="754">
        <f t="shared" si="14"/>
        <v>100</v>
      </c>
      <c r="X34" s="1899"/>
      <c r="Y34" s="3024"/>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2"/>
      <c r="Q35" s="1898" t="str">
        <f t="shared" si="11"/>
        <v>建筑品质</v>
      </c>
      <c r="R35" s="753" t="s">
        <v>28</v>
      </c>
      <c r="S35" s="754">
        <f t="shared" si="12"/>
        <v>100</v>
      </c>
      <c r="T35" s="753" t="s">
        <v>28</v>
      </c>
      <c r="U35" s="754">
        <f t="shared" si="13"/>
        <v>100</v>
      </c>
      <c r="V35" s="753" t="s">
        <v>28</v>
      </c>
      <c r="W35" s="754">
        <f t="shared" si="14"/>
        <v>100</v>
      </c>
      <c r="X35" s="1899"/>
      <c r="Y35" s="3024"/>
      <c r="Z35" s="1901" t="str">
        <f t="shared" si="15"/>
        <v>建筑品质</v>
      </c>
      <c r="AA35" s="1902">
        <f t="shared" si="3"/>
        <v>1</v>
      </c>
      <c r="AB35" s="1902">
        <f t="shared" si="4"/>
        <v>1</v>
      </c>
      <c r="AC35" s="1902">
        <f t="shared" si="5"/>
        <v>1</v>
      </c>
    </row>
    <row r="36" spans="1:29" ht="15">
      <c r="A36" s="453"/>
      <c r="B36" s="402" t="s">
        <v>2374</v>
      </c>
      <c r="C36" s="2410" t="s">
        <v>2906</v>
      </c>
      <c r="D36" s="415">
        <v>100</v>
      </c>
      <c r="E36" s="2409" t="s">
        <v>2906</v>
      </c>
      <c r="F36" s="442">
        <f>SUMIF(109:109,E36,110:110)-SUMIF(109:109,C36,110:110)+100</f>
        <v>100</v>
      </c>
      <c r="G36" s="2410" t="s">
        <v>2906</v>
      </c>
      <c r="H36" s="415">
        <f>SUMIF(109:109,G36,110:110)-SUMIF(109:109,C36,110:110)+100</f>
        <v>100</v>
      </c>
      <c r="I36" s="2409" t="s">
        <v>2906</v>
      </c>
      <c r="J36" s="415">
        <f>SUMIF(109:109,I36,110:110)-SUMIF(109:109,C36,110:110)+100</f>
        <v>100</v>
      </c>
      <c r="K36" s="406">
        <v>2</v>
      </c>
      <c r="L36" s="1252"/>
      <c r="M36" s="1243"/>
      <c r="N36" s="1243"/>
      <c r="O36" s="1243"/>
      <c r="P36" s="3022"/>
      <c r="Q36" s="1898" t="str">
        <f t="shared" si="11"/>
        <v>公共部分装修</v>
      </c>
      <c r="R36" s="753" t="s">
        <v>28</v>
      </c>
      <c r="S36" s="754">
        <f t="shared" si="12"/>
        <v>100</v>
      </c>
      <c r="T36" s="753" t="s">
        <v>28</v>
      </c>
      <c r="U36" s="754">
        <f t="shared" si="13"/>
        <v>100</v>
      </c>
      <c r="V36" s="753" t="s">
        <v>28</v>
      </c>
      <c r="W36" s="754">
        <f t="shared" si="14"/>
        <v>100</v>
      </c>
      <c r="X36" s="1899"/>
      <c r="Y36" s="3024"/>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2"/>
      <c r="Q37" s="1886"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2376</v>
      </c>
      <c r="C38" s="2410" t="s">
        <v>2907</v>
      </c>
      <c r="D38" s="415">
        <v>100</v>
      </c>
      <c r="E38" s="2409" t="s">
        <v>2907</v>
      </c>
      <c r="F38" s="442">
        <f>SUMIF(114:114,E38,115:115)-SUMIF(114:114,C38,115:115)+100</f>
        <v>100</v>
      </c>
      <c r="G38" s="2410" t="s">
        <v>2907</v>
      </c>
      <c r="H38" s="415">
        <f>SUMIF(114:114,G38,115:115)-SUMIF(114:114,C38,115:115)+100</f>
        <v>100</v>
      </c>
      <c r="I38" s="2409" t="s">
        <v>2907</v>
      </c>
      <c r="J38" s="415">
        <f>SUMIF(114:114,I38,115:115)-SUMIF(114:114,C38,115:115)+100</f>
        <v>100</v>
      </c>
      <c r="K38" s="406">
        <v>2</v>
      </c>
      <c r="L38" s="1252"/>
      <c r="M38" s="1243"/>
      <c r="N38" s="1243"/>
      <c r="O38" s="1243"/>
      <c r="P38" s="3022" t="s">
        <v>2370</v>
      </c>
      <c r="Q38" s="1898" t="str">
        <f t="shared" si="11"/>
        <v>物业管理</v>
      </c>
      <c r="R38" s="753" t="s">
        <v>28</v>
      </c>
      <c r="S38" s="754">
        <f t="shared" si="12"/>
        <v>100</v>
      </c>
      <c r="T38" s="753" t="s">
        <v>28</v>
      </c>
      <c r="U38" s="754">
        <f t="shared" si="13"/>
        <v>100</v>
      </c>
      <c r="V38" s="753" t="s">
        <v>28</v>
      </c>
      <c r="W38" s="754">
        <f t="shared" si="14"/>
        <v>100</v>
      </c>
      <c r="X38" s="1899"/>
      <c r="Y38" s="3024" t="s">
        <v>2370</v>
      </c>
      <c r="Z38" s="1901" t="str">
        <f t="shared" si="15"/>
        <v>物业管理</v>
      </c>
      <c r="AA38" s="1902">
        <f t="shared" si="3"/>
        <v>1</v>
      </c>
      <c r="AB38" s="1902">
        <f t="shared" si="4"/>
        <v>1</v>
      </c>
      <c r="AC38" s="1902">
        <f t="shared" si="5"/>
        <v>1</v>
      </c>
    </row>
    <row r="39" spans="1:29" ht="15">
      <c r="A39" s="453"/>
      <c r="B39" s="402" t="s">
        <v>2377</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22"/>
      <c r="Q39" s="1898" t="str">
        <f t="shared" si="11"/>
        <v>市政基础设施</v>
      </c>
      <c r="R39" s="753" t="s">
        <v>28</v>
      </c>
      <c r="S39" s="754">
        <f t="shared" si="12"/>
        <v>100</v>
      </c>
      <c r="T39" s="753" t="s">
        <v>28</v>
      </c>
      <c r="U39" s="754">
        <f t="shared" si="13"/>
        <v>100</v>
      </c>
      <c r="V39" s="753" t="s">
        <v>28</v>
      </c>
      <c r="W39" s="754">
        <f t="shared" si="14"/>
        <v>100</v>
      </c>
      <c r="X39" s="1899"/>
      <c r="Y39" s="3024"/>
      <c r="Z39" s="1901" t="str">
        <f t="shared" si="15"/>
        <v>市政基础设施</v>
      </c>
      <c r="AA39" s="1902">
        <f t="shared" si="3"/>
        <v>1</v>
      </c>
      <c r="AB39" s="1902">
        <f t="shared" si="4"/>
        <v>1</v>
      </c>
      <c r="AC39" s="1902">
        <f t="shared" si="5"/>
        <v>1</v>
      </c>
    </row>
    <row r="40" spans="1:29" ht="15">
      <c r="A40" s="453"/>
      <c r="B40" s="402" t="s">
        <v>2378</v>
      </c>
      <c r="C40" s="2410" t="s">
        <v>2874</v>
      </c>
      <c r="D40" s="415">
        <v>100</v>
      </c>
      <c r="E40" s="2409" t="s">
        <v>2874</v>
      </c>
      <c r="F40" s="442">
        <f>SUMIF(118:118,E40,119:119)-SUMIF(118:118,C40,119:119)+100</f>
        <v>100</v>
      </c>
      <c r="G40" s="2410" t="s">
        <v>2874</v>
      </c>
      <c r="H40" s="415">
        <f>SUMIF(118:118,G40,119:119)-SUMIF(118:118,C40,119:119)+100</f>
        <v>100</v>
      </c>
      <c r="I40" s="2409" t="s">
        <v>2874</v>
      </c>
      <c r="J40" s="415">
        <f>SUMIF(118:118,I40,119:119)-SUMIF(118:118,C40,119:119)+100</f>
        <v>100</v>
      </c>
      <c r="K40" s="406">
        <v>2</v>
      </c>
      <c r="L40" s="1252"/>
      <c r="M40" s="1243"/>
      <c r="N40" s="1243"/>
      <c r="O40" s="1243"/>
      <c r="P40" s="3022"/>
      <c r="Q40" s="1898" t="str">
        <f t="shared" si="11"/>
        <v>房型</v>
      </c>
      <c r="R40" s="753" t="s">
        <v>28</v>
      </c>
      <c r="S40" s="754">
        <f t="shared" si="12"/>
        <v>100</v>
      </c>
      <c r="T40" s="753" t="s">
        <v>28</v>
      </c>
      <c r="U40" s="754">
        <f t="shared" si="13"/>
        <v>100</v>
      </c>
      <c r="V40" s="753" t="s">
        <v>28</v>
      </c>
      <c r="W40" s="754">
        <f t="shared" si="14"/>
        <v>100</v>
      </c>
      <c r="X40" s="1899"/>
      <c r="Y40" s="3024"/>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2">
        <f t="shared" si="3"/>
        <v>1</v>
      </c>
      <c r="AB41" s="1902">
        <f t="shared" si="4"/>
        <v>1</v>
      </c>
      <c r="AC41" s="1902">
        <f t="shared" si="5"/>
        <v>1</v>
      </c>
    </row>
    <row r="42" spans="1:29" ht="15">
      <c r="A42" s="453"/>
      <c r="B42" s="402" t="s">
        <v>2380</v>
      </c>
      <c r="C42" s="2410" t="s">
        <v>2906</v>
      </c>
      <c r="D42" s="415">
        <v>100</v>
      </c>
      <c r="E42" s="2409" t="s">
        <v>2906</v>
      </c>
      <c r="F42" s="442">
        <f>SUMIF(122:122,E42,123:123)-SUMIF(122:122,C42,123:123)+100</f>
        <v>100</v>
      </c>
      <c r="G42" s="2410" t="s">
        <v>2906</v>
      </c>
      <c r="H42" s="415">
        <f>SUMIF(122:122,G42,123:123)-SUMIF(122:122,C42,123:123)+100</f>
        <v>100</v>
      </c>
      <c r="I42" s="2409" t="s">
        <v>2905</v>
      </c>
      <c r="J42" s="415">
        <f>SUMIF(122:122,I42,123:123)-SUMIF(122:122,C42,123:123)+100</f>
        <v>101</v>
      </c>
      <c r="K42" s="406">
        <v>1</v>
      </c>
      <c r="L42" s="1252"/>
      <c r="M42" s="1243"/>
      <c r="N42" s="1243"/>
      <c r="O42" s="1243"/>
      <c r="P42" s="3022"/>
      <c r="Q42" s="1898" t="str">
        <f t="shared" si="11"/>
        <v>内部装修</v>
      </c>
      <c r="R42" s="753" t="s">
        <v>28</v>
      </c>
      <c r="S42" s="754">
        <f t="shared" si="12"/>
        <v>100</v>
      </c>
      <c r="T42" s="753" t="s">
        <v>28</v>
      </c>
      <c r="U42" s="754">
        <f t="shared" si="13"/>
        <v>100</v>
      </c>
      <c r="V42" s="753" t="s">
        <v>28</v>
      </c>
      <c r="W42" s="754">
        <f t="shared" si="14"/>
        <v>101</v>
      </c>
      <c r="X42" s="1899"/>
      <c r="Y42" s="3024"/>
      <c r="Z42" s="1901" t="str">
        <f t="shared" si="15"/>
        <v>内部装修</v>
      </c>
      <c r="AA42" s="1902">
        <f t="shared" si="3"/>
        <v>1</v>
      </c>
      <c r="AB42" s="1902">
        <f t="shared" si="4"/>
        <v>1</v>
      </c>
      <c r="AC42" s="1902">
        <f t="shared" si="5"/>
        <v>0.99009900990099009</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2"/>
      <c r="Q43" s="1898" t="str">
        <f t="shared" si="11"/>
        <v>内部装修维护情况</v>
      </c>
      <c r="R43" s="753" t="s">
        <v>28</v>
      </c>
      <c r="S43" s="754">
        <f t="shared" si="12"/>
        <v>100</v>
      </c>
      <c r="T43" s="753" t="s">
        <v>28</v>
      </c>
      <c r="U43" s="754">
        <f t="shared" si="13"/>
        <v>100</v>
      </c>
      <c r="V43" s="753" t="s">
        <v>28</v>
      </c>
      <c r="W43" s="754">
        <f t="shared" si="14"/>
        <v>100</v>
      </c>
      <c r="X43" s="1899"/>
      <c r="Y43" s="3024"/>
      <c r="Z43" s="1901" t="str">
        <f t="shared" si="15"/>
        <v>内部装修维护情况</v>
      </c>
      <c r="AA43" s="1902">
        <f t="shared" si="3"/>
        <v>1</v>
      </c>
      <c r="AB43" s="1902">
        <f t="shared" si="4"/>
        <v>1</v>
      </c>
      <c r="AC43" s="1902">
        <f t="shared" si="5"/>
        <v>1</v>
      </c>
    </row>
    <row r="44" spans="1:29" s="35" customFormat="1" ht="16.5" customHeight="1" thickBot="1">
      <c r="A44" s="454"/>
      <c r="B44" s="2741" t="s">
        <v>2830</v>
      </c>
      <c r="C44" s="450">
        <v>2007</v>
      </c>
      <c r="D44" s="52">
        <v>100</v>
      </c>
      <c r="E44" s="450">
        <v>2007</v>
      </c>
      <c r="F44" s="405">
        <f>SUMIF(126:126,E44,127:127)-SUMIF(126:126,C44,127:127)+100</f>
        <v>100</v>
      </c>
      <c r="G44" s="450">
        <v>2008</v>
      </c>
      <c r="H44" s="52">
        <f>SUMIF(126:126,G44,127:127)-SUMIF(126:126,C44,127:127)+100</f>
        <v>100.5</v>
      </c>
      <c r="I44" s="450">
        <v>2008</v>
      </c>
      <c r="J44" s="52">
        <f>SUMIF(126:126,I44,127:127)-SUMIF(126:126,C44,127:127)+100</f>
        <v>100.5</v>
      </c>
      <c r="K44" s="2399"/>
      <c r="L44" s="1244"/>
      <c r="M44" s="1245"/>
      <c r="N44" s="1245"/>
      <c r="O44" s="1245"/>
      <c r="P44" s="3022"/>
      <c r="Q44" s="1886" t="str">
        <f t="shared" si="11"/>
        <v>建成年代</v>
      </c>
      <c r="R44" s="749" t="s">
        <v>28</v>
      </c>
      <c r="S44" s="750">
        <f t="shared" si="12"/>
        <v>100</v>
      </c>
      <c r="T44" s="749" t="s">
        <v>28</v>
      </c>
      <c r="U44" s="750">
        <f t="shared" si="13"/>
        <v>100.5</v>
      </c>
      <c r="V44" s="749" t="s">
        <v>28</v>
      </c>
      <c r="W44" s="750">
        <f t="shared" si="14"/>
        <v>100.5</v>
      </c>
      <c r="X44" s="751"/>
      <c r="Y44" s="3024"/>
      <c r="Z44" s="23" t="str">
        <f t="shared" si="15"/>
        <v>建成年代</v>
      </c>
      <c r="AA44" s="752">
        <f t="shared" si="3"/>
        <v>1</v>
      </c>
      <c r="AB44" s="752">
        <f t="shared" si="4"/>
        <v>0.99502487562189057</v>
      </c>
      <c r="AC44" s="752">
        <f t="shared" si="5"/>
        <v>0.99502487562189057</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2"/>
      <c r="Q45" s="1898">
        <f t="shared" si="11"/>
        <v>111</v>
      </c>
      <c r="R45" s="753" t="s">
        <v>28</v>
      </c>
      <c r="S45" s="754">
        <f t="shared" si="12"/>
        <v>100</v>
      </c>
      <c r="T45" s="753" t="s">
        <v>28</v>
      </c>
      <c r="U45" s="754">
        <f t="shared" si="13"/>
        <v>100</v>
      </c>
      <c r="V45" s="753" t="s">
        <v>28</v>
      </c>
      <c r="W45" s="754">
        <f t="shared" si="14"/>
        <v>100</v>
      </c>
      <c r="X45" s="1899"/>
      <c r="Y45" s="3024"/>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3"/>
      <c r="Q46" s="1898">
        <f t="shared" si="11"/>
        <v>111</v>
      </c>
      <c r="R46" s="753" t="s">
        <v>27</v>
      </c>
      <c r="S46" s="754">
        <f t="shared" si="12"/>
        <v>100</v>
      </c>
      <c r="T46" s="753" t="s">
        <v>27</v>
      </c>
      <c r="U46" s="754">
        <f t="shared" si="13"/>
        <v>100</v>
      </c>
      <c r="V46" s="753" t="s">
        <v>27</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26</v>
      </c>
      <c r="D47" s="1502"/>
      <c r="E47" s="1503">
        <v>47237</v>
      </c>
      <c r="F47" s="1504"/>
      <c r="G47" s="1505">
        <v>48747</v>
      </c>
      <c r="H47" s="1506"/>
      <c r="I47" s="1503">
        <v>49530</v>
      </c>
      <c r="J47" s="1506"/>
      <c r="K47" s="2416"/>
      <c r="L47" s="1255"/>
      <c r="M47" s="1256"/>
      <c r="N47" s="1243"/>
      <c r="O47" s="1256"/>
      <c r="P47" s="3016" t="str">
        <f>A47</f>
        <v>成交单价（元/平方米）</v>
      </c>
      <c r="Q47" s="3016"/>
      <c r="R47" s="3012">
        <f>E47</f>
        <v>47237</v>
      </c>
      <c r="S47" s="3012"/>
      <c r="T47" s="3012">
        <f>G47</f>
        <v>48747</v>
      </c>
      <c r="U47" s="3012"/>
      <c r="V47" s="3012">
        <f>I47</f>
        <v>49530</v>
      </c>
      <c r="W47" s="3012"/>
      <c r="X47" s="738"/>
      <c r="Y47" s="760"/>
      <c r="Z47" s="738"/>
      <c r="AA47" s="738"/>
      <c r="AB47" s="738"/>
      <c r="AC47" s="738"/>
    </row>
    <row r="48" spans="1:29" ht="15.75" thickBot="1">
      <c r="A48" s="467" t="s">
        <v>2383</v>
      </c>
      <c r="B48" s="468"/>
      <c r="C48" s="1507">
        <f>R49</f>
        <v>48365</v>
      </c>
      <c r="D48" s="1508"/>
      <c r="E48" s="1509">
        <f>R48</f>
        <v>47527</v>
      </c>
      <c r="F48" s="1509"/>
      <c r="G48" s="1507">
        <f>T48</f>
        <v>48275</v>
      </c>
      <c r="H48" s="1508"/>
      <c r="I48" s="1509">
        <f>V48</f>
        <v>49293</v>
      </c>
      <c r="J48" s="1508"/>
      <c r="K48" s="2417"/>
      <c r="L48" s="1255"/>
      <c r="M48" s="1256"/>
      <c r="N48" s="1256"/>
      <c r="O48" s="1256"/>
      <c r="P48" s="3016" t="str">
        <f>A48</f>
        <v>比较价值（元/平方米）</v>
      </c>
      <c r="Q48" s="3016"/>
      <c r="R48" s="3012">
        <f>IF(E1="售价",ROUND(PRODUCT(R47,AA7:AA46),0),ROUND(PRODUCT(R47,AA7:AA46),1))</f>
        <v>47527</v>
      </c>
      <c r="S48" s="3012"/>
      <c r="T48" s="3010">
        <f>IF(E1="售价",ROUND(PRODUCT(T47,AB7:AB46),0),ROUND(PRODUCT(T47,AB7:AB46),1))</f>
        <v>48275</v>
      </c>
      <c r="U48" s="3011"/>
      <c r="V48" s="3012">
        <f>IF(E1="售价",ROUND(PRODUCT(V47,AC7:AC46),0),ROUND(PRODUCT(V47,AC7:AC46),1))</f>
        <v>49293</v>
      </c>
      <c r="W48" s="3012"/>
      <c r="X48" s="738"/>
      <c r="Y48" s="738"/>
      <c r="Z48" s="738"/>
      <c r="AA48" s="738"/>
      <c r="AB48" s="738"/>
      <c r="AC48" s="738"/>
    </row>
    <row r="49" spans="1:29" ht="15.75" thickBot="1">
      <c r="A49" s="473" t="s">
        <v>2384</v>
      </c>
      <c r="B49" s="474"/>
      <c r="C49" s="1510">
        <f>R49</f>
        <v>48365</v>
      </c>
      <c r="D49" s="1511"/>
      <c r="E49" s="1511"/>
      <c r="F49" s="1511"/>
      <c r="G49" s="1511"/>
      <c r="H49" s="1511"/>
      <c r="I49" s="1511"/>
      <c r="J49" s="1511"/>
      <c r="K49" s="2418"/>
      <c r="L49" s="1255"/>
      <c r="M49" s="1256"/>
      <c r="N49" s="1256"/>
      <c r="O49" s="1256"/>
      <c r="P49" s="3013" t="str">
        <f>A49</f>
        <v>估价对象XX用房的比较价值（楼面单价，元/平方米）</v>
      </c>
      <c r="Q49" s="3014"/>
      <c r="R49" s="3015">
        <f>IF(E1="售价",ROUND(AVERAGE(R48:V48),0),ROUND(AVERAGE(R48:V48),1))</f>
        <v>48365</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6.1392552448291671E-3</v>
      </c>
      <c r="F52" s="481" t="str">
        <f>IF(OR(E52&gt;=0.3,E52&lt;=-0.3),"超过30%","")</f>
        <v/>
      </c>
      <c r="G52" s="480">
        <f>IF(G47&lt;G48,G48/G47-1,G47/G48-1)</f>
        <v>9.7773174520974226E-3</v>
      </c>
      <c r="H52" s="481" t="str">
        <f>IF(OR(G52&gt;=0.3,G52&lt;=-0.3),"超过30%","")</f>
        <v/>
      </c>
      <c r="I52" s="480">
        <f>IF(I47&lt;I48,I48/I47-1,I47/I48-1)</f>
        <v>4.8079849065789659E-3</v>
      </c>
      <c r="J52" s="481" t="str">
        <f>IF(OR(I52&gt;=0.3,I52&lt;=-0.3),"超过30%","")</f>
        <v/>
      </c>
      <c r="K52" s="1261"/>
      <c r="L52" s="1257"/>
      <c r="M52" s="1256"/>
      <c r="N52" s="1256"/>
      <c r="O52" s="1256"/>
    </row>
    <row r="53" spans="1:29" ht="13.5" customHeight="1">
      <c r="A53" s="1256"/>
      <c r="B53" s="1256"/>
      <c r="C53" s="478" t="s">
        <v>2386</v>
      </c>
      <c r="D53" s="482"/>
      <c r="E53" s="480">
        <f>IF(E48&lt;G48,G48/E48-1,E48/G48-1)</f>
        <v>1.5738422370441985E-2</v>
      </c>
      <c r="F53" s="481" t="str">
        <f>IF(OR(E53&gt;=0.2,E53&lt;=-0.2),"超过20%","")</f>
        <v/>
      </c>
      <c r="G53" s="480">
        <f>IF(G48&lt;I48,I48/G48-1,G48/I48-1)</f>
        <v>2.1087519419989542E-2</v>
      </c>
      <c r="H53" s="481" t="str">
        <f>IF(OR(G53&gt;=0.2,G53&lt;=-0.2),"超过20%","")</f>
        <v/>
      </c>
      <c r="I53" s="480">
        <f>IF(I48&lt;E48,E48/I48-1,I48/E48-1)</f>
        <v>3.7157826077808487E-2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3.1966466964455931E-2</v>
      </c>
      <c r="F54" s="481" t="str">
        <f>IF(OR(E54&gt;=0.3,E54&lt;=-0.3),"超过30%","")</f>
        <v/>
      </c>
      <c r="G54" s="480">
        <f>IF(G47&lt;I47,I47/G47-1,G47/I47-1)</f>
        <v>1.6062526924733866E-2</v>
      </c>
      <c r="H54" s="481" t="str">
        <f>IF(OR(G54&gt;=0.3,G54&lt;=-0.3),"超过30%","")</f>
        <v/>
      </c>
      <c r="I54" s="480">
        <f>IF(I47&lt;E47,E47/I47-1,I47/E47-1)</f>
        <v>4.8542456125494793E-2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v>99</v>
      </c>
      <c r="E59" s="493">
        <v>99</v>
      </c>
      <c r="F59" s="493">
        <v>99</v>
      </c>
      <c r="G59" s="493">
        <v>98</v>
      </c>
      <c r="H59" s="493">
        <v>98</v>
      </c>
      <c r="I59" s="493">
        <v>98</v>
      </c>
      <c r="J59" s="493">
        <v>97</v>
      </c>
      <c r="K59" s="493">
        <v>97</v>
      </c>
      <c r="L59" s="493">
        <v>97</v>
      </c>
      <c r="M59" s="494">
        <v>96</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2833</v>
      </c>
      <c r="D88" s="2743" t="s">
        <v>2834</v>
      </c>
      <c r="E88" s="2743" t="s">
        <v>2835</v>
      </c>
      <c r="F88" s="2743" t="s">
        <v>2836</v>
      </c>
      <c r="G88" s="2743" t="s">
        <v>2837</v>
      </c>
      <c r="H88" s="2743" t="s">
        <v>2838</v>
      </c>
      <c r="I88" s="2743" t="s">
        <v>2839</v>
      </c>
      <c r="J88" s="2743" t="s">
        <v>2840</v>
      </c>
      <c r="K88" s="2744" t="s">
        <v>2841</v>
      </c>
      <c r="L88" s="2744" t="s">
        <v>2886</v>
      </c>
      <c r="M88" s="2749" t="s">
        <v>2887</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2879</v>
      </c>
      <c r="E92" s="414" t="s">
        <v>2880</v>
      </c>
      <c r="F92" s="414" t="s">
        <v>2881</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2899</v>
      </c>
      <c r="D94" s="414" t="s">
        <v>2900</v>
      </c>
      <c r="E94" s="414" t="s">
        <v>2901</v>
      </c>
      <c r="F94" s="414" t="s">
        <v>2902</v>
      </c>
      <c r="G94" s="567"/>
      <c r="H94" s="567"/>
      <c r="I94" s="567"/>
      <c r="J94" s="567"/>
      <c r="K94" s="568"/>
      <c r="L94" s="569"/>
      <c r="M94" s="570"/>
      <c r="N94" s="1266"/>
      <c r="O94" s="1266"/>
      <c r="P94" s="2425"/>
      <c r="Q94" s="485"/>
    </row>
    <row r="95" spans="1:17" ht="15.75" thickBot="1">
      <c r="A95" s="516"/>
      <c r="B95" s="526"/>
      <c r="C95" s="544">
        <v>100</v>
      </c>
      <c r="D95" s="544">
        <v>101.5</v>
      </c>
      <c r="E95" s="544">
        <v>101.5</v>
      </c>
      <c r="F95" s="518">
        <v>100</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2847</v>
      </c>
      <c r="D100" s="2745" t="s">
        <v>2848</v>
      </c>
      <c r="E100" s="2750" t="s">
        <v>2888</v>
      </c>
      <c r="F100" s="2750" t="s">
        <v>2904</v>
      </c>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2007</v>
      </c>
      <c r="D126" s="537">
        <v>2008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100.5</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121.68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53"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53"/>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53"/>
      <c r="AC6" s="3042"/>
    </row>
    <row r="7" spans="1:29" s="35" customFormat="1" ht="15.75" thickBot="1">
      <c r="A7" s="387" t="s">
        <v>2352</v>
      </c>
      <c r="B7" s="388"/>
      <c r="C7" s="389">
        <f>'数据-取费表'!B2</f>
        <v>43125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9"/>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9"/>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9"/>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9"/>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9"/>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7" t="s">
        <v>2364</v>
      </c>
      <c r="Q15" s="1898" t="str">
        <f t="shared" si="6"/>
        <v>商业繁华度</v>
      </c>
      <c r="R15" s="753" t="s">
        <v>25</v>
      </c>
      <c r="S15" s="754">
        <f t="shared" si="0"/>
        <v>100</v>
      </c>
      <c r="T15" s="753" t="s">
        <v>25</v>
      </c>
      <c r="U15" s="754">
        <f t="shared" si="1"/>
        <v>100</v>
      </c>
      <c r="V15" s="753" t="s">
        <v>25</v>
      </c>
      <c r="W15" s="754">
        <f t="shared" si="2"/>
        <v>100</v>
      </c>
      <c r="X15" s="1899"/>
      <c r="Y15" s="3019"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8"/>
      <c r="Q16" s="1898"/>
      <c r="R16" s="753"/>
      <c r="S16" s="754"/>
      <c r="T16" s="753"/>
      <c r="U16" s="754"/>
      <c r="V16" s="753"/>
      <c r="W16" s="754"/>
      <c r="X16" s="1899"/>
      <c r="Y16" s="3020"/>
      <c r="Z16" s="1901"/>
      <c r="AA16" s="1902">
        <v>1</v>
      </c>
      <c r="AB16" s="1902">
        <v>1</v>
      </c>
      <c r="AC16" s="1902">
        <v>1</v>
      </c>
    </row>
    <row r="17" spans="1:29" ht="99.75">
      <c r="A17" s="408"/>
      <c r="B17" s="431" t="s">
        <v>1749</v>
      </c>
      <c r="C17" s="2405" t="str">
        <f>估价对象房地状况!C6</f>
        <v>估价对象紧邻城市支路——天达路，周边有348路、411路、457路公交线路等，综合评价交通便捷度一般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8"/>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2450</v>
      </c>
      <c r="C19" s="2405"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8"/>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8"/>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8"/>
      <c r="Q22" s="1898"/>
      <c r="R22" s="753"/>
      <c r="S22" s="754"/>
      <c r="T22" s="753"/>
      <c r="U22" s="754"/>
      <c r="V22" s="753"/>
      <c r="W22" s="754"/>
      <c r="X22" s="1899"/>
      <c r="Y22" s="3020"/>
      <c r="Z22" s="1901"/>
      <c r="AA22" s="1902">
        <v>1</v>
      </c>
      <c r="AB22" s="1902">
        <v>1</v>
      </c>
      <c r="AC22" s="1902">
        <v>1</v>
      </c>
    </row>
    <row r="23" spans="1:29" ht="114">
      <c r="A23" s="408"/>
      <c r="B23" s="431" t="s">
        <v>1754</v>
      </c>
      <c r="C23" s="2456" t="str">
        <f>估价对象房地状况!C9</f>
        <v>自然环境：富力又一城公园、红军公园、郎各庄村休闲公园等；人文环境：估价对象周边人文环境较少，综合评价环境状况一般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8"/>
      <c r="Q23" s="1898" t="str">
        <f>B23</f>
        <v>自然及人文环境</v>
      </c>
      <c r="R23" s="753" t="s">
        <v>25</v>
      </c>
      <c r="S23" s="754">
        <f>F23</f>
        <v>100</v>
      </c>
      <c r="T23" s="753" t="s">
        <v>25</v>
      </c>
      <c r="U23" s="754">
        <f>H23</f>
        <v>100</v>
      </c>
      <c r="V23" s="753" t="s">
        <v>25</v>
      </c>
      <c r="W23" s="754">
        <f>J23</f>
        <v>100</v>
      </c>
      <c r="X23" s="1899"/>
      <c r="Y23" s="302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8"/>
      <c r="Q24" s="1898"/>
      <c r="R24" s="753"/>
      <c r="S24" s="754"/>
      <c r="T24" s="753"/>
      <c r="U24" s="754"/>
      <c r="V24" s="753"/>
      <c r="W24" s="754"/>
      <c r="X24" s="1899"/>
      <c r="Y24" s="3020"/>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8"/>
      <c r="Q25" s="1898" t="str">
        <f t="shared" ref="Q25:Q46" si="11">B25</f>
        <v>临街状况</v>
      </c>
      <c r="R25" s="753" t="s">
        <v>25</v>
      </c>
      <c r="S25" s="754">
        <f>F25</f>
        <v>100</v>
      </c>
      <c r="T25" s="753" t="s">
        <v>25</v>
      </c>
      <c r="U25" s="754">
        <f>H25</f>
        <v>100</v>
      </c>
      <c r="V25" s="753" t="s">
        <v>25</v>
      </c>
      <c r="W25" s="754">
        <f>J25</f>
        <v>100</v>
      </c>
      <c r="X25" s="1899"/>
      <c r="Y25" s="3020"/>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8"/>
      <c r="Q26" s="1898" t="str">
        <f t="shared" si="11"/>
        <v>平面位置/可视性</v>
      </c>
      <c r="R26" s="753" t="s">
        <v>25</v>
      </c>
      <c r="S26" s="754">
        <f>F26</f>
        <v>100</v>
      </c>
      <c r="T26" s="753" t="s">
        <v>25</v>
      </c>
      <c r="U26" s="754">
        <f>H26</f>
        <v>100</v>
      </c>
      <c r="V26" s="753" t="s">
        <v>25</v>
      </c>
      <c r="W26" s="754">
        <f>J26</f>
        <v>100</v>
      </c>
      <c r="X26" s="1899"/>
      <c r="Y26" s="3020"/>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18"/>
      <c r="Q27" s="1886" t="str">
        <f t="shared" si="11"/>
        <v>人流量</v>
      </c>
      <c r="R27" s="749" t="s">
        <v>25</v>
      </c>
      <c r="S27" s="750">
        <f>F27</f>
        <v>100</v>
      </c>
      <c r="T27" s="749" t="s">
        <v>25</v>
      </c>
      <c r="U27" s="750">
        <f>H27</f>
        <v>100</v>
      </c>
      <c r="V27" s="749" t="s">
        <v>25</v>
      </c>
      <c r="W27" s="750">
        <f>J27</f>
        <v>100</v>
      </c>
      <c r="X27" s="751"/>
      <c r="Y27" s="3020"/>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8"/>
      <c r="Q29" s="1898">
        <f t="shared" si="11"/>
        <v>111</v>
      </c>
      <c r="R29" s="753" t="s">
        <v>25</v>
      </c>
      <c r="S29" s="754">
        <f t="shared" si="12"/>
        <v>100</v>
      </c>
      <c r="T29" s="753" t="s">
        <v>25</v>
      </c>
      <c r="U29" s="754">
        <f t="shared" si="13"/>
        <v>100</v>
      </c>
      <c r="V29" s="753" t="s">
        <v>25</v>
      </c>
      <c r="W29" s="754">
        <f t="shared" si="14"/>
        <v>100</v>
      </c>
      <c r="X29" s="1899"/>
      <c r="Y29" s="302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8"/>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8"/>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1" t="s">
        <v>2370</v>
      </c>
      <c r="Q32" s="1898" t="str">
        <f t="shared" si="11"/>
        <v>商业类型</v>
      </c>
      <c r="R32" s="753" t="s">
        <v>25</v>
      </c>
      <c r="S32" s="754">
        <f t="shared" si="12"/>
        <v>100</v>
      </c>
      <c r="T32" s="753" t="s">
        <v>25</v>
      </c>
      <c r="U32" s="754">
        <f t="shared" si="13"/>
        <v>100</v>
      </c>
      <c r="V32" s="753" t="s">
        <v>25</v>
      </c>
      <c r="W32" s="754">
        <f t="shared" si="14"/>
        <v>100</v>
      </c>
      <c r="X32" s="1899"/>
      <c r="Y32" s="3024"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2"/>
      <c r="Q34" s="1898" t="str">
        <f t="shared" si="11"/>
        <v>建筑结构</v>
      </c>
      <c r="R34" s="753" t="s">
        <v>25</v>
      </c>
      <c r="S34" s="754">
        <f t="shared" si="12"/>
        <v>100</v>
      </c>
      <c r="T34" s="753" t="s">
        <v>25</v>
      </c>
      <c r="U34" s="754">
        <f t="shared" si="13"/>
        <v>100</v>
      </c>
      <c r="V34" s="753" t="s">
        <v>25</v>
      </c>
      <c r="W34" s="754">
        <f t="shared" si="14"/>
        <v>100</v>
      </c>
      <c r="X34" s="1899"/>
      <c r="Y34" s="3024"/>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2"/>
      <c r="Q35" s="1898" t="str">
        <f t="shared" si="11"/>
        <v>公共部分装修</v>
      </c>
      <c r="R35" s="753" t="s">
        <v>25</v>
      </c>
      <c r="S35" s="754">
        <f t="shared" si="12"/>
        <v>100</v>
      </c>
      <c r="T35" s="753" t="s">
        <v>25</v>
      </c>
      <c r="U35" s="754">
        <f t="shared" si="13"/>
        <v>100</v>
      </c>
      <c r="V35" s="753" t="s">
        <v>25</v>
      </c>
      <c r="W35" s="754">
        <f t="shared" si="14"/>
        <v>100</v>
      </c>
      <c r="X35" s="1899"/>
      <c r="Y35" s="3024"/>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2"/>
      <c r="Q36" s="1898" t="str">
        <f t="shared" si="11"/>
        <v>成新度</v>
      </c>
      <c r="R36" s="753" t="s">
        <v>25</v>
      </c>
      <c r="S36" s="754" t="e">
        <f t="shared" si="12"/>
        <v>#N/A</v>
      </c>
      <c r="T36" s="753" t="s">
        <v>25</v>
      </c>
      <c r="U36" s="754" t="e">
        <f t="shared" si="13"/>
        <v>#N/A</v>
      </c>
      <c r="V36" s="753" t="s">
        <v>25</v>
      </c>
      <c r="W36" s="754" t="e">
        <f t="shared" si="14"/>
        <v>#N/A</v>
      </c>
      <c r="X36" s="1899"/>
      <c r="Y36" s="3024"/>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2"/>
      <c r="Q37" s="1886"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2" t="s">
        <v>2370</v>
      </c>
      <c r="Q38" s="1898" t="str">
        <f t="shared" si="11"/>
        <v>业态</v>
      </c>
      <c r="R38" s="753" t="s">
        <v>25</v>
      </c>
      <c r="S38" s="754">
        <f t="shared" si="12"/>
        <v>100</v>
      </c>
      <c r="T38" s="753" t="s">
        <v>25</v>
      </c>
      <c r="U38" s="754">
        <f t="shared" si="13"/>
        <v>100</v>
      </c>
      <c r="V38" s="753" t="s">
        <v>25</v>
      </c>
      <c r="W38" s="754">
        <f t="shared" si="14"/>
        <v>100</v>
      </c>
      <c r="X38" s="1899"/>
      <c r="Y38" s="3024"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2"/>
      <c r="Q39" s="1898" t="str">
        <f t="shared" si="11"/>
        <v>层高</v>
      </c>
      <c r="R39" s="753" t="s">
        <v>25</v>
      </c>
      <c r="S39" s="754">
        <f t="shared" si="12"/>
        <v>100</v>
      </c>
      <c r="T39" s="753" t="s">
        <v>25</v>
      </c>
      <c r="U39" s="754">
        <f t="shared" si="13"/>
        <v>100</v>
      </c>
      <c r="V39" s="753" t="s">
        <v>25</v>
      </c>
      <c r="W39" s="754">
        <f t="shared" si="14"/>
        <v>100</v>
      </c>
      <c r="X39" s="1899"/>
      <c r="Y39" s="3024"/>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2"/>
      <c r="Q40" s="1898" t="str">
        <f t="shared" si="11"/>
        <v>单套建筑面积</v>
      </c>
      <c r="R40" s="753" t="s">
        <v>25</v>
      </c>
      <c r="S40" s="754">
        <f t="shared" si="12"/>
        <v>100</v>
      </c>
      <c r="T40" s="753" t="s">
        <v>25</v>
      </c>
      <c r="U40" s="754">
        <f t="shared" si="13"/>
        <v>100</v>
      </c>
      <c r="V40" s="753" t="s">
        <v>25</v>
      </c>
      <c r="W40" s="754">
        <f t="shared" si="14"/>
        <v>100</v>
      </c>
      <c r="X40" s="1899"/>
      <c r="Y40" s="3024"/>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2"/>
      <c r="Q42" s="1898" t="str">
        <f t="shared" si="11"/>
        <v>内部装修</v>
      </c>
      <c r="R42" s="753" t="s">
        <v>25</v>
      </c>
      <c r="S42" s="754">
        <f t="shared" si="12"/>
        <v>100</v>
      </c>
      <c r="T42" s="753" t="s">
        <v>25</v>
      </c>
      <c r="U42" s="754">
        <f t="shared" si="13"/>
        <v>100</v>
      </c>
      <c r="V42" s="753" t="s">
        <v>25</v>
      </c>
      <c r="W42" s="754">
        <f t="shared" si="14"/>
        <v>100</v>
      </c>
      <c r="X42" s="1899"/>
      <c r="Y42" s="3024"/>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2"/>
      <c r="Q43" s="1898" t="str">
        <f t="shared" si="11"/>
        <v>内部装修维护情况</v>
      </c>
      <c r="R43" s="753" t="s">
        <v>25</v>
      </c>
      <c r="S43" s="754">
        <f t="shared" si="12"/>
        <v>100</v>
      </c>
      <c r="T43" s="753" t="s">
        <v>25</v>
      </c>
      <c r="U43" s="754">
        <f t="shared" si="13"/>
        <v>100</v>
      </c>
      <c r="V43" s="753" t="s">
        <v>25</v>
      </c>
      <c r="W43" s="754">
        <f t="shared" si="14"/>
        <v>100</v>
      </c>
      <c r="X43" s="1899"/>
      <c r="Y43" s="3024"/>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2"/>
      <c r="Q44" s="1886">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2"/>
      <c r="Q45" s="1898">
        <f t="shared" si="11"/>
        <v>111</v>
      </c>
      <c r="R45" s="753" t="s">
        <v>25</v>
      </c>
      <c r="S45" s="754">
        <f t="shared" si="12"/>
        <v>100</v>
      </c>
      <c r="T45" s="753" t="s">
        <v>25</v>
      </c>
      <c r="U45" s="754">
        <f t="shared" si="13"/>
        <v>100</v>
      </c>
      <c r="V45" s="753" t="s">
        <v>25</v>
      </c>
      <c r="W45" s="754">
        <f t="shared" si="14"/>
        <v>100</v>
      </c>
      <c r="X45" s="1899"/>
      <c r="Y45" s="3024"/>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3"/>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v>
      </c>
      <c r="D58" s="1678">
        <f>EDATE(C58,-1)</f>
        <v>43070</v>
      </c>
      <c r="E58" s="1678">
        <f t="shared" ref="E58:O58" si="16">EDATE(D58,-1)</f>
        <v>43040</v>
      </c>
      <c r="F58" s="1678">
        <f t="shared" si="16"/>
        <v>43009</v>
      </c>
      <c r="G58" s="1678">
        <f t="shared" si="16"/>
        <v>42979</v>
      </c>
      <c r="H58" s="1678">
        <f t="shared" si="16"/>
        <v>42948</v>
      </c>
      <c r="I58" s="1678">
        <f t="shared" si="16"/>
        <v>42917</v>
      </c>
      <c r="J58" s="1678">
        <f t="shared" si="16"/>
        <v>42887</v>
      </c>
      <c r="K58" s="1678">
        <f t="shared" si="16"/>
        <v>42856</v>
      </c>
      <c r="L58" s="1678">
        <f t="shared" si="16"/>
        <v>42826</v>
      </c>
      <c r="M58" s="1678">
        <f t="shared" si="16"/>
        <v>42795</v>
      </c>
      <c r="N58" s="1678">
        <f t="shared" si="16"/>
        <v>42767</v>
      </c>
      <c r="O58" s="1678">
        <f t="shared" si="16"/>
        <v>42736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121.68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66" t="s">
        <v>2345</v>
      </c>
      <c r="Q4" s="3048"/>
      <c r="R4" s="3032" t="s">
        <v>2341</v>
      </c>
      <c r="S4" s="3033"/>
      <c r="T4" s="3032" t="s">
        <v>2342</v>
      </c>
      <c r="U4" s="3033"/>
      <c r="V4" s="3053" t="s">
        <v>2343</v>
      </c>
      <c r="W4" s="3053"/>
      <c r="X4" s="1899"/>
      <c r="Y4" s="3032" t="s">
        <v>2345</v>
      </c>
      <c r="Z4" s="3033"/>
      <c r="AA4" s="3040" t="s">
        <v>2341</v>
      </c>
      <c r="AB4" s="3040"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67"/>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68"/>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38"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8" t="s">
        <v>2356</v>
      </c>
      <c r="Q8" s="3031"/>
      <c r="R8" s="749" t="s">
        <v>25</v>
      </c>
      <c r="S8" s="750">
        <f t="shared" si="0"/>
        <v>0</v>
      </c>
      <c r="T8" s="749" t="s">
        <v>25</v>
      </c>
      <c r="U8" s="750">
        <f t="shared" si="1"/>
        <v>0</v>
      </c>
      <c r="V8" s="749" t="s">
        <v>25</v>
      </c>
      <c r="W8" s="750">
        <f t="shared" si="2"/>
        <v>0</v>
      </c>
      <c r="X8" s="751"/>
      <c r="Y8" s="3030" t="s">
        <v>2356</v>
      </c>
      <c r="Z8" s="303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4"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8" t="s">
        <v>2364</v>
      </c>
      <c r="Q15" s="1898" t="str">
        <f t="shared" si="6"/>
        <v>办公集聚程度</v>
      </c>
      <c r="R15" s="753" t="s">
        <v>25</v>
      </c>
      <c r="S15" s="754">
        <f t="shared" si="0"/>
        <v>100</v>
      </c>
      <c r="T15" s="753" t="s">
        <v>25</v>
      </c>
      <c r="U15" s="754">
        <f t="shared" si="1"/>
        <v>100</v>
      </c>
      <c r="V15" s="753" t="s">
        <v>25</v>
      </c>
      <c r="W15" s="754">
        <f t="shared" si="2"/>
        <v>100</v>
      </c>
      <c r="X15" s="1899"/>
      <c r="Y15" s="3019"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0"/>
      <c r="Q16" s="1898"/>
      <c r="R16" s="753"/>
      <c r="S16" s="754"/>
      <c r="T16" s="753"/>
      <c r="U16" s="754"/>
      <c r="V16" s="753"/>
      <c r="W16" s="754"/>
      <c r="X16" s="1899"/>
      <c r="Y16" s="3020"/>
      <c r="Z16" s="1901"/>
      <c r="AA16" s="1902">
        <v>1</v>
      </c>
      <c r="AB16" s="1902">
        <v>1</v>
      </c>
      <c r="AC16" s="1902">
        <v>1</v>
      </c>
    </row>
    <row r="17" spans="1:29" ht="99.75">
      <c r="A17" s="408"/>
      <c r="B17" s="615" t="s">
        <v>1749</v>
      </c>
      <c r="C17" s="2467" t="str">
        <f>估价对象房地状况!C6</f>
        <v>估价对象紧邻城市支路——天达路，周边有348路、411路、457路公交线路等，综合评价交通便捷度一般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0"/>
      <c r="Q18" s="1898"/>
      <c r="R18" s="753"/>
      <c r="S18" s="754"/>
      <c r="T18" s="753"/>
      <c r="U18" s="754"/>
      <c r="V18" s="753"/>
      <c r="W18" s="754"/>
      <c r="X18" s="1899"/>
      <c r="Y18" s="3020"/>
      <c r="Z18" s="1901"/>
      <c r="AA18" s="1902">
        <v>1</v>
      </c>
      <c r="AB18" s="1902">
        <v>1</v>
      </c>
      <c r="AC18" s="1902">
        <v>1</v>
      </c>
    </row>
    <row r="19" spans="1:29" ht="42.75">
      <c r="A19" s="408"/>
      <c r="B19" s="615" t="s">
        <v>2479</v>
      </c>
      <c r="C19" s="2467"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0"/>
      <c r="Q20" s="1898"/>
      <c r="R20" s="753"/>
      <c r="S20" s="754"/>
      <c r="T20" s="753"/>
      <c r="U20" s="754"/>
      <c r="V20" s="753"/>
      <c r="W20" s="754"/>
      <c r="X20" s="1899"/>
      <c r="Y20" s="3020"/>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0"/>
      <c r="Q22" s="1898"/>
      <c r="R22" s="753"/>
      <c r="S22" s="754"/>
      <c r="T22" s="753"/>
      <c r="U22" s="754"/>
      <c r="V22" s="753"/>
      <c r="W22" s="754"/>
      <c r="X22" s="1899"/>
      <c r="Y22" s="3020"/>
      <c r="Z22" s="1901"/>
      <c r="AA22" s="1902">
        <v>1</v>
      </c>
      <c r="AB22" s="1902">
        <v>1</v>
      </c>
      <c r="AC22" s="1902">
        <v>1</v>
      </c>
    </row>
    <row r="23" spans="1:29" ht="114">
      <c r="A23" s="408"/>
      <c r="B23" s="615" t="s">
        <v>2481</v>
      </c>
      <c r="C23" s="2467" t="str">
        <f>估价对象房地状况!C9</f>
        <v>自然环境：富力又一城公园、红军公园、郎各庄村休闲公园等；人文环境：估价对象周边人文环境较少，综合评价环境状况一般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0"/>
      <c r="Q24" s="1898"/>
      <c r="R24" s="753"/>
      <c r="S24" s="754"/>
      <c r="T24" s="753"/>
      <c r="U24" s="754"/>
      <c r="V24" s="753"/>
      <c r="W24" s="754"/>
      <c r="X24" s="1899"/>
      <c r="Y24" s="3020"/>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0"/>
      <c r="Q25" s="1898" t="str">
        <f>B25</f>
        <v>毗邻道路的类型与等级</v>
      </c>
      <c r="R25" s="753" t="s">
        <v>25</v>
      </c>
      <c r="S25" s="754">
        <f>F25</f>
        <v>100</v>
      </c>
      <c r="T25" s="753" t="s">
        <v>25</v>
      </c>
      <c r="U25" s="754">
        <f>H25</f>
        <v>100</v>
      </c>
      <c r="V25" s="753" t="s">
        <v>25</v>
      </c>
      <c r="W25" s="754">
        <f>J25</f>
        <v>100</v>
      </c>
      <c r="X25" s="1899"/>
      <c r="Y25" s="302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0"/>
      <c r="Q26" s="1898"/>
      <c r="R26" s="753"/>
      <c r="S26" s="754"/>
      <c r="T26" s="753"/>
      <c r="U26" s="754"/>
      <c r="V26" s="753"/>
      <c r="W26" s="754"/>
      <c r="X26" s="1899"/>
      <c r="Y26" s="3020"/>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0"/>
      <c r="Q27" s="1898" t="str">
        <f t="shared" ref="Q27:Q47" si="11">B27</f>
        <v>楼层</v>
      </c>
      <c r="R27" s="753" t="s">
        <v>25</v>
      </c>
      <c r="S27" s="754">
        <f>F27</f>
        <v>100</v>
      </c>
      <c r="T27" s="753" t="s">
        <v>25</v>
      </c>
      <c r="U27" s="754">
        <f>H27</f>
        <v>100</v>
      </c>
      <c r="V27" s="753" t="s">
        <v>25</v>
      </c>
      <c r="W27" s="754">
        <f>J27</f>
        <v>100</v>
      </c>
      <c r="X27" s="1899"/>
      <c r="Y27" s="3020"/>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0"/>
      <c r="Q28" s="1886" t="str">
        <f t="shared" si="11"/>
        <v>朝向</v>
      </c>
      <c r="R28" s="749" t="s">
        <v>25</v>
      </c>
      <c r="S28" s="750">
        <f>F28</f>
        <v>100</v>
      </c>
      <c r="T28" s="749" t="s">
        <v>25</v>
      </c>
      <c r="U28" s="750">
        <f>H28</f>
        <v>100</v>
      </c>
      <c r="V28" s="749" t="s">
        <v>25</v>
      </c>
      <c r="W28" s="750">
        <f>J28</f>
        <v>100</v>
      </c>
      <c r="X28" s="751"/>
      <c r="Y28" s="3020"/>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0"/>
      <c r="Q29" s="1898">
        <f t="shared" si="11"/>
        <v>111</v>
      </c>
      <c r="R29" s="753" t="s">
        <v>25</v>
      </c>
      <c r="S29" s="754">
        <f t="shared" ref="S29:S47" si="12">F29</f>
        <v>100</v>
      </c>
      <c r="T29" s="753" t="s">
        <v>25</v>
      </c>
      <c r="U29" s="754">
        <f t="shared" ref="U29:U47" si="13">H29</f>
        <v>100</v>
      </c>
      <c r="V29" s="753" t="s">
        <v>25</v>
      </c>
      <c r="W29" s="754">
        <f t="shared" ref="W29:W47" si="14">J29</f>
        <v>100</v>
      </c>
      <c r="X29" s="1899"/>
      <c r="Y29" s="3020"/>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0"/>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0"/>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0"/>
      <c r="Q32" s="1898">
        <f t="shared" si="11"/>
        <v>111</v>
      </c>
      <c r="R32" s="753" t="s">
        <v>25</v>
      </c>
      <c r="S32" s="754">
        <f t="shared" si="12"/>
        <v>100</v>
      </c>
      <c r="T32" s="753" t="s">
        <v>25</v>
      </c>
      <c r="U32" s="754">
        <f t="shared" si="13"/>
        <v>100</v>
      </c>
      <c r="V32" s="753" t="s">
        <v>25</v>
      </c>
      <c r="W32" s="754">
        <f t="shared" si="14"/>
        <v>100</v>
      </c>
      <c r="X32" s="1899"/>
      <c r="Y32" s="3020"/>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3" t="s">
        <v>2370</v>
      </c>
      <c r="Q33" s="1898" t="str">
        <f t="shared" si="11"/>
        <v>建筑类型</v>
      </c>
      <c r="R33" s="753" t="s">
        <v>25</v>
      </c>
      <c r="S33" s="754">
        <f t="shared" si="12"/>
        <v>100</v>
      </c>
      <c r="T33" s="753" t="s">
        <v>25</v>
      </c>
      <c r="U33" s="754">
        <f t="shared" si="13"/>
        <v>100</v>
      </c>
      <c r="V33" s="753" t="s">
        <v>25</v>
      </c>
      <c r="W33" s="754">
        <f t="shared" si="14"/>
        <v>100</v>
      </c>
      <c r="X33" s="1899"/>
      <c r="Y33" s="3024"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4"/>
      <c r="Q35" s="1898" t="str">
        <f t="shared" si="11"/>
        <v>建筑结构</v>
      </c>
      <c r="R35" s="753" t="s">
        <v>25</v>
      </c>
      <c r="S35" s="754">
        <f t="shared" si="12"/>
        <v>100</v>
      </c>
      <c r="T35" s="753" t="s">
        <v>25</v>
      </c>
      <c r="U35" s="754">
        <f t="shared" si="13"/>
        <v>100</v>
      </c>
      <c r="V35" s="753" t="s">
        <v>25</v>
      </c>
      <c r="W35" s="754">
        <f t="shared" si="14"/>
        <v>100</v>
      </c>
      <c r="X35" s="1899"/>
      <c r="Y35" s="3024"/>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4"/>
      <c r="Q36" s="1898" t="str">
        <f t="shared" si="11"/>
        <v>公共部分装修</v>
      </c>
      <c r="R36" s="753" t="s">
        <v>25</v>
      </c>
      <c r="S36" s="754">
        <f t="shared" si="12"/>
        <v>100</v>
      </c>
      <c r="T36" s="753" t="s">
        <v>25</v>
      </c>
      <c r="U36" s="754">
        <f t="shared" si="13"/>
        <v>100</v>
      </c>
      <c r="V36" s="753" t="s">
        <v>25</v>
      </c>
      <c r="W36" s="754">
        <f t="shared" si="14"/>
        <v>100</v>
      </c>
      <c r="X36" s="1899"/>
      <c r="Y36" s="3024"/>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4"/>
      <c r="Q37" s="1898" t="str">
        <f t="shared" si="11"/>
        <v>成新度</v>
      </c>
      <c r="R37" s="753" t="s">
        <v>25</v>
      </c>
      <c r="S37" s="754" t="e">
        <f t="shared" si="12"/>
        <v>#N/A</v>
      </c>
      <c r="T37" s="753" t="s">
        <v>25</v>
      </c>
      <c r="U37" s="754" t="e">
        <f t="shared" si="13"/>
        <v>#N/A</v>
      </c>
      <c r="V37" s="753" t="s">
        <v>25</v>
      </c>
      <c r="W37" s="754" t="e">
        <f t="shared" si="14"/>
        <v>#N/A</v>
      </c>
      <c r="X37" s="1899"/>
      <c r="Y37" s="3024"/>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4"/>
      <c r="Q38" s="1886"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4" t="s">
        <v>2370</v>
      </c>
      <c r="Q39" s="1898" t="str">
        <f t="shared" si="11"/>
        <v>物业管理</v>
      </c>
      <c r="R39" s="753" t="s">
        <v>25</v>
      </c>
      <c r="S39" s="754">
        <f t="shared" si="12"/>
        <v>100</v>
      </c>
      <c r="T39" s="753" t="s">
        <v>25</v>
      </c>
      <c r="U39" s="754">
        <f t="shared" si="13"/>
        <v>100</v>
      </c>
      <c r="V39" s="753" t="s">
        <v>25</v>
      </c>
      <c r="W39" s="754">
        <f t="shared" si="14"/>
        <v>100</v>
      </c>
      <c r="X39" s="1899"/>
      <c r="Y39" s="3024"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4"/>
      <c r="Q40" s="1898" t="str">
        <f t="shared" si="11"/>
        <v>市政基础设施</v>
      </c>
      <c r="R40" s="753" t="s">
        <v>25</v>
      </c>
      <c r="S40" s="754">
        <f t="shared" si="12"/>
        <v>100</v>
      </c>
      <c r="T40" s="753" t="s">
        <v>25</v>
      </c>
      <c r="U40" s="754">
        <f t="shared" si="13"/>
        <v>100</v>
      </c>
      <c r="V40" s="753" t="s">
        <v>25</v>
      </c>
      <c r="W40" s="754">
        <f t="shared" si="14"/>
        <v>100</v>
      </c>
      <c r="X40" s="1899"/>
      <c r="Y40" s="3024"/>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4"/>
      <c r="Q41" s="1898" t="str">
        <f t="shared" si="11"/>
        <v>层高</v>
      </c>
      <c r="R41" s="753" t="s">
        <v>25</v>
      </c>
      <c r="S41" s="754">
        <f t="shared" si="12"/>
        <v>100</v>
      </c>
      <c r="T41" s="753" t="s">
        <v>25</v>
      </c>
      <c r="U41" s="754">
        <f t="shared" si="13"/>
        <v>100</v>
      </c>
      <c r="V41" s="753" t="s">
        <v>25</v>
      </c>
      <c r="W41" s="754">
        <f t="shared" si="14"/>
        <v>100</v>
      </c>
      <c r="X41" s="1899"/>
      <c r="Y41" s="3024"/>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4"/>
      <c r="Q43" s="1898" t="str">
        <f t="shared" si="11"/>
        <v>内部装修</v>
      </c>
      <c r="R43" s="753" t="s">
        <v>25</v>
      </c>
      <c r="S43" s="754">
        <f t="shared" si="12"/>
        <v>100</v>
      </c>
      <c r="T43" s="753" t="s">
        <v>25</v>
      </c>
      <c r="U43" s="754">
        <f t="shared" si="13"/>
        <v>100</v>
      </c>
      <c r="V43" s="753" t="s">
        <v>25</v>
      </c>
      <c r="W43" s="754">
        <f t="shared" si="14"/>
        <v>100</v>
      </c>
      <c r="X43" s="1899"/>
      <c r="Y43" s="3024"/>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4"/>
      <c r="Q44" s="1898" t="str">
        <f t="shared" si="11"/>
        <v>内部装修维护情况</v>
      </c>
      <c r="R44" s="753" t="s">
        <v>25</v>
      </c>
      <c r="S44" s="754">
        <f t="shared" si="12"/>
        <v>100</v>
      </c>
      <c r="T44" s="753" t="s">
        <v>25</v>
      </c>
      <c r="U44" s="754">
        <f t="shared" si="13"/>
        <v>100</v>
      </c>
      <c r="V44" s="753" t="s">
        <v>25</v>
      </c>
      <c r="W44" s="754">
        <f t="shared" si="14"/>
        <v>100</v>
      </c>
      <c r="X44" s="1899"/>
      <c r="Y44" s="3024"/>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4"/>
      <c r="Q45" s="1886">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4"/>
      <c r="Q46" s="1898">
        <f t="shared" si="11"/>
        <v>111</v>
      </c>
      <c r="R46" s="753" t="s">
        <v>25</v>
      </c>
      <c r="S46" s="754">
        <f t="shared" si="12"/>
        <v>100</v>
      </c>
      <c r="T46" s="753" t="s">
        <v>25</v>
      </c>
      <c r="U46" s="754">
        <f t="shared" si="13"/>
        <v>100</v>
      </c>
      <c r="V46" s="753" t="s">
        <v>25</v>
      </c>
      <c r="W46" s="754">
        <f t="shared" si="14"/>
        <v>100</v>
      </c>
      <c r="X46" s="1899"/>
      <c r="Y46" s="3024"/>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5"/>
      <c r="Q47" s="1898">
        <f t="shared" si="11"/>
        <v>111</v>
      </c>
      <c r="R47" s="753" t="s">
        <v>25</v>
      </c>
      <c r="S47" s="754">
        <f t="shared" si="12"/>
        <v>100</v>
      </c>
      <c r="T47" s="753" t="s">
        <v>25</v>
      </c>
      <c r="U47" s="754">
        <f t="shared" si="13"/>
        <v>100</v>
      </c>
      <c r="V47" s="753" t="s">
        <v>25</v>
      </c>
      <c r="W47" s="754">
        <f t="shared" si="14"/>
        <v>100</v>
      </c>
      <c r="X47" s="1899"/>
      <c r="Y47" s="3025"/>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v>
      </c>
      <c r="D59" s="1678">
        <f>EDATE(C59,-1)</f>
        <v>43070</v>
      </c>
      <c r="E59" s="1678">
        <f t="shared" ref="E59:O59" si="16">EDATE(D59,-1)</f>
        <v>43040</v>
      </c>
      <c r="F59" s="1678">
        <f t="shared" si="16"/>
        <v>43009</v>
      </c>
      <c r="G59" s="1678">
        <f t="shared" si="16"/>
        <v>42979</v>
      </c>
      <c r="H59" s="1678">
        <f t="shared" si="16"/>
        <v>42948</v>
      </c>
      <c r="I59" s="1678">
        <f t="shared" si="16"/>
        <v>42917</v>
      </c>
      <c r="J59" s="1678">
        <f t="shared" si="16"/>
        <v>42887</v>
      </c>
      <c r="K59" s="1678">
        <f t="shared" si="16"/>
        <v>42856</v>
      </c>
      <c r="L59" s="1678">
        <f t="shared" si="16"/>
        <v>42826</v>
      </c>
      <c r="M59" s="1678">
        <f t="shared" si="16"/>
        <v>42795</v>
      </c>
      <c r="N59" s="1678">
        <f t="shared" si="16"/>
        <v>42767</v>
      </c>
      <c r="O59" s="1678">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121.68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0" t="s">
        <v>2356</v>
      </c>
      <c r="Q8" s="3031"/>
      <c r="R8" s="749" t="s">
        <v>25</v>
      </c>
      <c r="S8" s="750">
        <f t="shared" si="0"/>
        <v>100</v>
      </c>
      <c r="T8" s="749" t="s">
        <v>25</v>
      </c>
      <c r="U8" s="750">
        <f t="shared" si="1"/>
        <v>100</v>
      </c>
      <c r="V8" s="749" t="s">
        <v>25</v>
      </c>
      <c r="W8" s="750">
        <f t="shared" si="2"/>
        <v>100</v>
      </c>
      <c r="X8" s="751"/>
      <c r="Y8" s="3030" t="s">
        <v>2356</v>
      </c>
      <c r="Z8" s="303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0"/>
      <c r="Q18" s="1898"/>
      <c r="R18" s="753"/>
      <c r="S18" s="754"/>
      <c r="T18" s="753"/>
      <c r="U18" s="754"/>
      <c r="V18" s="753"/>
      <c r="W18" s="754"/>
      <c r="X18" s="1899"/>
      <c r="Y18" s="3020"/>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0"/>
      <c r="Q20" s="1898"/>
      <c r="R20" s="753"/>
      <c r="S20" s="754"/>
      <c r="T20" s="753"/>
      <c r="U20" s="754"/>
      <c r="V20" s="753"/>
      <c r="W20" s="754"/>
      <c r="X20" s="1899"/>
      <c r="Y20" s="3020"/>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0"/>
      <c r="Q22" s="1898"/>
      <c r="R22" s="753"/>
      <c r="S22" s="754"/>
      <c r="T22" s="753"/>
      <c r="U22" s="754"/>
      <c r="V22" s="753"/>
      <c r="W22" s="754"/>
      <c r="X22" s="1899"/>
      <c r="Y22" s="3020"/>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0"/>
      <c r="Q24" s="1898"/>
      <c r="R24" s="753"/>
      <c r="S24" s="754"/>
      <c r="T24" s="753"/>
      <c r="U24" s="754"/>
      <c r="V24" s="753"/>
      <c r="W24" s="754"/>
      <c r="X24" s="1899"/>
      <c r="Y24" s="302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0"/>
      <c r="Q25" s="1898">
        <f>B25</f>
        <v>111</v>
      </c>
      <c r="R25" s="753" t="s">
        <v>25</v>
      </c>
      <c r="S25" s="754">
        <f>F25</f>
        <v>100</v>
      </c>
      <c r="T25" s="753" t="s">
        <v>25</v>
      </c>
      <c r="U25" s="754">
        <f>H25</f>
        <v>100</v>
      </c>
      <c r="V25" s="753" t="s">
        <v>25</v>
      </c>
      <c r="W25" s="754">
        <f>J25</f>
        <v>100</v>
      </c>
      <c r="X25" s="1899"/>
      <c r="Y25" s="302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0"/>
      <c r="Q26" s="1898">
        <f t="shared" ref="Q26:Q40" si="11">B26</f>
        <v>111</v>
      </c>
      <c r="R26" s="753" t="s">
        <v>25</v>
      </c>
      <c r="S26" s="754">
        <f>F26</f>
        <v>100</v>
      </c>
      <c r="T26" s="753" t="s">
        <v>25</v>
      </c>
      <c r="U26" s="754">
        <f>H26</f>
        <v>100</v>
      </c>
      <c r="V26" s="753" t="s">
        <v>25</v>
      </c>
      <c r="W26" s="754">
        <f>J26</f>
        <v>100</v>
      </c>
      <c r="X26" s="1899"/>
      <c r="Y26" s="302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0"/>
      <c r="Q27" s="1886">
        <f t="shared" si="11"/>
        <v>111</v>
      </c>
      <c r="R27" s="749" t="s">
        <v>25</v>
      </c>
      <c r="S27" s="750">
        <f>F27</f>
        <v>100</v>
      </c>
      <c r="T27" s="749" t="s">
        <v>25</v>
      </c>
      <c r="U27" s="750">
        <f>H27</f>
        <v>100</v>
      </c>
      <c r="V27" s="749" t="s">
        <v>25</v>
      </c>
      <c r="W27" s="750">
        <f>J27</f>
        <v>100</v>
      </c>
      <c r="X27" s="751"/>
      <c r="Y27" s="302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0"/>
      <c r="Q28" s="1898">
        <f t="shared" si="11"/>
        <v>111</v>
      </c>
      <c r="R28" s="753" t="s">
        <v>25</v>
      </c>
      <c r="S28" s="754">
        <f t="shared" ref="S28:S40" si="12">F28</f>
        <v>100</v>
      </c>
      <c r="T28" s="753" t="s">
        <v>25</v>
      </c>
      <c r="U28" s="754">
        <f t="shared" ref="U28:U40" si="13">H28</f>
        <v>100</v>
      </c>
      <c r="V28" s="753" t="s">
        <v>25</v>
      </c>
      <c r="W28" s="754">
        <f t="shared" ref="W28:W40" si="14">J28</f>
        <v>100</v>
      </c>
      <c r="X28" s="1899"/>
      <c r="Y28" s="3020"/>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9" t="s">
        <v>2370</v>
      </c>
      <c r="Q29" s="1898" t="str">
        <f t="shared" si="11"/>
        <v>建筑类型</v>
      </c>
      <c r="R29" s="753" t="s">
        <v>25</v>
      </c>
      <c r="S29" s="754">
        <f t="shared" si="12"/>
        <v>100</v>
      </c>
      <c r="T29" s="753" t="s">
        <v>25</v>
      </c>
      <c r="U29" s="754">
        <f t="shared" si="13"/>
        <v>100</v>
      </c>
      <c r="V29" s="753" t="s">
        <v>25</v>
      </c>
      <c r="W29" s="754">
        <f t="shared" si="14"/>
        <v>100</v>
      </c>
      <c r="X29" s="1899"/>
      <c r="Y29" s="3024"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4"/>
      <c r="Q31" s="1898" t="str">
        <f t="shared" si="11"/>
        <v>建筑结构</v>
      </c>
      <c r="R31" s="753" t="s">
        <v>25</v>
      </c>
      <c r="S31" s="754">
        <f t="shared" si="12"/>
        <v>100</v>
      </c>
      <c r="T31" s="753" t="s">
        <v>25</v>
      </c>
      <c r="U31" s="754">
        <f t="shared" si="13"/>
        <v>100</v>
      </c>
      <c r="V31" s="753" t="s">
        <v>25</v>
      </c>
      <c r="W31" s="754">
        <f t="shared" si="14"/>
        <v>100</v>
      </c>
      <c r="X31" s="1899"/>
      <c r="Y31" s="3024"/>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4"/>
      <c r="Q32" s="1898" t="str">
        <f t="shared" si="11"/>
        <v>公共部分装修</v>
      </c>
      <c r="R32" s="753" t="s">
        <v>25</v>
      </c>
      <c r="S32" s="754">
        <f t="shared" si="12"/>
        <v>100</v>
      </c>
      <c r="T32" s="753" t="s">
        <v>25</v>
      </c>
      <c r="U32" s="754">
        <f t="shared" si="13"/>
        <v>100</v>
      </c>
      <c r="V32" s="753" t="s">
        <v>25</v>
      </c>
      <c r="W32" s="754">
        <f t="shared" si="14"/>
        <v>100</v>
      </c>
      <c r="X32" s="1899"/>
      <c r="Y32" s="3024"/>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4"/>
      <c r="Q33" s="1898" t="str">
        <f t="shared" si="11"/>
        <v>成新度</v>
      </c>
      <c r="R33" s="753" t="s">
        <v>25</v>
      </c>
      <c r="S33" s="754" t="e">
        <f t="shared" si="12"/>
        <v>#N/A</v>
      </c>
      <c r="T33" s="753" t="s">
        <v>25</v>
      </c>
      <c r="U33" s="754" t="e">
        <f t="shared" si="13"/>
        <v>#N/A</v>
      </c>
      <c r="V33" s="753" t="s">
        <v>25</v>
      </c>
      <c r="W33" s="754" t="e">
        <f t="shared" si="14"/>
        <v>#N/A</v>
      </c>
      <c r="X33" s="1899"/>
      <c r="Y33" s="3024"/>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4"/>
      <c r="Q34" s="1886"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4" t="s">
        <v>2370</v>
      </c>
      <c r="Q35" s="1898" t="str">
        <f t="shared" si="11"/>
        <v>市政基础设施</v>
      </c>
      <c r="R35" s="753" t="s">
        <v>25</v>
      </c>
      <c r="S35" s="754">
        <f t="shared" si="12"/>
        <v>100</v>
      </c>
      <c r="T35" s="753" t="s">
        <v>25</v>
      </c>
      <c r="U35" s="754">
        <f t="shared" si="13"/>
        <v>100</v>
      </c>
      <c r="V35" s="753" t="s">
        <v>25</v>
      </c>
      <c r="W35" s="754">
        <f t="shared" si="14"/>
        <v>100</v>
      </c>
      <c r="X35" s="1899"/>
      <c r="Y35" s="3024"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4"/>
      <c r="Q36" s="1898" t="str">
        <f t="shared" si="11"/>
        <v>内部装修</v>
      </c>
      <c r="R36" s="753" t="s">
        <v>25</v>
      </c>
      <c r="S36" s="754">
        <f t="shared" si="12"/>
        <v>100</v>
      </c>
      <c r="T36" s="753" t="s">
        <v>25</v>
      </c>
      <c r="U36" s="754">
        <f t="shared" si="13"/>
        <v>100</v>
      </c>
      <c r="V36" s="753" t="s">
        <v>25</v>
      </c>
      <c r="W36" s="754">
        <f t="shared" si="14"/>
        <v>100</v>
      </c>
      <c r="X36" s="1899"/>
      <c r="Y36" s="3024"/>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4"/>
      <c r="Q37" s="1898" t="str">
        <f t="shared" si="11"/>
        <v>内部装修状况</v>
      </c>
      <c r="R37" s="753" t="s">
        <v>25</v>
      </c>
      <c r="S37" s="754">
        <f t="shared" si="12"/>
        <v>0</v>
      </c>
      <c r="T37" s="753" t="s">
        <v>25</v>
      </c>
      <c r="U37" s="754">
        <f t="shared" si="13"/>
        <v>0</v>
      </c>
      <c r="V37" s="753" t="s">
        <v>25</v>
      </c>
      <c r="W37" s="754">
        <f t="shared" si="14"/>
        <v>0</v>
      </c>
      <c r="X37" s="1899"/>
      <c r="Y37" s="3024"/>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4"/>
      <c r="Q39" s="1898">
        <f t="shared" si="11"/>
        <v>111</v>
      </c>
      <c r="R39" s="753" t="s">
        <v>25</v>
      </c>
      <c r="S39" s="754">
        <f t="shared" si="12"/>
        <v>100</v>
      </c>
      <c r="T39" s="753" t="s">
        <v>25</v>
      </c>
      <c r="U39" s="754">
        <f t="shared" si="13"/>
        <v>100</v>
      </c>
      <c r="V39" s="753" t="s">
        <v>25</v>
      </c>
      <c r="W39" s="754">
        <f t="shared" si="14"/>
        <v>100</v>
      </c>
      <c r="X39" s="1899"/>
      <c r="Y39" s="3024"/>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5"/>
      <c r="Q40" s="1898">
        <f t="shared" si="11"/>
        <v>111</v>
      </c>
      <c r="R40" s="753" t="s">
        <v>25</v>
      </c>
      <c r="S40" s="754">
        <f t="shared" si="12"/>
        <v>100</v>
      </c>
      <c r="T40" s="753" t="s">
        <v>25</v>
      </c>
      <c r="U40" s="754">
        <f t="shared" si="13"/>
        <v>100</v>
      </c>
      <c r="V40" s="753" t="s">
        <v>25</v>
      </c>
      <c r="W40" s="754">
        <f t="shared" si="14"/>
        <v>100</v>
      </c>
      <c r="X40" s="1899"/>
      <c r="Y40" s="3025"/>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v>
      </c>
      <c r="D52" s="1678">
        <f>EDATE(C52,-1)</f>
        <v>43070</v>
      </c>
      <c r="E52" s="1679">
        <f t="shared" ref="E52:O52" si="16">EDATE(D52,-1)</f>
        <v>43040</v>
      </c>
      <c r="F52" s="1679">
        <f t="shared" si="16"/>
        <v>43009</v>
      </c>
      <c r="G52" s="1679">
        <f t="shared" si="16"/>
        <v>42979</v>
      </c>
      <c r="H52" s="1679">
        <f t="shared" si="16"/>
        <v>42948</v>
      </c>
      <c r="I52" s="1679">
        <f t="shared" si="16"/>
        <v>42917</v>
      </c>
      <c r="J52" s="1679">
        <f t="shared" si="16"/>
        <v>42887</v>
      </c>
      <c r="K52" s="1679">
        <f t="shared" si="16"/>
        <v>42856</v>
      </c>
      <c r="L52" s="1679">
        <f t="shared" si="16"/>
        <v>42826</v>
      </c>
      <c r="M52" s="1679">
        <f t="shared" si="16"/>
        <v>42795</v>
      </c>
      <c r="N52" s="1679">
        <f t="shared" si="16"/>
        <v>42767</v>
      </c>
      <c r="O52" s="1679">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121.68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513"/>
      <c r="M4" s="425"/>
      <c r="N4" s="425"/>
      <c r="O4" s="425"/>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513"/>
      <c r="M5" s="425"/>
      <c r="N5" s="425"/>
      <c r="O5" s="425"/>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513"/>
      <c r="M6" s="425"/>
      <c r="N6" s="425"/>
      <c r="O6" s="425"/>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0" t="s">
        <v>2356</v>
      </c>
      <c r="Q8" s="3031"/>
      <c r="R8" s="749" t="s">
        <v>25</v>
      </c>
      <c r="S8" s="750">
        <f t="shared" si="0"/>
        <v>0</v>
      </c>
      <c r="T8" s="749" t="s">
        <v>25</v>
      </c>
      <c r="U8" s="750">
        <f t="shared" si="1"/>
        <v>0</v>
      </c>
      <c r="V8" s="749" t="s">
        <v>25</v>
      </c>
      <c r="W8" s="750">
        <f t="shared" si="2"/>
        <v>0</v>
      </c>
      <c r="X8" s="751"/>
      <c r="Y8" s="3030" t="s">
        <v>2356</v>
      </c>
      <c r="Z8" s="303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99.75">
      <c r="A14" s="380" t="s">
        <v>2363</v>
      </c>
      <c r="B14" s="613" t="s">
        <v>2507</v>
      </c>
      <c r="C14" s="1479" t="str">
        <f>IF(B1="工业",估价对象房地状况!G4,估价对象房地状况!C6)</f>
        <v>估价对象紧邻城市支路——天达路，周边有348路、411路、457路公交线路等，综合评价交通便捷度一般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0"/>
      <c r="Q15" s="1898"/>
      <c r="R15" s="753"/>
      <c r="S15" s="754"/>
      <c r="T15" s="753"/>
      <c r="U15" s="754"/>
      <c r="V15" s="753"/>
      <c r="W15" s="754"/>
      <c r="X15" s="1899"/>
      <c r="Y15" s="3020"/>
      <c r="Z15" s="1901"/>
      <c r="AA15" s="1902">
        <v>1</v>
      </c>
      <c r="AB15" s="1902">
        <v>1</v>
      </c>
      <c r="AC15" s="1902">
        <v>1</v>
      </c>
    </row>
    <row r="16" spans="1:29" ht="42.75">
      <c r="A16" s="383"/>
      <c r="B16" s="615" t="s">
        <v>2479</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0"/>
      <c r="Q17" s="1898"/>
      <c r="R17" s="753"/>
      <c r="S17" s="754"/>
      <c r="T17" s="753"/>
      <c r="U17" s="754"/>
      <c r="V17" s="753"/>
      <c r="W17" s="754"/>
      <c r="X17" s="1899"/>
      <c r="Y17" s="3020"/>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0"/>
      <c r="Q19" s="1898"/>
      <c r="R19" s="753"/>
      <c r="S19" s="754"/>
      <c r="T19" s="753"/>
      <c r="U19" s="754"/>
      <c r="V19" s="753"/>
      <c r="W19" s="754"/>
      <c r="X19" s="1899"/>
      <c r="Y19" s="3020"/>
      <c r="Z19" s="1901"/>
      <c r="AA19" s="1902">
        <v>1</v>
      </c>
      <c r="AB19" s="1902">
        <v>1</v>
      </c>
      <c r="AC19" s="1902">
        <v>1</v>
      </c>
    </row>
    <row r="20" spans="1:29" ht="114">
      <c r="A20" s="383"/>
      <c r="B20" s="615" t="s">
        <v>2508</v>
      </c>
      <c r="C20" s="1481" t="str">
        <f>IF(B1="工业",估价对象房地状况!G7,估价对象房地状况!C9)</f>
        <v>自然环境：富力又一城公园、红军公园、郎各庄村休闲公园等；人文环境：估价对象周边人文环境较少，综合评价环境状况一般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0"/>
      <c r="Q21" s="1898"/>
      <c r="R21" s="753"/>
      <c r="S21" s="754"/>
      <c r="T21" s="753"/>
      <c r="U21" s="754"/>
      <c r="V21" s="753"/>
      <c r="W21" s="754"/>
      <c r="X21" s="1899"/>
      <c r="Y21" s="3020"/>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0"/>
      <c r="Q24" s="1898">
        <f t="shared" ref="Q24:Q36"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4"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4"/>
      <c r="Q28" s="1898" t="str">
        <f t="shared" si="11"/>
        <v>公共部分装修</v>
      </c>
      <c r="R28" s="753" t="s">
        <v>25</v>
      </c>
      <c r="S28" s="754">
        <f t="shared" si="12"/>
        <v>100</v>
      </c>
      <c r="T28" s="753" t="s">
        <v>25</v>
      </c>
      <c r="U28" s="754">
        <f t="shared" si="13"/>
        <v>100</v>
      </c>
      <c r="V28" s="753" t="s">
        <v>25</v>
      </c>
      <c r="W28" s="754">
        <f t="shared" si="14"/>
        <v>100</v>
      </c>
      <c r="X28" s="1899"/>
      <c r="Y28" s="3024"/>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4"/>
      <c r="Q29" s="1898" t="str">
        <f t="shared" si="11"/>
        <v>成新率</v>
      </c>
      <c r="R29" s="753" t="s">
        <v>25</v>
      </c>
      <c r="S29" s="754" t="e">
        <f t="shared" si="12"/>
        <v>#N/A</v>
      </c>
      <c r="T29" s="753" t="s">
        <v>25</v>
      </c>
      <c r="U29" s="754" t="e">
        <f t="shared" si="13"/>
        <v>#N/A</v>
      </c>
      <c r="V29" s="753" t="s">
        <v>25</v>
      </c>
      <c r="W29" s="754" t="e">
        <f t="shared" si="14"/>
        <v>#N/A</v>
      </c>
      <c r="X29" s="1899"/>
      <c r="Y29" s="3024"/>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4"/>
      <c r="Q30" s="1898" t="str">
        <f t="shared" si="11"/>
        <v>物业等级</v>
      </c>
      <c r="R30" s="753" t="s">
        <v>25</v>
      </c>
      <c r="S30" s="754">
        <f t="shared" si="12"/>
        <v>100</v>
      </c>
      <c r="T30" s="753" t="s">
        <v>25</v>
      </c>
      <c r="U30" s="754">
        <f t="shared" si="13"/>
        <v>100</v>
      </c>
      <c r="V30" s="753" t="s">
        <v>25</v>
      </c>
      <c r="W30" s="754">
        <f t="shared" si="14"/>
        <v>100</v>
      </c>
      <c r="X30" s="1899"/>
      <c r="Y30" s="3024"/>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4"/>
      <c r="Q31" s="1886"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4" t="s">
        <v>2370</v>
      </c>
      <c r="Q32" s="1898" t="str">
        <f t="shared" si="11"/>
        <v>车位类型</v>
      </c>
      <c r="R32" s="753" t="s">
        <v>25</v>
      </c>
      <c r="S32" s="754">
        <f t="shared" si="12"/>
        <v>100</v>
      </c>
      <c r="T32" s="753" t="s">
        <v>25</v>
      </c>
      <c r="U32" s="754">
        <f t="shared" si="13"/>
        <v>100</v>
      </c>
      <c r="V32" s="753" t="s">
        <v>25</v>
      </c>
      <c r="W32" s="754">
        <f t="shared" si="14"/>
        <v>100</v>
      </c>
      <c r="X32" s="1899"/>
      <c r="Y32" s="3024"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4"/>
      <c r="Q33" s="1898" t="str">
        <f t="shared" si="11"/>
        <v>是否直接入户</v>
      </c>
      <c r="R33" s="753" t="s">
        <v>25</v>
      </c>
      <c r="S33" s="754">
        <f t="shared" si="12"/>
        <v>100</v>
      </c>
      <c r="T33" s="753" t="s">
        <v>25</v>
      </c>
      <c r="U33" s="754">
        <f t="shared" si="13"/>
        <v>100</v>
      </c>
      <c r="V33" s="753" t="s">
        <v>25</v>
      </c>
      <c r="W33" s="754">
        <f t="shared" si="14"/>
        <v>100</v>
      </c>
      <c r="X33" s="1899"/>
      <c r="Y33" s="302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4"/>
      <c r="Q36" s="1898">
        <f t="shared" si="11"/>
        <v>111</v>
      </c>
      <c r="R36" s="753" t="s">
        <v>25</v>
      </c>
      <c r="S36" s="754">
        <f t="shared" si="12"/>
        <v>100</v>
      </c>
      <c r="T36" s="753" t="s">
        <v>25</v>
      </c>
      <c r="U36" s="754">
        <f t="shared" si="13"/>
        <v>100</v>
      </c>
      <c r="V36" s="753" t="s">
        <v>25</v>
      </c>
      <c r="W36" s="754">
        <f t="shared" si="14"/>
        <v>100</v>
      </c>
      <c r="X36" s="1899"/>
      <c r="Y36" s="3024"/>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v>
      </c>
      <c r="D48" s="1678">
        <f>EDATE(C48,-1)</f>
        <v>43070</v>
      </c>
      <c r="E48" s="1678">
        <f t="shared" ref="E48:O48" si="16">EDATE(D48,-1)</f>
        <v>43040</v>
      </c>
      <c r="F48" s="1678">
        <f t="shared" si="16"/>
        <v>43009</v>
      </c>
      <c r="G48" s="1678">
        <f t="shared" si="16"/>
        <v>42979</v>
      </c>
      <c r="H48" s="1678">
        <f t="shared" si="16"/>
        <v>42948</v>
      </c>
      <c r="I48" s="1678">
        <f t="shared" si="16"/>
        <v>42917</v>
      </c>
      <c r="J48" s="1678">
        <f t="shared" si="16"/>
        <v>42887</v>
      </c>
      <c r="K48" s="1678">
        <f t="shared" si="16"/>
        <v>42856</v>
      </c>
      <c r="L48" s="1678">
        <f t="shared" si="16"/>
        <v>42826</v>
      </c>
      <c r="M48" s="1678">
        <f t="shared" si="16"/>
        <v>42795</v>
      </c>
      <c r="N48" s="1678">
        <f t="shared" si="16"/>
        <v>42767</v>
      </c>
      <c r="O48" s="1678">
        <f t="shared" si="16"/>
        <v>42736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121.68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99.75">
      <c r="A14" s="419" t="s">
        <v>2363</v>
      </c>
      <c r="B14" s="26" t="s">
        <v>2507</v>
      </c>
      <c r="C14" s="2478" t="str">
        <f>IF(B1="工业",估价对象房地状况!G4,估价对象房地状况!C6)</f>
        <v>估价对象紧邻城市支路——天达路，周边有348路、411路、457路公交线路等，综合评价交通便捷度一般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0"/>
      <c r="Q15" s="1898"/>
      <c r="R15" s="753"/>
      <c r="S15" s="754"/>
      <c r="T15" s="753"/>
      <c r="U15" s="754"/>
      <c r="V15" s="753"/>
      <c r="W15" s="754"/>
      <c r="X15" s="1899"/>
      <c r="Y15" s="3020"/>
      <c r="Z15" s="1901"/>
      <c r="AA15" s="1902">
        <v>1</v>
      </c>
      <c r="AB15" s="1902">
        <v>1</v>
      </c>
      <c r="AC15" s="1902">
        <v>1</v>
      </c>
    </row>
    <row r="16" spans="1:29" ht="42.75">
      <c r="A16" s="408"/>
      <c r="B16" s="615" t="s">
        <v>2479</v>
      </c>
      <c r="C16" s="2405"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0"/>
      <c r="Q17" s="1898"/>
      <c r="R17" s="753"/>
      <c r="S17" s="754"/>
      <c r="T17" s="753"/>
      <c r="U17" s="754"/>
      <c r="V17" s="753"/>
      <c r="W17" s="754"/>
      <c r="X17" s="1899"/>
      <c r="Y17" s="3020"/>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0"/>
      <c r="Q19" s="1898"/>
      <c r="R19" s="753"/>
      <c r="S19" s="754"/>
      <c r="T19" s="753"/>
      <c r="U19" s="754"/>
      <c r="V19" s="753"/>
      <c r="W19" s="754"/>
      <c r="X19" s="1899"/>
      <c r="Y19" s="3020"/>
      <c r="Z19" s="1901"/>
      <c r="AA19" s="1902">
        <v>1</v>
      </c>
      <c r="AB19" s="1902">
        <v>1</v>
      </c>
      <c r="AC19" s="1902">
        <v>1</v>
      </c>
    </row>
    <row r="20" spans="1:29" ht="114">
      <c r="A20" s="408"/>
      <c r="B20" s="431" t="s">
        <v>2508</v>
      </c>
      <c r="C20" s="2405" t="str">
        <f>IF(B1="工业",估价对象房地状况!G7,估价对象房地状况!C9)</f>
        <v>自然环境：富力又一城公园、红军公园、郎各庄村休闲公园等；人文环境：估价对象周边人文环境较少，综合评价环境状况一般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0"/>
      <c r="Q21" s="1898"/>
      <c r="R21" s="753"/>
      <c r="S21" s="754"/>
      <c r="T21" s="753"/>
      <c r="U21" s="754"/>
      <c r="V21" s="753"/>
      <c r="W21" s="754"/>
      <c r="X21" s="1899"/>
      <c r="Y21" s="3020"/>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0"/>
      <c r="Q24" s="1898">
        <f t="shared" ref="Q24:Q34"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9"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4"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4"/>
      <c r="Q28" s="1898" t="str">
        <f t="shared" si="11"/>
        <v>物业等级</v>
      </c>
      <c r="R28" s="753" t="s">
        <v>25</v>
      </c>
      <c r="S28" s="754">
        <f t="shared" si="12"/>
        <v>100</v>
      </c>
      <c r="T28" s="753" t="s">
        <v>25</v>
      </c>
      <c r="U28" s="754">
        <f t="shared" si="13"/>
        <v>100</v>
      </c>
      <c r="V28" s="753" t="s">
        <v>25</v>
      </c>
      <c r="W28" s="754">
        <f t="shared" si="14"/>
        <v>100</v>
      </c>
      <c r="X28" s="1899"/>
      <c r="Y28" s="3024"/>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4"/>
      <c r="Q29" s="1898" t="str">
        <f t="shared" si="11"/>
        <v>有无电梯</v>
      </c>
      <c r="R29" s="753" t="s">
        <v>25</v>
      </c>
      <c r="S29" s="754">
        <f t="shared" si="12"/>
        <v>100</v>
      </c>
      <c r="T29" s="753" t="s">
        <v>25</v>
      </c>
      <c r="U29" s="754">
        <f t="shared" si="13"/>
        <v>100</v>
      </c>
      <c r="V29" s="753" t="s">
        <v>25</v>
      </c>
      <c r="W29" s="754">
        <f t="shared" si="14"/>
        <v>100</v>
      </c>
      <c r="X29" s="1899"/>
      <c r="Y29" s="3024"/>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4"/>
      <c r="Q30" s="1898" t="str">
        <f t="shared" si="11"/>
        <v>建筑面积</v>
      </c>
      <c r="R30" s="753" t="s">
        <v>25</v>
      </c>
      <c r="S30" s="754" t="e">
        <f t="shared" si="12"/>
        <v>#N/A</v>
      </c>
      <c r="T30" s="753" t="s">
        <v>25</v>
      </c>
      <c r="U30" s="754" t="e">
        <f t="shared" si="13"/>
        <v>#N/A</v>
      </c>
      <c r="V30" s="753" t="s">
        <v>25</v>
      </c>
      <c r="W30" s="754" t="e">
        <f t="shared" si="14"/>
        <v>#N/A</v>
      </c>
      <c r="X30" s="1899"/>
      <c r="Y30" s="3024"/>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4"/>
      <c r="Q31" s="1886"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4" t="s">
        <v>2370</v>
      </c>
      <c r="Q32" s="1898">
        <f t="shared" si="11"/>
        <v>111</v>
      </c>
      <c r="R32" s="753" t="s">
        <v>25</v>
      </c>
      <c r="S32" s="754">
        <f t="shared" si="12"/>
        <v>100</v>
      </c>
      <c r="T32" s="753" t="s">
        <v>25</v>
      </c>
      <c r="U32" s="754">
        <f t="shared" si="13"/>
        <v>100</v>
      </c>
      <c r="V32" s="753" t="s">
        <v>25</v>
      </c>
      <c r="W32" s="754">
        <f t="shared" si="14"/>
        <v>100</v>
      </c>
      <c r="X32" s="1899"/>
      <c r="Y32" s="3024"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4"/>
      <c r="Q33" s="1898">
        <f t="shared" si="11"/>
        <v>111</v>
      </c>
      <c r="R33" s="753" t="s">
        <v>25</v>
      </c>
      <c r="S33" s="754">
        <f t="shared" si="12"/>
        <v>100</v>
      </c>
      <c r="T33" s="753" t="s">
        <v>25</v>
      </c>
      <c r="U33" s="754">
        <f t="shared" si="13"/>
        <v>100</v>
      </c>
      <c r="V33" s="753" t="s">
        <v>25</v>
      </c>
      <c r="W33" s="754">
        <f t="shared" si="14"/>
        <v>100</v>
      </c>
      <c r="X33" s="1899"/>
      <c r="Y33" s="3024"/>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v>
      </c>
      <c r="D46" s="1678">
        <f>EDATE(C46,-1)</f>
        <v>43070</v>
      </c>
      <c r="E46" s="1678">
        <f t="shared" ref="E46:O46" si="16">EDATE(D46,-1)</f>
        <v>43040</v>
      </c>
      <c r="F46" s="1678">
        <f t="shared" si="16"/>
        <v>43009</v>
      </c>
      <c r="G46" s="1678">
        <f t="shared" si="16"/>
        <v>42979</v>
      </c>
      <c r="H46" s="1678">
        <f t="shared" si="16"/>
        <v>42948</v>
      </c>
      <c r="I46" s="1678">
        <f t="shared" si="16"/>
        <v>42917</v>
      </c>
      <c r="J46" s="1678">
        <f t="shared" si="16"/>
        <v>42887</v>
      </c>
      <c r="K46" s="1678">
        <f t="shared" si="16"/>
        <v>42856</v>
      </c>
      <c r="L46" s="1678">
        <f t="shared" si="16"/>
        <v>42826</v>
      </c>
      <c r="M46" s="1678">
        <f t="shared" si="16"/>
        <v>42795</v>
      </c>
      <c r="N46" s="1678">
        <f t="shared" si="16"/>
        <v>42767</v>
      </c>
      <c r="O46" s="1678">
        <f t="shared" si="16"/>
        <v>42736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30"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30"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30" s="35" customFormat="1" ht="15.75" thickBot="1">
      <c r="A7" s="387" t="s">
        <v>2352</v>
      </c>
      <c r="B7" s="388"/>
      <c r="C7" s="389">
        <f>'数据-取费表'!B2</f>
        <v>43125</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16"/>
      <c r="Q10" s="1886" t="str">
        <f t="shared" si="6"/>
        <v>土地使用年限（年）</v>
      </c>
      <c r="R10" s="749" t="s">
        <v>25</v>
      </c>
      <c r="S10" s="750">
        <f t="shared" si="0"/>
        <v>105</v>
      </c>
      <c r="T10" s="749" t="s">
        <v>25</v>
      </c>
      <c r="U10" s="750">
        <f t="shared" si="1"/>
        <v>105</v>
      </c>
      <c r="V10" s="749" t="s">
        <v>25</v>
      </c>
      <c r="W10" s="750">
        <f t="shared" si="2"/>
        <v>105</v>
      </c>
      <c r="X10" s="751"/>
      <c r="Y10" s="2842"/>
      <c r="Z10" s="23" t="str">
        <f t="shared" si="7"/>
        <v>土地使用年限（年）</v>
      </c>
      <c r="AA10" s="752">
        <f t="shared" si="3"/>
        <v>0.95238095238095233</v>
      </c>
      <c r="AB10" s="752">
        <f t="shared" si="4"/>
        <v>0.95238095238095233</v>
      </c>
      <c r="AC10" s="752">
        <f t="shared" si="5"/>
        <v>0.95238095238095233</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6"/>
      <c r="Q12" s="1886"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142.5">
      <c r="A15" s="380" t="s">
        <v>2363</v>
      </c>
      <c r="B15" s="1486" t="s">
        <v>1740</v>
      </c>
      <c r="C15" s="2466" t="str">
        <f>估价对象房地状况!C15</f>
        <v>估价对象周边有朝丰家园、恒大御景湾、怡景城花园、润枫领尚等居住小区，小区规模和社区发展完善程度较好，综合评价居住社区成熟度较好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9" t="s">
        <v>2364</v>
      </c>
      <c r="Q15" s="1898" t="str">
        <f t="shared" si="6"/>
        <v>居住社区成熟度</v>
      </c>
      <c r="R15" s="753" t="s">
        <v>25</v>
      </c>
      <c r="S15" s="754">
        <f t="shared" si="0"/>
        <v>100</v>
      </c>
      <c r="T15" s="753" t="s">
        <v>25</v>
      </c>
      <c r="U15" s="754">
        <f t="shared" si="1"/>
        <v>100</v>
      </c>
      <c r="V15" s="753" t="s">
        <v>25</v>
      </c>
      <c r="W15" s="754">
        <f t="shared" si="2"/>
        <v>100</v>
      </c>
      <c r="X15" s="1899"/>
      <c r="Y15" s="3019"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0"/>
      <c r="Q17" s="1898" t="str">
        <f>B17</f>
        <v>商业繁华度</v>
      </c>
      <c r="R17" s="753" t="s">
        <v>25</v>
      </c>
      <c r="S17" s="754">
        <f>F17</f>
        <v>100</v>
      </c>
      <c r="T17" s="753" t="s">
        <v>25</v>
      </c>
      <c r="U17" s="754">
        <f>H17</f>
        <v>100</v>
      </c>
      <c r="V17" s="753" t="s">
        <v>25</v>
      </c>
      <c r="W17" s="754">
        <f>J17</f>
        <v>100</v>
      </c>
      <c r="X17" s="1899"/>
      <c r="Y17" s="302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0"/>
      <c r="Q19" s="1898" t="str">
        <f>B19</f>
        <v>办公集聚程度</v>
      </c>
      <c r="R19" s="753" t="s">
        <v>25</v>
      </c>
      <c r="S19" s="754">
        <f>F19</f>
        <v>100</v>
      </c>
      <c r="T19" s="753" t="s">
        <v>25</v>
      </c>
      <c r="U19" s="754">
        <f>H19</f>
        <v>100</v>
      </c>
      <c r="V19" s="753" t="s">
        <v>25</v>
      </c>
      <c r="W19" s="754">
        <f>J19</f>
        <v>100</v>
      </c>
      <c r="X19" s="1899"/>
      <c r="Y19" s="302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0"/>
      <c r="Q20" s="1898"/>
      <c r="R20" s="753"/>
      <c r="S20" s="754"/>
      <c r="T20" s="753"/>
      <c r="U20" s="754"/>
      <c r="V20" s="753"/>
      <c r="W20" s="754"/>
      <c r="X20" s="1899"/>
      <c r="Y20" s="3020"/>
      <c r="Z20" s="1901"/>
      <c r="AA20" s="1902">
        <v>1</v>
      </c>
      <c r="AB20" s="1902">
        <v>1</v>
      </c>
      <c r="AC20" s="1902">
        <v>1</v>
      </c>
    </row>
    <row r="21" spans="1:29" ht="99.75">
      <c r="A21" s="383"/>
      <c r="B21" s="1488" t="s">
        <v>2507</v>
      </c>
      <c r="C21" s="2467" t="str">
        <f>估价对象房地状况!C18</f>
        <v>估价对象紧邻城市支路——天达路，周边有348路、411路、457路公交线路等，综合评价交通便捷度一般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0"/>
      <c r="Q21" s="1898" t="str">
        <f>B21</f>
        <v>交通便捷度</v>
      </c>
      <c r="R21" s="753" t="s">
        <v>25</v>
      </c>
      <c r="S21" s="754">
        <f>F21</f>
        <v>100</v>
      </c>
      <c r="T21" s="753" t="s">
        <v>25</v>
      </c>
      <c r="U21" s="754">
        <f>H21</f>
        <v>100</v>
      </c>
      <c r="V21" s="753" t="s">
        <v>25</v>
      </c>
      <c r="W21" s="754">
        <f>J21</f>
        <v>100</v>
      </c>
      <c r="X21" s="1899"/>
      <c r="Y21" s="302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0"/>
      <c r="Q23" s="1898" t="str">
        <f t="shared" ref="Q23:Q37" si="8">B23</f>
        <v>区域土地利用方向</v>
      </c>
      <c r="R23" s="753" t="s">
        <v>25</v>
      </c>
      <c r="S23" s="754">
        <f>F23</f>
        <v>100</v>
      </c>
      <c r="T23" s="753" t="s">
        <v>25</v>
      </c>
      <c r="U23" s="754">
        <f>H23</f>
        <v>100</v>
      </c>
      <c r="V23" s="753" t="s">
        <v>25</v>
      </c>
      <c r="W23" s="754">
        <f>J23</f>
        <v>100</v>
      </c>
      <c r="X23" s="1899"/>
      <c r="Y23" s="302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0"/>
      <c r="Q24" s="1898"/>
      <c r="R24" s="753"/>
      <c r="S24" s="754"/>
      <c r="T24" s="753"/>
      <c r="U24" s="754"/>
      <c r="V24" s="753"/>
      <c r="W24" s="754"/>
      <c r="X24" s="1899"/>
      <c r="Y24" s="3020"/>
      <c r="Z24" s="1901"/>
      <c r="AA24" s="1902"/>
      <c r="AB24" s="1902"/>
      <c r="AC24" s="1902"/>
    </row>
    <row r="25" spans="1:29" ht="114">
      <c r="A25" s="383"/>
      <c r="B25" s="1490" t="s">
        <v>2548</v>
      </c>
      <c r="C25" s="2484" t="str">
        <f>估价对象房地状况!C20</f>
        <v>自然环境：富力又一城公园、红军公园、郎各庄村休闲公园等；人文环境：估价对象周边人文环境较少，综合评价环境状况一般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0"/>
      <c r="Q25" s="1898" t="str">
        <f t="shared" si="8"/>
        <v>自然及人文环境状况</v>
      </c>
      <c r="R25" s="753" t="s">
        <v>25</v>
      </c>
      <c r="S25" s="754">
        <f>F25</f>
        <v>100</v>
      </c>
      <c r="T25" s="753" t="s">
        <v>25</v>
      </c>
      <c r="U25" s="754">
        <f>H25</f>
        <v>100</v>
      </c>
      <c r="V25" s="753" t="s">
        <v>25</v>
      </c>
      <c r="W25" s="754">
        <f>J25</f>
        <v>100</v>
      </c>
      <c r="X25" s="1899"/>
      <c r="Y25" s="302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0"/>
      <c r="Q26" s="1898"/>
      <c r="R26" s="753"/>
      <c r="S26" s="754"/>
      <c r="T26" s="753"/>
      <c r="U26" s="754"/>
      <c r="V26" s="753"/>
      <c r="W26" s="754"/>
      <c r="X26" s="1899"/>
      <c r="Y26" s="3020"/>
      <c r="Z26" s="1901"/>
      <c r="AA26" s="1902">
        <v>1</v>
      </c>
      <c r="AB26" s="1902">
        <v>1</v>
      </c>
      <c r="AC26" s="1902">
        <v>1</v>
      </c>
    </row>
    <row r="27" spans="1:29" ht="42.75">
      <c r="A27" s="383"/>
      <c r="B27" s="1490" t="s">
        <v>2450</v>
      </c>
      <c r="C27" s="2467"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0"/>
      <c r="Q27" s="1886" t="str">
        <f t="shared" ref="Q27" si="9">B27</f>
        <v>公共配套设施</v>
      </c>
      <c r="R27" s="749" t="s">
        <v>25</v>
      </c>
      <c r="S27" s="750">
        <f>F27</f>
        <v>100</v>
      </c>
      <c r="T27" s="749" t="s">
        <v>25</v>
      </c>
      <c r="U27" s="750">
        <f>H27</f>
        <v>100</v>
      </c>
      <c r="V27" s="749" t="s">
        <v>25</v>
      </c>
      <c r="W27" s="750">
        <f>J27</f>
        <v>100</v>
      </c>
      <c r="X27" s="1899"/>
      <c r="Y27" s="302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0"/>
      <c r="Q28" s="1898"/>
      <c r="R28" s="753"/>
      <c r="S28" s="754"/>
      <c r="T28" s="753"/>
      <c r="U28" s="754"/>
      <c r="V28" s="753"/>
      <c r="W28" s="754"/>
      <c r="X28" s="1899"/>
      <c r="Y28" s="3020"/>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0"/>
      <c r="Q29" s="1886" t="str">
        <f t="shared" si="8"/>
        <v>基础设施水平</v>
      </c>
      <c r="R29" s="749" t="s">
        <v>25</v>
      </c>
      <c r="S29" s="750">
        <f>F29</f>
        <v>100</v>
      </c>
      <c r="T29" s="749" t="s">
        <v>25</v>
      </c>
      <c r="U29" s="750">
        <f>H29</f>
        <v>100</v>
      </c>
      <c r="V29" s="749" t="s">
        <v>25</v>
      </c>
      <c r="W29" s="750">
        <f>J29</f>
        <v>100</v>
      </c>
      <c r="X29" s="751"/>
      <c r="Y29" s="302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0"/>
      <c r="Q30" s="1886"/>
      <c r="R30" s="749"/>
      <c r="S30" s="750"/>
      <c r="T30" s="749"/>
      <c r="U30" s="750"/>
      <c r="V30" s="749"/>
      <c r="W30" s="750"/>
      <c r="X30" s="751"/>
      <c r="Y30" s="3020"/>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0"/>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0"/>
      <c r="Q32" s="1898" t="str">
        <f t="shared" si="8"/>
        <v>毗邻道路的类型与等级</v>
      </c>
      <c r="R32" s="753" t="s">
        <v>25</v>
      </c>
      <c r="S32" s="754">
        <f t="shared" si="10"/>
        <v>100</v>
      </c>
      <c r="T32" s="753" t="s">
        <v>25</v>
      </c>
      <c r="U32" s="754">
        <f t="shared" si="11"/>
        <v>100</v>
      </c>
      <c r="V32" s="753" t="s">
        <v>25</v>
      </c>
      <c r="W32" s="754">
        <f t="shared" si="12"/>
        <v>100</v>
      </c>
      <c r="X32" s="1899"/>
      <c r="Y32" s="302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0"/>
      <c r="Q33" s="1898"/>
      <c r="R33" s="753"/>
      <c r="S33" s="754"/>
      <c r="T33" s="753"/>
      <c r="U33" s="754"/>
      <c r="V33" s="753"/>
      <c r="W33" s="754"/>
      <c r="X33" s="1899"/>
      <c r="Y33" s="3020"/>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0"/>
      <c r="Q34" s="1898" t="str">
        <f t="shared" si="8"/>
        <v>土地级别</v>
      </c>
      <c r="R34" s="753" t="s">
        <v>25</v>
      </c>
      <c r="S34" s="754">
        <f t="shared" si="10"/>
        <v>100</v>
      </c>
      <c r="T34" s="753" t="s">
        <v>25</v>
      </c>
      <c r="U34" s="754">
        <f t="shared" si="11"/>
        <v>100</v>
      </c>
      <c r="V34" s="753" t="s">
        <v>25</v>
      </c>
      <c r="W34" s="754">
        <f t="shared" si="12"/>
        <v>100</v>
      </c>
      <c r="X34" s="1899"/>
      <c r="Y34" s="302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0"/>
      <c r="Q35" s="1898">
        <f t="shared" si="8"/>
        <v>111</v>
      </c>
      <c r="R35" s="753" t="s">
        <v>25</v>
      </c>
      <c r="S35" s="754">
        <f t="shared" si="10"/>
        <v>100</v>
      </c>
      <c r="T35" s="753" t="s">
        <v>25</v>
      </c>
      <c r="U35" s="754">
        <f t="shared" si="11"/>
        <v>100</v>
      </c>
      <c r="V35" s="753" t="s">
        <v>25</v>
      </c>
      <c r="W35" s="754">
        <f t="shared" si="12"/>
        <v>100</v>
      </c>
      <c r="X35" s="1899"/>
      <c r="Y35" s="302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9" t="s">
        <v>2370</v>
      </c>
      <c r="Q36" s="1898">
        <f t="shared" si="8"/>
        <v>111</v>
      </c>
      <c r="R36" s="753" t="s">
        <v>25</v>
      </c>
      <c r="S36" s="754">
        <f t="shared" si="10"/>
        <v>100</v>
      </c>
      <c r="T36" s="753" t="s">
        <v>25</v>
      </c>
      <c r="U36" s="754">
        <f t="shared" si="11"/>
        <v>100</v>
      </c>
      <c r="V36" s="753" t="s">
        <v>25</v>
      </c>
      <c r="W36" s="754">
        <f t="shared" si="12"/>
        <v>100</v>
      </c>
      <c r="X36" s="1899"/>
      <c r="Y36" s="3024"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4"/>
      <c r="Q37" s="1898">
        <f t="shared" si="8"/>
        <v>111</v>
      </c>
      <c r="R37" s="756" t="s">
        <v>25</v>
      </c>
      <c r="S37" s="757">
        <f t="shared" si="10"/>
        <v>100</v>
      </c>
      <c r="T37" s="756" t="s">
        <v>25</v>
      </c>
      <c r="U37" s="757">
        <f t="shared" si="11"/>
        <v>100</v>
      </c>
      <c r="V37" s="756" t="s">
        <v>25</v>
      </c>
      <c r="W37" s="757">
        <f t="shared" si="12"/>
        <v>100</v>
      </c>
      <c r="X37" s="758"/>
      <c r="Y37" s="3024"/>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4"/>
      <c r="Q38" s="1898" t="str">
        <f>B38</f>
        <v>宗地面积</v>
      </c>
      <c r="R38" s="753" t="s">
        <v>25</v>
      </c>
      <c r="S38" s="754" t="e">
        <f t="shared" si="10"/>
        <v>#N/A</v>
      </c>
      <c r="T38" s="753" t="s">
        <v>25</v>
      </c>
      <c r="U38" s="754" t="e">
        <f t="shared" si="11"/>
        <v>#N/A</v>
      </c>
      <c r="V38" s="753" t="s">
        <v>25</v>
      </c>
      <c r="W38" s="754" t="e">
        <f t="shared" si="12"/>
        <v>#N/A</v>
      </c>
      <c r="X38" s="1899"/>
      <c r="Y38" s="3024"/>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4"/>
      <c r="Q39" s="1898" t="str">
        <f t="shared" ref="Q39:Q45" si="14">B39</f>
        <v>宗地形状</v>
      </c>
      <c r="R39" s="753" t="s">
        <v>25</v>
      </c>
      <c r="S39" s="754">
        <f t="shared" si="10"/>
        <v>100</v>
      </c>
      <c r="T39" s="753" t="s">
        <v>25</v>
      </c>
      <c r="U39" s="754">
        <f t="shared" si="11"/>
        <v>100</v>
      </c>
      <c r="V39" s="753" t="s">
        <v>25</v>
      </c>
      <c r="W39" s="754">
        <f t="shared" si="12"/>
        <v>100</v>
      </c>
      <c r="X39" s="1899"/>
      <c r="Y39" s="3024"/>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4"/>
      <c r="Q40" s="1898" t="str">
        <f t="shared" si="14"/>
        <v>临街宽度及深度</v>
      </c>
      <c r="R40" s="753" t="s">
        <v>25</v>
      </c>
      <c r="S40" s="754">
        <f t="shared" si="10"/>
        <v>100</v>
      </c>
      <c r="T40" s="753" t="s">
        <v>25</v>
      </c>
      <c r="U40" s="754">
        <f t="shared" si="11"/>
        <v>100</v>
      </c>
      <c r="V40" s="753" t="s">
        <v>25</v>
      </c>
      <c r="W40" s="754">
        <f t="shared" si="12"/>
        <v>100</v>
      </c>
      <c r="X40" s="1899"/>
      <c r="Y40" s="3024"/>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4"/>
      <c r="Q41" s="1898"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4" t="s">
        <v>2370</v>
      </c>
      <c r="Q42" s="1898" t="str">
        <f t="shared" si="14"/>
        <v>工程地质条件</v>
      </c>
      <c r="R42" s="753" t="s">
        <v>25</v>
      </c>
      <c r="S42" s="754">
        <f t="shared" si="10"/>
        <v>100</v>
      </c>
      <c r="T42" s="753" t="s">
        <v>25</v>
      </c>
      <c r="U42" s="754">
        <f t="shared" si="11"/>
        <v>100</v>
      </c>
      <c r="V42" s="753" t="s">
        <v>25</v>
      </c>
      <c r="W42" s="754">
        <f t="shared" si="12"/>
        <v>100</v>
      </c>
      <c r="X42" s="1899"/>
      <c r="Y42" s="3024"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4"/>
      <c r="Q43" s="1898">
        <f t="shared" si="14"/>
        <v>111</v>
      </c>
      <c r="R43" s="753" t="s">
        <v>25</v>
      </c>
      <c r="S43" s="754">
        <f t="shared" si="10"/>
        <v>100</v>
      </c>
      <c r="T43" s="753" t="s">
        <v>25</v>
      </c>
      <c r="U43" s="754">
        <f t="shared" si="11"/>
        <v>100</v>
      </c>
      <c r="V43" s="753" t="s">
        <v>25</v>
      </c>
      <c r="W43" s="754">
        <f t="shared" si="12"/>
        <v>100</v>
      </c>
      <c r="X43" s="1899"/>
      <c r="Y43" s="3024"/>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4"/>
      <c r="Q44" s="1898">
        <f t="shared" si="14"/>
        <v>111</v>
      </c>
      <c r="R44" s="753" t="s">
        <v>25</v>
      </c>
      <c r="S44" s="754">
        <f t="shared" si="10"/>
        <v>100</v>
      </c>
      <c r="T44" s="753" t="s">
        <v>25</v>
      </c>
      <c r="U44" s="754">
        <f t="shared" si="11"/>
        <v>100</v>
      </c>
      <c r="V44" s="753" t="s">
        <v>25</v>
      </c>
      <c r="W44" s="754">
        <f t="shared" si="12"/>
        <v>100</v>
      </c>
      <c r="X44" s="1899"/>
      <c r="Y44" s="3024"/>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4"/>
      <c r="Q45" s="1898">
        <f t="shared" si="14"/>
        <v>111</v>
      </c>
      <c r="R45" s="756" t="s">
        <v>25</v>
      </c>
      <c r="S45" s="757">
        <f t="shared" si="10"/>
        <v>100</v>
      </c>
      <c r="T45" s="756" t="s">
        <v>25</v>
      </c>
      <c r="U45" s="757">
        <f t="shared" si="11"/>
        <v>100</v>
      </c>
      <c r="V45" s="756" t="s">
        <v>25</v>
      </c>
      <c r="W45" s="757">
        <f t="shared" si="12"/>
        <v>100</v>
      </c>
      <c r="X45" s="758"/>
      <c r="Y45" s="3024"/>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v>
      </c>
      <c r="D68" s="1669">
        <f>EDATE(C68,-3)</f>
        <v>43009</v>
      </c>
      <c r="E68" s="1669">
        <f t="shared" ref="E68:O68" si="18">EDATE(D68,-3)</f>
        <v>42917</v>
      </c>
      <c r="F68" s="1669">
        <f t="shared" si="18"/>
        <v>42826</v>
      </c>
      <c r="G68" s="1669">
        <f t="shared" si="18"/>
        <v>42736</v>
      </c>
      <c r="H68" s="1669">
        <f t="shared" si="18"/>
        <v>42644</v>
      </c>
      <c r="I68" s="1669">
        <f t="shared" si="18"/>
        <v>42552</v>
      </c>
      <c r="J68" s="1669">
        <f t="shared" si="18"/>
        <v>42461</v>
      </c>
      <c r="K68" s="1669">
        <f t="shared" si="18"/>
        <v>42370</v>
      </c>
      <c r="L68" s="1669">
        <f t="shared" si="18"/>
        <v>42278</v>
      </c>
      <c r="M68" s="1669">
        <f t="shared" si="18"/>
        <v>42186</v>
      </c>
      <c r="N68" s="1669">
        <f t="shared" si="18"/>
        <v>42095</v>
      </c>
      <c r="O68" s="1669">
        <f t="shared" si="18"/>
        <v>42005</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2576</v>
      </c>
      <c r="B71" s="284" t="str">
        <f>"北京市平均增长率"&amp;TEXT(SUMIF(基准地价修正!N21:N25,A71,基准地价修正!P21:P25),"0.00%")</f>
        <v>北京市平均增长率1.66%</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0" t="s">
        <v>2346</v>
      </c>
      <c r="D5" s="3061"/>
      <c r="E5" s="3058" t="s">
        <v>2347</v>
      </c>
      <c r="F5" s="3059"/>
      <c r="G5" s="3060" t="s">
        <v>2348</v>
      </c>
      <c r="H5" s="3061"/>
      <c r="I5" s="3060" t="s">
        <v>2349</v>
      </c>
      <c r="J5" s="3061"/>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6" t="s">
        <v>2350</v>
      </c>
      <c r="F6" s="3057"/>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43125</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16"/>
      <c r="Q10" s="1886" t="str">
        <f t="shared" si="6"/>
        <v>土地使用年限（年）</v>
      </c>
      <c r="R10" s="749" t="s">
        <v>25</v>
      </c>
      <c r="S10" s="750">
        <f t="shared" si="0"/>
        <v>105</v>
      </c>
      <c r="T10" s="749" t="s">
        <v>25</v>
      </c>
      <c r="U10" s="750">
        <f t="shared" si="1"/>
        <v>105</v>
      </c>
      <c r="V10" s="749" t="s">
        <v>25</v>
      </c>
      <c r="W10" s="750">
        <f t="shared" si="2"/>
        <v>105</v>
      </c>
      <c r="X10" s="751"/>
      <c r="Y10" s="2842"/>
      <c r="Z10" s="23" t="str">
        <f t="shared" si="7"/>
        <v>土地使用年限（年）</v>
      </c>
      <c r="AA10" s="752">
        <f t="shared" si="3"/>
        <v>0.95238095238095233</v>
      </c>
      <c r="AB10" s="752">
        <f t="shared" si="4"/>
        <v>0.95238095238095233</v>
      </c>
      <c r="AC10" s="752">
        <f t="shared" si="5"/>
        <v>0.95238095238095233</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0"/>
      <c r="Q19" s="1898" t="str">
        <f t="shared" ref="Q19:Q33" si="8">B19</f>
        <v>区域土地利用方向</v>
      </c>
      <c r="R19" s="753" t="s">
        <v>25</v>
      </c>
      <c r="S19" s="754">
        <f>F19</f>
        <v>100</v>
      </c>
      <c r="T19" s="753" t="s">
        <v>25</v>
      </c>
      <c r="U19" s="754">
        <f>H19</f>
        <v>100</v>
      </c>
      <c r="V19" s="753" t="s">
        <v>25</v>
      </c>
      <c r="W19" s="754">
        <f>J19</f>
        <v>100</v>
      </c>
      <c r="X19" s="1899"/>
      <c r="Y19" s="302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0"/>
      <c r="Q20" s="1898"/>
      <c r="R20" s="753"/>
      <c r="S20" s="754"/>
      <c r="T20" s="753"/>
      <c r="U20" s="754"/>
      <c r="V20" s="753"/>
      <c r="W20" s="754"/>
      <c r="X20" s="1899"/>
      <c r="Y20" s="3020"/>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0"/>
      <c r="Q21" s="1898" t="str">
        <f t="shared" si="8"/>
        <v>环境状况</v>
      </c>
      <c r="R21" s="753" t="s">
        <v>25</v>
      </c>
      <c r="S21" s="754">
        <f>F21</f>
        <v>100</v>
      </c>
      <c r="T21" s="753" t="s">
        <v>25</v>
      </c>
      <c r="U21" s="754">
        <f>H21</f>
        <v>100</v>
      </c>
      <c r="V21" s="753" t="s">
        <v>25</v>
      </c>
      <c r="W21" s="754">
        <f>J21</f>
        <v>100</v>
      </c>
      <c r="X21" s="1899"/>
      <c r="Y21" s="302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0"/>
      <c r="Q23" s="1886" t="str">
        <f t="shared" si="8"/>
        <v>公共配套设施</v>
      </c>
      <c r="R23" s="749" t="s">
        <v>25</v>
      </c>
      <c r="S23" s="750">
        <f>F23</f>
        <v>100</v>
      </c>
      <c r="T23" s="749" t="s">
        <v>25</v>
      </c>
      <c r="U23" s="750">
        <f>H23</f>
        <v>100</v>
      </c>
      <c r="V23" s="749" t="s">
        <v>25</v>
      </c>
      <c r="W23" s="750">
        <f>J23</f>
        <v>100</v>
      </c>
      <c r="X23" s="751"/>
      <c r="Y23" s="302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0"/>
      <c r="Q24" s="1886"/>
      <c r="R24" s="749"/>
      <c r="S24" s="750"/>
      <c r="T24" s="749"/>
      <c r="U24" s="750"/>
      <c r="V24" s="749"/>
      <c r="W24" s="750"/>
      <c r="X24" s="751"/>
      <c r="Y24" s="3020"/>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0"/>
      <c r="Q25" s="1886"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0"/>
      <c r="Q26" s="1886"/>
      <c r="R26" s="749"/>
      <c r="S26" s="750"/>
      <c r="T26" s="749"/>
      <c r="U26" s="750"/>
      <c r="V26" s="749"/>
      <c r="W26" s="750"/>
      <c r="X26" s="751"/>
      <c r="Y26" s="3020"/>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0"/>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0"/>
      <c r="Q28" s="1898" t="str">
        <f t="shared" si="8"/>
        <v>毗邻道路的类型与等级</v>
      </c>
      <c r="R28" s="753" t="s">
        <v>25</v>
      </c>
      <c r="S28" s="754">
        <f t="shared" si="10"/>
        <v>100</v>
      </c>
      <c r="T28" s="753" t="s">
        <v>25</v>
      </c>
      <c r="U28" s="754">
        <f t="shared" si="11"/>
        <v>100</v>
      </c>
      <c r="V28" s="753" t="s">
        <v>25</v>
      </c>
      <c r="W28" s="754">
        <f t="shared" si="12"/>
        <v>100</v>
      </c>
      <c r="X28" s="1899"/>
      <c r="Y28" s="302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0"/>
      <c r="Q29" s="1898"/>
      <c r="R29" s="753"/>
      <c r="S29" s="754"/>
      <c r="T29" s="753"/>
      <c r="U29" s="754"/>
      <c r="V29" s="753"/>
      <c r="W29" s="754"/>
      <c r="X29" s="1899"/>
      <c r="Y29" s="3020"/>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0"/>
      <c r="Q30" s="1898" t="str">
        <f t="shared" si="8"/>
        <v>土地级别</v>
      </c>
      <c r="R30" s="753" t="s">
        <v>25</v>
      </c>
      <c r="S30" s="754">
        <f t="shared" si="10"/>
        <v>100</v>
      </c>
      <c r="T30" s="753" t="s">
        <v>25</v>
      </c>
      <c r="U30" s="754">
        <f t="shared" si="11"/>
        <v>100</v>
      </c>
      <c r="V30" s="753" t="s">
        <v>25</v>
      </c>
      <c r="W30" s="754">
        <f t="shared" si="12"/>
        <v>100</v>
      </c>
      <c r="X30" s="1899"/>
      <c r="Y30" s="302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0"/>
      <c r="Q31" s="1898">
        <f t="shared" si="8"/>
        <v>111</v>
      </c>
      <c r="R31" s="753" t="s">
        <v>25</v>
      </c>
      <c r="S31" s="754">
        <f t="shared" si="10"/>
        <v>100</v>
      </c>
      <c r="T31" s="753" t="s">
        <v>25</v>
      </c>
      <c r="U31" s="754">
        <f t="shared" si="11"/>
        <v>100</v>
      </c>
      <c r="V31" s="753" t="s">
        <v>25</v>
      </c>
      <c r="W31" s="754">
        <f t="shared" si="12"/>
        <v>100</v>
      </c>
      <c r="X31" s="1899"/>
      <c r="Y31" s="302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9" t="s">
        <v>2370</v>
      </c>
      <c r="Q32" s="1898">
        <f t="shared" si="8"/>
        <v>111</v>
      </c>
      <c r="R32" s="753" t="s">
        <v>25</v>
      </c>
      <c r="S32" s="754">
        <f t="shared" si="10"/>
        <v>100</v>
      </c>
      <c r="T32" s="753" t="s">
        <v>25</v>
      </c>
      <c r="U32" s="754">
        <f t="shared" si="11"/>
        <v>100</v>
      </c>
      <c r="V32" s="753" t="s">
        <v>25</v>
      </c>
      <c r="W32" s="754">
        <f t="shared" si="12"/>
        <v>100</v>
      </c>
      <c r="X32" s="1899"/>
      <c r="Y32" s="3024"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4"/>
      <c r="Q33" s="1898">
        <f t="shared" si="8"/>
        <v>111</v>
      </c>
      <c r="R33" s="756" t="s">
        <v>25</v>
      </c>
      <c r="S33" s="757">
        <f t="shared" si="10"/>
        <v>100</v>
      </c>
      <c r="T33" s="756" t="s">
        <v>25</v>
      </c>
      <c r="U33" s="757">
        <f t="shared" si="11"/>
        <v>100</v>
      </c>
      <c r="V33" s="756" t="s">
        <v>25</v>
      </c>
      <c r="W33" s="757">
        <f t="shared" si="12"/>
        <v>100</v>
      </c>
      <c r="X33" s="758"/>
      <c r="Y33" s="3024"/>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4"/>
      <c r="Q34" s="1898" t="str">
        <f>B34</f>
        <v>宗地面积</v>
      </c>
      <c r="R34" s="753" t="s">
        <v>25</v>
      </c>
      <c r="S34" s="754" t="e">
        <f t="shared" si="10"/>
        <v>#N/A</v>
      </c>
      <c r="T34" s="753" t="s">
        <v>25</v>
      </c>
      <c r="U34" s="754" t="e">
        <f t="shared" si="11"/>
        <v>#N/A</v>
      </c>
      <c r="V34" s="753" t="s">
        <v>25</v>
      </c>
      <c r="W34" s="754" t="e">
        <f t="shared" si="12"/>
        <v>#N/A</v>
      </c>
      <c r="X34" s="1899"/>
      <c r="Y34" s="3024"/>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4"/>
      <c r="Q35" s="1898" t="str">
        <f t="shared" ref="Q35:Q40" si="14">B35</f>
        <v>宗地形状</v>
      </c>
      <c r="R35" s="753" t="s">
        <v>25</v>
      </c>
      <c r="S35" s="754">
        <f t="shared" si="10"/>
        <v>100</v>
      </c>
      <c r="T35" s="753" t="s">
        <v>25</v>
      </c>
      <c r="U35" s="754">
        <f t="shared" si="11"/>
        <v>100</v>
      </c>
      <c r="V35" s="753" t="s">
        <v>25</v>
      </c>
      <c r="W35" s="754">
        <f t="shared" si="12"/>
        <v>100</v>
      </c>
      <c r="X35" s="1899"/>
      <c r="Y35" s="3024"/>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4"/>
      <c r="Q36" s="1898"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4" t="s">
        <v>2370</v>
      </c>
      <c r="Q37" s="1898" t="str">
        <f t="shared" si="14"/>
        <v>工程地质条件</v>
      </c>
      <c r="R37" s="753" t="s">
        <v>25</v>
      </c>
      <c r="S37" s="754">
        <f t="shared" si="10"/>
        <v>100</v>
      </c>
      <c r="T37" s="753" t="s">
        <v>25</v>
      </c>
      <c r="U37" s="754">
        <f t="shared" si="11"/>
        <v>100</v>
      </c>
      <c r="V37" s="753" t="s">
        <v>25</v>
      </c>
      <c r="W37" s="754">
        <f t="shared" si="12"/>
        <v>100</v>
      </c>
      <c r="X37" s="1899"/>
      <c r="Y37" s="3024"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4"/>
      <c r="Q38" s="1898">
        <f t="shared" si="14"/>
        <v>111</v>
      </c>
      <c r="R38" s="753" t="s">
        <v>25</v>
      </c>
      <c r="S38" s="754">
        <f t="shared" si="10"/>
        <v>100</v>
      </c>
      <c r="T38" s="753" t="s">
        <v>25</v>
      </c>
      <c r="U38" s="754">
        <f t="shared" si="11"/>
        <v>100</v>
      </c>
      <c r="V38" s="753" t="s">
        <v>25</v>
      </c>
      <c r="W38" s="754">
        <f t="shared" si="12"/>
        <v>100</v>
      </c>
      <c r="X38" s="1899"/>
      <c r="Y38" s="3024"/>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4"/>
      <c r="Q39" s="1898">
        <f t="shared" si="14"/>
        <v>111</v>
      </c>
      <c r="R39" s="753" t="s">
        <v>25</v>
      </c>
      <c r="S39" s="754">
        <f t="shared" si="10"/>
        <v>100</v>
      </c>
      <c r="T39" s="753" t="s">
        <v>25</v>
      </c>
      <c r="U39" s="754">
        <f t="shared" si="11"/>
        <v>100</v>
      </c>
      <c r="V39" s="753" t="s">
        <v>25</v>
      </c>
      <c r="W39" s="754">
        <f t="shared" si="12"/>
        <v>100</v>
      </c>
      <c r="X39" s="1899"/>
      <c r="Y39" s="3024"/>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4"/>
      <c r="Q40" s="1898">
        <f t="shared" si="14"/>
        <v>111</v>
      </c>
      <c r="R40" s="756" t="s">
        <v>25</v>
      </c>
      <c r="S40" s="757">
        <f t="shared" si="10"/>
        <v>100</v>
      </c>
      <c r="T40" s="756" t="s">
        <v>25</v>
      </c>
      <c r="U40" s="757">
        <f t="shared" si="11"/>
        <v>100</v>
      </c>
      <c r="V40" s="756" t="s">
        <v>25</v>
      </c>
      <c r="W40" s="757">
        <f t="shared" si="12"/>
        <v>100</v>
      </c>
      <c r="X40" s="758"/>
      <c r="Y40" s="3024"/>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v>
      </c>
      <c r="D63" s="1669">
        <f>EDATE(C63,-3)</f>
        <v>43009</v>
      </c>
      <c r="E63" s="1669">
        <f t="shared" ref="E63:O63" si="18">EDATE(D63,-3)</f>
        <v>42917</v>
      </c>
      <c r="F63" s="1669">
        <f t="shared" si="18"/>
        <v>42826</v>
      </c>
      <c r="G63" s="1669">
        <f t="shared" si="18"/>
        <v>42736</v>
      </c>
      <c r="H63" s="1669">
        <f t="shared" si="18"/>
        <v>42644</v>
      </c>
      <c r="I63" s="1669">
        <f t="shared" si="18"/>
        <v>42552</v>
      </c>
      <c r="J63" s="1669">
        <f t="shared" si="18"/>
        <v>42461</v>
      </c>
      <c r="K63" s="1669">
        <f t="shared" si="18"/>
        <v>42370</v>
      </c>
      <c r="L63" s="1669">
        <f t="shared" si="18"/>
        <v>42278</v>
      </c>
      <c r="M63" s="1669">
        <f t="shared" si="18"/>
        <v>42186</v>
      </c>
      <c r="N63" s="1669">
        <f t="shared" si="18"/>
        <v>42095</v>
      </c>
      <c r="O63" s="1669">
        <f t="shared" si="18"/>
        <v>42005</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2595</v>
      </c>
      <c r="B66" s="284" t="str">
        <f>"北京市平均增长率"&amp;TEXT(基准地价修正!P24,"0.00%")</f>
        <v>北京市平均增长率1.43%</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估价对象为房地产，为所有。根据《不动产权证书》[]，估价对象建筑面积为121.68平方米，（分摊）出让国有建设用地使用权面积为平方米。估价对象用途为。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2018年1月25日（评估专业人员实地查勘之日）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5"/>
      <c r="B4" s="3076"/>
      <c r="C4" s="3076"/>
      <c r="D4" s="3077"/>
      <c r="E4" s="3077"/>
      <c r="F4" s="3077"/>
      <c r="G4" s="3077"/>
      <c r="H4" s="3077"/>
      <c r="I4" s="3077"/>
      <c r="J4" s="3078"/>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9"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0"/>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2" t="s">
        <v>2632</v>
      </c>
      <c r="X8" s="3073"/>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0"/>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4"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0"/>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0"/>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4"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9"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4"/>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4"/>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9"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0"/>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43125</v>
      </c>
      <c r="H19" s="2585" t="s">
        <v>2691</v>
      </c>
      <c r="I19" s="955" t="str">
        <f>IF(H19="季度增幅（自定义）",SUMIF(N21:N24,E2,O21:O24),"")</f>
        <v/>
      </c>
      <c r="J19" s="2581"/>
      <c r="K19" s="2582"/>
      <c r="L19" s="2586" t="s">
        <v>2692</v>
      </c>
      <c r="M19" s="1825">
        <f>ROUND(SUMIF(地价!B2:F2,E2,地价!B23:F23),0)</f>
        <v>0</v>
      </c>
      <c r="N19" s="1465" t="s">
        <v>2693</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57</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1.66E-2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1.66E-2</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2.6499999999999999E-2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1.43E-2</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2.4E-2</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1"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2"/>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2"/>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3"/>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63.75">
      <c r="A49" s="2669" t="s">
        <v>2757</v>
      </c>
      <c r="B49" s="2673" t="str">
        <f>估价对象房地状况!C18</f>
        <v>估价对象紧邻城市支路——天达路，周边有348路、411路、457路公交线路等，综合评价交通便捷度一般</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城市支路——天达路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估价对象所在区域公共配套设施齐备情况一般</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自然环境：富力又一城公园、红军公园、郎各庄村休闲公园等；人文环境：估价对象周边人文环境较少，综合评价环境状况一般</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63.75">
      <c r="A60" s="2669" t="s">
        <v>2757</v>
      </c>
      <c r="B60" s="2673" t="str">
        <f>估价对象房地状况!C18</f>
        <v>估价对象紧邻城市支路——天达路，周边有348路、411路、457路公交线路等，综合评价交通便捷度一般</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城市支路——天达路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估价对象所在区域公共配套设施齐备情况一般</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自然环境：富力又一城公园、红军公园、郎各庄村休闲公园等；人文环境：估价对象周边人文环境较少，综合评价环境状况一般</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估价对象周边有朝丰家园、恒大御景湾、怡景城花园、润枫领尚等居住小区，小区规模和社区发展完善程度较好，综合评价居住社区成熟度较好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63.75">
      <c r="A71" s="2669" t="s">
        <v>2757</v>
      </c>
      <c r="B71" s="2673" t="str">
        <f>估价对象房地状况!C18</f>
        <v>估价对象紧邻城市支路——天达路，周边有348路、411路、457路公交线路等，综合评价交通便捷度一般</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城市支路——天达路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自然环境：富力又一城公园、红军公园、郎各庄村休闲公园等；人文环境：估价对象周边人文环境较少，综合评价环境状况一般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3" t="s">
        <v>2779</v>
      </c>
      <c r="B90" s="3083"/>
      <c r="C90" s="3083"/>
      <c r="D90" s="3083"/>
      <c r="E90" s="3083"/>
      <c r="F90" s="3083"/>
      <c r="G90" s="3083"/>
      <c r="H90" s="3083"/>
      <c r="I90" s="3083"/>
      <c r="J90" s="3083"/>
      <c r="K90" s="2686"/>
      <c r="L90" s="2686"/>
      <c r="M90" s="2686"/>
      <c r="N90" s="2686"/>
    </row>
    <row r="91" spans="1:37">
      <c r="A91" s="3085" t="s">
        <v>2780</v>
      </c>
      <c r="B91" s="3085" t="s">
        <v>2781</v>
      </c>
      <c r="C91" s="2634" t="s">
        <v>2782</v>
      </c>
      <c r="D91" s="2635"/>
      <c r="E91" s="2635"/>
      <c r="F91" s="2635"/>
      <c r="G91" s="2635"/>
      <c r="H91" s="2635"/>
      <c r="I91" s="2635"/>
      <c r="J91" s="2687"/>
      <c r="K91" s="2688"/>
      <c r="L91" s="2688"/>
      <c r="M91" s="2688"/>
      <c r="N91" s="2688"/>
    </row>
    <row r="92" spans="1:37">
      <c r="A92" s="3085"/>
      <c r="B92" s="3085"/>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6"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7"/>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6"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7"/>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7"/>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7"/>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7"/>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7"/>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7"/>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7"/>
      <c r="B108" s="3089"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8"/>
      <c r="B109" s="3090"/>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4" t="s">
        <v>2787</v>
      </c>
      <c r="B110" s="3084"/>
      <c r="C110" s="3084"/>
      <c r="D110" s="3084"/>
      <c r="E110" s="3084"/>
      <c r="F110" s="3084"/>
      <c r="G110" s="3084"/>
      <c r="H110" s="3084"/>
      <c r="I110" s="3084"/>
      <c r="J110" s="3084"/>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估价对象紧邻城市支路——天达路，周边有348路、411路、457路公交线路等，综合评价交通便捷度一般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城市支路——天达路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自然环境：富力又一城公园、红军公园、郎各庄村休闲公园等；人文环境：估价对象周边人文环境较少，综合评价环境状况一般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估价对象紧邻城市支路——天达路，周边有348路、411路、457路公交线路等，综合评价交通便捷度一般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城市支路——天达路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自然环境：富力又一城公园、红军公园、郎各庄村休闲公园等；人文环境：估价对象周边人文环境较少，综合评价环境状况一般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估价对象周边有朝丰家园、恒大御景湾、怡景城花园、润枫领尚等居住小区，小区规模和社区发展完善程度较好，综合评价居住社区成熟度较好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估价对象紧邻城市支路——天达路，周边有348路、411路、457路公交线路等，综合评价交通便捷度一般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城市支路——天达路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自然环境：富力又一城公园、红军公园、郎各庄村休闲公园等；人文环境：估价对象周边人文环境较少，综合评价环境状况一般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1033</v>
      </c>
      <c r="C1" s="3104"/>
      <c r="D1" s="3104"/>
      <c r="E1" s="3104"/>
      <c r="F1" s="3104"/>
      <c r="G1" s="3100" t="s">
        <v>1034</v>
      </c>
      <c r="H1" s="3100"/>
      <c r="I1" s="3100"/>
      <c r="J1" s="3100"/>
      <c r="K1" s="3100"/>
      <c r="L1" s="3100"/>
      <c r="N1" s="3100" t="s">
        <v>1035</v>
      </c>
      <c r="O1" s="3100"/>
      <c r="P1" s="3100"/>
      <c r="Q1" s="3100"/>
      <c r="R1" s="1547"/>
      <c r="S1" s="3100" t="s">
        <v>1036</v>
      </c>
      <c r="T1" s="3100"/>
      <c r="U1" s="3100"/>
      <c r="V1" s="3100"/>
      <c r="X1" s="3099" t="s">
        <v>1037</v>
      </c>
      <c r="Y1" s="3100"/>
      <c r="Z1" s="3100"/>
      <c r="AA1" s="3100"/>
      <c r="AB1" s="3100"/>
      <c r="AD1" s="3099" t="s">
        <v>1038</v>
      </c>
      <c r="AE1" s="3100"/>
      <c r="AF1" s="3100"/>
      <c r="AG1" s="3100"/>
      <c r="AH1" s="3100"/>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43125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1" zoomScale="95" zoomScaleNormal="95" workbookViewId="0">
      <selection activeCell="A144" sqref="A14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9"/>
      <c r="B3" s="1929"/>
      <c r="C3" s="1929"/>
      <c r="D3" s="1929"/>
      <c r="E3" s="1929"/>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6"/>
      <c r="B5" s="1930" t="s">
        <v>742</v>
      </c>
      <c r="C5" s="2770" t="s">
        <v>783</v>
      </c>
      <c r="D5" s="2771"/>
      <c r="E5" s="1926"/>
    </row>
    <row r="6" spans="1:5" ht="14.25">
      <c r="A6" s="1926"/>
      <c r="B6" s="1931" t="str">
        <f>项目基本情况!I1</f>
        <v>房地产</v>
      </c>
      <c r="C6" s="2772">
        <f>项目基本情况!C12</f>
        <v>121.68</v>
      </c>
      <c r="D6" s="2772"/>
      <c r="E6" s="1926"/>
    </row>
    <row r="7" spans="1:5" ht="14.25">
      <c r="A7" s="1926"/>
      <c r="B7" s="2766" t="s">
        <v>784</v>
      </c>
      <c r="C7" s="1932" t="str">
        <f>IF('数据-取费表'!B3="万元","总价（万元）","总价（元）")</f>
        <v>总价（元）</v>
      </c>
      <c r="D7" s="1933">
        <f ca="1">IF('数据-取费表'!E3="否",结果表!I102,'结果表 (1修多)'!I103)</f>
        <v>5448587</v>
      </c>
      <c r="E7" s="1926"/>
    </row>
    <row r="8" spans="1:5" ht="28.5">
      <c r="A8" s="1926"/>
      <c r="B8" s="2766"/>
      <c r="C8" s="1934" t="s">
        <v>1175</v>
      </c>
      <c r="D8" s="1935" t="str">
        <f ca="1">IF('数据-取费表'!B3="万元",NUMBERSTRING(INT(D7*10000),2)&amp;"元整",NUMBERSTRING(INT(D7),2)&amp;"元整")</f>
        <v>伍佰肆拾肆万捌仟伍佰捌拾柒元整</v>
      </c>
      <c r="E8" s="1926"/>
    </row>
    <row r="9" spans="1:5" ht="14.25">
      <c r="A9" s="1926"/>
      <c r="B9" s="2766"/>
      <c r="C9" s="1936" t="s">
        <v>1274</v>
      </c>
      <c r="D9" s="1933">
        <f ca="1">IF('数据-取费表'!E3="否",结果表!I103,'结果表 (1修多)'!I104)</f>
        <v>44778</v>
      </c>
      <c r="E9" s="1926"/>
    </row>
    <row r="10" spans="1:5" ht="14.25">
      <c r="A10" s="1926"/>
      <c r="B10" s="2773"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3"/>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3" t="str">
        <f>IF('数据-取费表'!E3="否",结果表!F110,'结果表 (1修多)'!F111)</f>
        <v>3.房地产抵押价值</v>
      </c>
      <c r="C15" s="1927" t="str">
        <f>C7</f>
        <v>总价（元）</v>
      </c>
      <c r="D15" s="1933">
        <f ca="1">IF('数据-取费表'!E3="否",结果表!I110,'结果表 (1修多)'!I111)</f>
        <v>5448587</v>
      </c>
      <c r="E15" s="1926"/>
    </row>
    <row r="16" spans="1:5" ht="28.5">
      <c r="A16" s="1926"/>
      <c r="B16" s="2773"/>
      <c r="C16" s="1934" t="s">
        <v>1175</v>
      </c>
      <c r="D16" s="1933" t="str">
        <f ca="1">IF('数据-取费表'!B3="万元",NUMBERSTRING(INT(D15*10000),2)&amp;"元整",NUMBERSTRING(INT(D15),2)&amp;"元整")</f>
        <v>伍佰肆拾肆万捌仟伍佰捌拾柒元整</v>
      </c>
      <c r="E16" s="1926"/>
    </row>
    <row r="17" spans="1:5" ht="14.25">
      <c r="A17" s="1926"/>
      <c r="B17" s="2773"/>
      <c r="C17" s="1936" t="s">
        <v>1274</v>
      </c>
      <c r="D17" s="1933">
        <f ca="1">IF('数据-取费表'!E3="否",结果表!I111,'结果表 (1修多)'!I112)</f>
        <v>44778</v>
      </c>
      <c r="E17" s="1926"/>
    </row>
    <row r="18" spans="1:5" ht="14.25">
      <c r="A18" s="1926"/>
      <c r="B18" s="2773" t="str">
        <f>IF('数据-取费表'!E3="否",结果表!F112,'结果表 (1修多)'!F113)</f>
        <v>——</v>
      </c>
      <c r="C18" s="1927" t="str">
        <f>C7</f>
        <v>总价（元）</v>
      </c>
      <c r="D18" s="1933" t="str">
        <f>IF('数据-取费表'!E3="否",结果表!I112,'结果表 (1修多)'!I113)</f>
        <v>——</v>
      </c>
      <c r="E18" s="1926"/>
    </row>
    <row r="19" spans="1:5" ht="14.25">
      <c r="A19" s="1926"/>
      <c r="B19" s="2773"/>
      <c r="C19" s="1934" t="s">
        <v>1175</v>
      </c>
      <c r="D19" s="1933" t="e">
        <f>IF('数据-取费表'!B3="万元",NUMBERSTRING(INT(D18*10000),2)&amp;"元整",NUMBERSTRING(INT(D18),2)&amp;"元整")</f>
        <v>#VALUE!</v>
      </c>
      <c r="E19" s="1926"/>
    </row>
    <row r="20" spans="1:5" ht="14.25">
      <c r="A20" s="1926"/>
      <c r="B20" s="2773"/>
      <c r="C20" s="1936" t="s">
        <v>1274</v>
      </c>
      <c r="D20" s="1933" t="str">
        <f>IF('数据-取费表'!E3="否",结果表!I113,'结果表 (1修多)'!I114)</f>
        <v>——</v>
      </c>
      <c r="E20" s="1926"/>
    </row>
    <row r="21" spans="1:5" ht="14.25">
      <c r="A21" s="1926"/>
      <c r="B21" s="2766" t="str">
        <f>IF('数据-取费表'!E3="否",结果表!F114,'结果表 (1修多)'!F115)</f>
        <v>——</v>
      </c>
      <c r="C21" s="1932" t="str">
        <f>C7</f>
        <v>总价（元）</v>
      </c>
      <c r="D21" s="1933" t="str">
        <f>IF('数据-取费表'!E3="否",结果表!I114,'结果表 (1修多)'!I115)</f>
        <v>——</v>
      </c>
      <c r="E21" s="1926"/>
    </row>
    <row r="22" spans="1:5" ht="14.25">
      <c r="A22" s="1926"/>
      <c r="B22" s="2766"/>
      <c r="C22" s="1934" t="s">
        <v>1175</v>
      </c>
      <c r="D22" s="1935" t="e">
        <f>IF('数据-取费表'!B3="万元",NUMBERSTRING(INT(D21*10000),2)&amp;"元整",NUMBERSTRING(INT(D21),2)&amp;"元整")</f>
        <v>#VALUE!</v>
      </c>
      <c r="E22" s="1926"/>
    </row>
    <row r="23" spans="1:5" ht="15" thickBot="1">
      <c r="A23" s="1926"/>
      <c r="B23" s="2767"/>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5448587</v>
      </c>
      <c r="E28" s="1926"/>
    </row>
    <row r="29" spans="1:5" ht="28.5">
      <c r="A29" s="1926"/>
      <c r="B29" s="2752"/>
      <c r="C29" s="1945" t="s">
        <v>1175</v>
      </c>
      <c r="D29" s="1946" t="str">
        <f ca="1">IF('数据-取费表'!B3="万元",NUMBERSTRING(INT(D28*10000),2)&amp;"元整",NUMBERSTRING(INT(D28),2)&amp;"元整")</f>
        <v>伍佰肆拾肆万捌仟伍佰捌拾柒元整</v>
      </c>
      <c r="E29" s="1926"/>
    </row>
    <row r="30" spans="1:5" ht="14.25">
      <c r="A30" s="1926"/>
      <c r="B30" s="2753"/>
      <c r="C30" s="1936" t="s">
        <v>1178</v>
      </c>
      <c r="D30" s="1947">
        <f ca="1">IF('数据-取费表'!E3="否",结果表!I103,'结果表 (1修多)'!I104)</f>
        <v>44778</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5448587</v>
      </c>
      <c r="E36" s="1926"/>
    </row>
    <row r="37" spans="1:5" ht="28.5">
      <c r="A37" s="1926"/>
      <c r="B37" s="2754"/>
      <c r="C37" s="1945" t="s">
        <v>1175</v>
      </c>
      <c r="D37" s="1950" t="str">
        <f ca="1">IF('数据-取费表'!B3="万元",NUMBERSTRING(INT(D36*10000),2)&amp;"元整",NUMBERSTRING(INT(D36),2)&amp;"元整")</f>
        <v>伍佰肆拾肆万捌仟伍佰捌拾柒元整</v>
      </c>
      <c r="E37" s="1926"/>
    </row>
    <row r="38" spans="1:5" ht="14.25">
      <c r="A38" s="1926"/>
      <c r="B38" s="2754"/>
      <c r="C38" s="1936" t="s">
        <v>1179</v>
      </c>
      <c r="D38" s="1947">
        <f ca="1">IF('数据-取费表'!E3="否",结果表!D113,'结果表 (1修多)'!D116)</f>
        <v>44778</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4"/>
      <c r="B3" s="2774"/>
      <c r="C3" s="2774"/>
      <c r="D3" s="1048" t="s">
        <v>1281</v>
      </c>
      <c r="E3" s="1048" t="s">
        <v>1282</v>
      </c>
      <c r="F3" s="1048" t="s">
        <v>1281</v>
      </c>
      <c r="G3" s="1048" t="s">
        <v>1283</v>
      </c>
      <c r="H3" s="1048" t="s">
        <v>1281</v>
      </c>
      <c r="I3" s="1048" t="s">
        <v>1283</v>
      </c>
    </row>
    <row r="4" spans="1:9" ht="46.5" customHeight="1">
      <c r="A4" s="1048" t="str">
        <f>项目基本情况!I1</f>
        <v>房地产</v>
      </c>
      <c r="B4" s="1048">
        <f>结果表!B121</f>
        <v>121.68</v>
      </c>
      <c r="C4" s="1048">
        <f>结果表!C121</f>
        <v>0</v>
      </c>
      <c r="D4" s="1048">
        <f ca="1">IF('数据-取费表'!E3="否",结果表!D121,'结果表 (1修多)'!D124)</f>
        <v>4685775</v>
      </c>
      <c r="E4" s="1048">
        <f ca="1">IF('数据-取费表'!E3="否",结果表!E121,'结果表 (1修多)'!E124)</f>
        <v>38509</v>
      </c>
      <c r="F4" s="1048">
        <f ca="1">IF('数据-取费表'!E3="否",结果表!F121,'结果表 (1修多)'!F124)</f>
        <v>762812</v>
      </c>
      <c r="G4" s="1048">
        <f ca="1">IF('数据-取费表'!E3="否",结果表!G121,'结果表 (1修多)'!G124)</f>
        <v>6269</v>
      </c>
      <c r="H4" s="1048">
        <f ca="1">IF('数据-取费表'!E3="否",结果表!H121,'结果表 (1修多)'!H124)</f>
        <v>5448587</v>
      </c>
      <c r="I4" s="1048">
        <f ca="1">IF('数据-取费表'!E3="否",结果表!I121,'结果表 (1修多)'!I124)</f>
        <v>44778</v>
      </c>
    </row>
    <row r="5" spans="1:9" ht="15">
      <c r="A5" s="2774" t="s">
        <v>1284</v>
      </c>
      <c r="B5" s="2774"/>
      <c r="C5" s="2774"/>
      <c r="D5" s="2775" t="str">
        <f ca="1">IF('数据-取费表'!E3="否",结果表!D122,'结果表 (1修多)'!D125)</f>
        <v>肆佰陆拾捌万伍仟柒佰柒拾伍元整</v>
      </c>
      <c r="E5" s="2775"/>
      <c r="F5" s="2775" t="str">
        <f ca="1">IF('数据-取费表'!E3="否",结果表!F122,'结果表 (1修多)'!F125)</f>
        <v>柒拾陆万贰仟捌佰壹拾贰元整</v>
      </c>
      <c r="G5" s="2775"/>
      <c r="H5" s="2775" t="str">
        <f ca="1">IF('数据-取费表'!E3="否",结果表!H122,'结果表 (1修多)'!H125)</f>
        <v>伍佰肆拾肆万捌仟伍佰捌拾柒元整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4" t="s">
        <v>1284</v>
      </c>
      <c r="B7" s="2774"/>
      <c r="C7" s="2774"/>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5448587</v>
      </c>
      <c r="E8" s="2776"/>
      <c r="F8" s="2776"/>
      <c r="G8" s="2776"/>
      <c r="H8" s="2776"/>
      <c r="I8" s="2776"/>
    </row>
    <row r="9" spans="1:9" ht="15">
      <c r="A9" s="2774" t="s">
        <v>1284</v>
      </c>
      <c r="B9" s="2774"/>
      <c r="C9" s="2774"/>
      <c r="D9" s="2775">
        <f ca="1">IF('数据-取费表'!E3="否",结果表!D126,'结果表 (1修多)'!D129)</f>
        <v>44778</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4" t="s">
        <v>1284</v>
      </c>
      <c r="B11" s="2774"/>
      <c r="C11" s="2774"/>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77" t="s">
        <v>1284</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6" t="s">
        <v>1298</v>
      </c>
      <c r="B1" s="2786"/>
      <c r="C1" s="2786"/>
      <c r="D1" s="2786"/>
    </row>
    <row r="2" spans="1:4" ht="18">
      <c r="A2" s="2785" t="s">
        <v>1286</v>
      </c>
      <c r="B2" s="2785"/>
      <c r="C2" s="2785"/>
      <c r="D2" s="2785"/>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5" t="s">
        <v>1291</v>
      </c>
      <c r="B7" s="2785"/>
      <c r="C7" s="2785"/>
      <c r="D7" s="2785"/>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7" t="s">
        <v>1300</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1301</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1294</v>
      </c>
      <c r="B20" s="2789"/>
      <c r="C20" s="2789"/>
      <c r="D20" s="2789"/>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9" t="s">
        <v>1385</v>
      </c>
      <c r="B19" s="1980"/>
      <c r="C19" s="1981"/>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2" t="s">
        <v>1391</v>
      </c>
    </row>
    <row r="24" spans="1:3" ht="14.25">
      <c r="A24" s="2793"/>
      <c r="B24" s="2794"/>
      <c r="C24" s="1982" t="s">
        <v>1392</v>
      </c>
    </row>
    <row r="25" spans="1:3" ht="14.25">
      <c r="A25" s="2793"/>
      <c r="B25" s="2794"/>
      <c r="C25" s="1982" t="s">
        <v>1393</v>
      </c>
    </row>
    <row r="26" spans="1:3" ht="14.25">
      <c r="A26" s="2793"/>
      <c r="B26" s="2794"/>
      <c r="C26" s="1982" t="s">
        <v>1394</v>
      </c>
    </row>
    <row r="27" spans="1:3" ht="14.25">
      <c r="A27" s="2793"/>
      <c r="B27" s="2794"/>
      <c r="C27" s="1982" t="s">
        <v>1395</v>
      </c>
    </row>
    <row r="28" spans="1:3" ht="14.25">
      <c r="A28" s="2793"/>
      <c r="B28" s="2794"/>
      <c r="C28" s="1982" t="s">
        <v>1396</v>
      </c>
    </row>
    <row r="29" spans="1:3" ht="14.25">
      <c r="A29" s="2793"/>
      <c r="B29" s="2794"/>
      <c r="C29" s="1982" t="s">
        <v>1397</v>
      </c>
    </row>
    <row r="30" spans="1:3" ht="14.25">
      <c r="A30" s="2793"/>
      <c r="B30" s="2794"/>
      <c r="C30" s="1982" t="s">
        <v>1398</v>
      </c>
    </row>
    <row r="31" spans="1:3" ht="14.25">
      <c r="A31" s="2793"/>
      <c r="B31" s="279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43483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8" t="s">
        <v>768</v>
      </c>
      <c r="B25" s="2798"/>
      <c r="C25" s="2798"/>
      <c r="D25" s="2798"/>
      <c r="E25" s="2798"/>
      <c r="F25" s="2798"/>
      <c r="G25" s="2798"/>
      <c r="H25" s="2798"/>
    </row>
    <row r="26" spans="1:8" s="1033" customFormat="1" ht="24" customHeight="1">
      <c r="A26" s="2799" t="s">
        <v>769</v>
      </c>
      <c r="B26" s="2799"/>
      <c r="C26" s="2799"/>
      <c r="D26" s="1061"/>
      <c r="E26" s="1061"/>
      <c r="F26" s="2799" t="s">
        <v>770</v>
      </c>
      <c r="G26" s="2799"/>
      <c r="H26" s="279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本次估价的“房地产价值”是指在正常市场情况下，在价值时点2018年1月25日，估价对象规划用途为，假定未设立法定优先受偿款下的房地产市场价值。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2019-01-18T05:55:59Z</dcterms:modified>
</cp:coreProperties>
</file>