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F36" i="6"/>
  <c r="C88" i="9" l="1"/>
  <c r="I10" i="80"/>
  <c r="AD6" i="1"/>
  <c r="AD21" i="1"/>
  <c r="AD19" i="1"/>
  <c r="U6" i="1"/>
  <c r="D42" i="43"/>
  <c r="K15" i="3"/>
  <c r="L20" i="1"/>
  <c r="M22" i="1"/>
  <c r="L22" i="1"/>
  <c r="B59" i="1" l="1"/>
  <c r="E19" i="80" l="1"/>
  <c r="I91" i="9"/>
  <c r="I15" i="80"/>
  <c r="F10" i="80" l="1"/>
  <c r="I11" i="80"/>
  <c r="E10" i="80"/>
  <c r="F15" i="80"/>
  <c r="F16" i="80"/>
  <c r="F17" i="80"/>
  <c r="F18" i="80"/>
  <c r="F14" i="80"/>
  <c r="F19" i="6" l="1"/>
  <c r="G22" i="4"/>
  <c r="E104" i="33" l="1"/>
  <c r="F104" i="33"/>
  <c r="G104" i="33"/>
  <c r="D104" i="33"/>
  <c r="J52" i="67" l="1"/>
  <c r="G89" i="33"/>
  <c r="E89" i="33"/>
  <c r="F89" i="33"/>
  <c r="D89" i="33"/>
  <c r="O19" i="1"/>
  <c r="N19" i="1"/>
  <c r="N17" i="1"/>
  <c r="J49" i="67" s="1"/>
  <c r="G23" i="4"/>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AC15" i="3"/>
  <c r="H16" i="3"/>
  <c r="AC16" i="3"/>
  <c r="H17" i="3"/>
  <c r="AC17" i="3"/>
  <c r="AT5" i="3"/>
  <c r="I5" i="3"/>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H15" i="3" s="1"/>
  <c r="G15" i="3" s="1"/>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C52" i="37"/>
  <c r="D52" i="37" s="1"/>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B13" i="76"/>
  <c r="F6" i="73"/>
  <c r="E8" i="76"/>
  <c r="F42" i="67"/>
  <c r="M28" i="67"/>
  <c r="B12" i="76"/>
  <c r="M9" i="67"/>
  <c r="D3" i="73"/>
  <c r="F40" i="67"/>
  <c r="B10" i="76"/>
  <c r="F13" i="67"/>
  <c r="E10" i="76"/>
  <c r="F20" i="31"/>
  <c r="F8" i="67"/>
  <c r="F26" i="67"/>
  <c r="E7" i="76"/>
  <c r="F5" i="73"/>
  <c r="E13" i="76"/>
  <c r="J15" i="67"/>
  <c r="B7" i="76"/>
  <c r="C76" i="67"/>
  <c r="E9" i="76"/>
  <c r="L47" i="67"/>
  <c r="D4" i="73"/>
  <c r="F6" i="67"/>
  <c r="B9" i="76"/>
  <c r="M8" i="67"/>
  <c r="M6" i="67"/>
  <c r="F16" i="67"/>
  <c r="D5" i="73"/>
  <c r="F4" i="73"/>
  <c r="B11" i="76"/>
  <c r="AO13" i="1"/>
  <c r="B8" i="76"/>
  <c r="E11" i="76"/>
  <c r="E2" i="69"/>
  <c r="D7" i="73"/>
  <c r="M24" i="67"/>
  <c r="M23" i="67"/>
  <c r="F37" i="67"/>
  <c r="M26" i="67"/>
  <c r="D6" i="73"/>
  <c r="F36" i="67"/>
  <c r="F7" i="73"/>
  <c r="F3" i="73"/>
  <c r="M22" i="67"/>
  <c r="F38" i="67"/>
  <c r="E12" i="76"/>
  <c r="E2" i="68"/>
  <c r="BC15" i="3" l="1"/>
  <c r="K5" i="3"/>
  <c r="G19" i="6" s="1"/>
  <c r="G18" i="3"/>
  <c r="BA18" i="3"/>
  <c r="G19" i="3"/>
  <c r="J51" i="15"/>
  <c r="F11" i="1"/>
  <c r="G11" i="1" s="1"/>
  <c r="G44" i="43"/>
  <c r="G23" i="43"/>
  <c r="A1" i="79" s="1"/>
  <c r="C7" i="33"/>
  <c r="C42" i="1"/>
  <c r="C30" i="69" s="1"/>
  <c r="M47" i="9"/>
  <c r="C7" i="35"/>
  <c r="C48" i="35" s="1"/>
  <c r="D48" i="35" s="1"/>
  <c r="E48" i="35" s="1"/>
  <c r="J51" i="67"/>
  <c r="F8" i="1"/>
  <c r="G8" i="1" s="1"/>
  <c r="G1" i="68"/>
  <c r="G1" i="69"/>
  <c r="G1" i="15"/>
  <c r="B6" i="1"/>
  <c r="E6" i="1" s="1"/>
  <c r="AZ18" i="3"/>
  <c r="BL15" i="3"/>
  <c r="BL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G5" i="3"/>
  <c r="B3" i="3"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F8" i="15"/>
  <c r="F42" i="15"/>
  <c r="F40" i="15"/>
  <c r="L48" i="67"/>
  <c r="F16" i="15"/>
  <c r="F36" i="15"/>
  <c r="F26" i="15"/>
  <c r="M28" i="15"/>
  <c r="F6" i="15"/>
  <c r="M24" i="15"/>
  <c r="J15" i="15"/>
  <c r="M9" i="15"/>
  <c r="M22" i="15"/>
  <c r="M8" i="15"/>
  <c r="F9" i="15"/>
  <c r="F37" i="15"/>
  <c r="L48" i="15"/>
  <c r="F13" i="15"/>
  <c r="C76" i="15"/>
  <c r="M6" i="15"/>
  <c r="G1" i="73"/>
  <c r="L47" i="15"/>
  <c r="M23" i="15"/>
  <c r="M26" i="15"/>
  <c r="F38" i="15"/>
  <c r="K6" i="1" l="1"/>
  <c r="U19" i="1"/>
  <c r="G27" i="6"/>
  <c r="AZ15" i="3"/>
  <c r="AZ5" i="3" s="1"/>
  <c r="BC5" i="3"/>
  <c r="BA15" i="3"/>
  <c r="BA5" i="3" s="1"/>
  <c r="E253" i="3"/>
  <c r="E11" i="80"/>
  <c r="C23" i="43"/>
  <c r="C77" i="9"/>
  <c r="C74" i="9" s="1"/>
  <c r="C48" i="69"/>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L21" i="1" s="1"/>
  <c r="L19" i="1" s="1"/>
  <c r="M19" i="1" s="1"/>
  <c r="M25" i="1" s="1"/>
  <c r="M26" i="1"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Q16" i="1"/>
  <c r="F27" i="69" s="1"/>
  <c r="F45" i="69" s="1"/>
  <c r="J57" i="67"/>
  <c r="J55" i="67" s="1"/>
  <c r="J58" i="67" s="1"/>
  <c r="Q50" i="67" s="1"/>
  <c r="L56" i="67"/>
  <c r="L58" i="67"/>
  <c r="Q73" i="67" s="1"/>
  <c r="I54" i="67"/>
  <c r="J53" i="67"/>
  <c r="F1" i="67" s="1"/>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C9" i="69"/>
  <c r="C9" i="68"/>
  <c r="E72" i="43"/>
  <c r="B70" i="43" s="1"/>
  <c r="E27" i="6"/>
  <c r="K26" i="6" s="1"/>
  <c r="M26" i="6" s="1"/>
  <c r="I26" i="6" s="1"/>
  <c r="S26" i="6" s="1"/>
  <c r="F31" i="6"/>
  <c r="E51" i="40"/>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7" i="15"/>
  <c r="F43" i="67"/>
  <c r="M29" i="15"/>
  <c r="F43" i="15"/>
  <c r="F7" i="67"/>
  <c r="M29" i="67"/>
  <c r="C16" i="15"/>
  <c r="M7" i="67" l="1"/>
  <c r="J6" i="67" s="1"/>
  <c r="J18" i="67" s="1"/>
  <c r="F50" i="67"/>
  <c r="C49" i="67" s="1"/>
  <c r="C6" i="67"/>
  <c r="C32" i="67" s="1"/>
  <c r="F71" i="15"/>
  <c r="F50" i="15"/>
  <c r="C49" i="15" s="1"/>
  <c r="C6" i="15"/>
  <c r="C32" i="15" s="1"/>
  <c r="M7" i="15"/>
  <c r="J6" i="15" s="1"/>
  <c r="J18" i="15" s="1"/>
  <c r="F71" i="67"/>
  <c r="E3" i="6"/>
  <c r="AY6" i="3"/>
  <c r="AY51" i="3" s="1"/>
  <c r="H42" i="43"/>
  <c r="D1" i="43"/>
  <c r="E15" i="6"/>
  <c r="E14" i="6"/>
  <c r="E11" i="6"/>
  <c r="E10" i="6"/>
  <c r="E12" i="6"/>
  <c r="E13" i="6"/>
  <c r="G16" i="1"/>
  <c r="I16" i="80"/>
  <c r="G11" i="80"/>
  <c r="U7" i="36"/>
  <c r="Q52" i="15"/>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AG11" i="1"/>
  <c r="AG9" i="1"/>
  <c r="AG10" i="1"/>
  <c r="AG8" i="1"/>
  <c r="AG12" i="1"/>
  <c r="AG7" i="1"/>
  <c r="K21" i="6"/>
  <c r="S8" i="1" s="1"/>
  <c r="E8" i="70" s="1"/>
  <c r="K25" i="6"/>
  <c r="K20" i="6"/>
  <c r="K23" i="6"/>
  <c r="K22" i="6"/>
  <c r="E31" i="6"/>
  <c r="K24" i="6"/>
  <c r="K19" i="6"/>
  <c r="S6" i="1" s="1"/>
  <c r="O14" i="1"/>
  <c r="O16" i="1" s="1"/>
  <c r="M16" i="1"/>
  <c r="AY83" i="3"/>
  <c r="AY66" i="3"/>
  <c r="AY23" i="3"/>
  <c r="AY207" i="3"/>
  <c r="AY155" i="3"/>
  <c r="AY124" i="3"/>
  <c r="AY115" i="3"/>
  <c r="AY42" i="3"/>
  <c r="AY188" i="3"/>
  <c r="AY131" i="3"/>
  <c r="AY276" i="3"/>
  <c r="AY58" i="3"/>
  <c r="AY168" i="3"/>
  <c r="AY268" i="3"/>
  <c r="AY236" i="3"/>
  <c r="AY225" i="3"/>
  <c r="AY366" i="3"/>
  <c r="AY335" i="3"/>
  <c r="AY103" i="3"/>
  <c r="AY50" i="3"/>
  <c r="AY160" i="3"/>
  <c r="AY139" i="3"/>
  <c r="AY183" i="3"/>
  <c r="AY123" i="3"/>
  <c r="AY261" i="3"/>
  <c r="AY252" i="3"/>
  <c r="AY209" i="3"/>
  <c r="AY319" i="3"/>
  <c r="AY473" i="3"/>
  <c r="AY460" i="3"/>
  <c r="AY428" i="3"/>
  <c r="AY529" i="3"/>
  <c r="AY106" i="3"/>
  <c r="AY26" i="3"/>
  <c r="AY245" i="3"/>
  <c r="AY260" i="3"/>
  <c r="AY217" i="3"/>
  <c r="AY372" i="3"/>
  <c r="AY327" i="3"/>
  <c r="AY342" i="3"/>
  <c r="AY463" i="3"/>
  <c r="AY452" i="3"/>
  <c r="AY420" i="3"/>
  <c r="AY513" i="3"/>
  <c r="AY549" i="3"/>
  <c r="AY544" i="3"/>
  <c r="AY533" i="3"/>
  <c r="BE6" i="3"/>
  <c r="AY553" i="3"/>
  <c r="AY92" i="3"/>
  <c r="AY77" i="3"/>
  <c r="AY61" i="3"/>
  <c r="AY60" i="3"/>
  <c r="AY44" i="3"/>
  <c r="AY33" i="3"/>
  <c r="AY190" i="3"/>
  <c r="AY185" i="3"/>
  <c r="AY170" i="3"/>
  <c r="AY165" i="3"/>
  <c r="AY149" i="3"/>
  <c r="AY133" i="3"/>
  <c r="AY299" i="3"/>
  <c r="AY283" i="3"/>
  <c r="AY278" i="3"/>
  <c r="AY247" i="3"/>
  <c r="AY262" i="3"/>
  <c r="AY246" i="3"/>
  <c r="AY219" i="3"/>
  <c r="AY392" i="3"/>
  <c r="AY397" i="3"/>
  <c r="AY357" i="3"/>
  <c r="AY360" i="3"/>
  <c r="BH6" i="3"/>
  <c r="AY109" i="3"/>
  <c r="AY73" i="3"/>
  <c r="AY41" i="3"/>
  <c r="AY202" i="3"/>
  <c r="AY197" i="3"/>
  <c r="AY166" i="3"/>
  <c r="AY114" i="3"/>
  <c r="AY295" i="3"/>
  <c r="AY259" i="3"/>
  <c r="AY242" i="3"/>
  <c r="AY388" i="3"/>
  <c r="AY377" i="3"/>
  <c r="AY333" i="3"/>
  <c r="AY317" i="3"/>
  <c r="AY348" i="3"/>
  <c r="AY491" i="3"/>
  <c r="AY475" i="3"/>
  <c r="AY472" i="3"/>
  <c r="AY462" i="3"/>
  <c r="AY430" i="3"/>
  <c r="AY414" i="3"/>
  <c r="AY411" i="3"/>
  <c r="AY581" i="3"/>
  <c r="BQ6" i="3"/>
  <c r="AY561" i="3"/>
  <c r="AY534" i="3"/>
  <c r="AY571" i="3"/>
  <c r="AY495" i="3"/>
  <c r="BG6" i="3"/>
  <c r="AY16" i="3"/>
  <c r="AY18" i="3"/>
  <c r="AY171" i="3"/>
  <c r="AY90" i="3"/>
  <c r="AY237" i="3"/>
  <c r="AY387" i="3"/>
  <c r="AY486" i="3"/>
  <c r="AY425" i="3"/>
  <c r="AY199" i="3"/>
  <c r="AY269" i="3"/>
  <c r="AY355" i="3"/>
  <c r="AY311" i="3"/>
  <c r="AY481" i="3"/>
  <c r="AY535" i="3"/>
  <c r="AY562" i="3"/>
  <c r="BO6" i="3"/>
  <c r="AY89" i="3"/>
  <c r="AY53" i="3"/>
  <c r="AY68" i="3"/>
  <c r="AY182" i="3"/>
  <c r="AY178" i="3"/>
  <c r="AY146" i="3"/>
  <c r="AY117" i="3"/>
  <c r="AY302" i="3"/>
  <c r="AY239" i="3"/>
  <c r="AY222" i="3"/>
  <c r="AY389" i="3"/>
  <c r="AY365" i="3"/>
  <c r="AY93" i="3"/>
  <c r="AY57" i="3"/>
  <c r="AY40" i="3"/>
  <c r="AY130" i="3"/>
  <c r="AY279" i="3"/>
  <c r="AY226" i="3"/>
  <c r="AY356" i="3"/>
  <c r="AY340" i="3"/>
  <c r="AY308" i="3"/>
  <c r="AY454" i="3"/>
  <c r="AY422" i="3"/>
  <c r="AY435" i="3"/>
  <c r="AY516" i="3"/>
  <c r="BN6" i="3"/>
  <c r="AY518" i="3"/>
  <c r="AY508" i="3"/>
  <c r="AY556" i="3"/>
  <c r="AY496" i="3"/>
  <c r="AY112" i="3"/>
  <c r="AY81" i="3"/>
  <c r="AY49" i="3"/>
  <c r="AY132" i="3"/>
  <c r="AY31" i="3"/>
  <c r="AY147" i="3"/>
  <c r="AY350" i="3"/>
  <c r="AY455" i="3"/>
  <c r="AY412" i="3"/>
  <c r="AY116" i="3"/>
  <c r="AY229" i="3"/>
  <c r="AY212" i="3"/>
  <c r="AY326" i="3"/>
  <c r="AY478" i="3"/>
  <c r="AY417" i="3"/>
  <c r="AY573" i="3"/>
  <c r="AY539" i="3"/>
  <c r="AY105" i="3"/>
  <c r="AY84" i="3"/>
  <c r="AY52" i="3"/>
  <c r="AY20" i="3"/>
  <c r="AY162" i="3"/>
  <c r="AY173" i="3"/>
  <c r="AY134" i="3"/>
  <c r="AY286" i="3"/>
  <c r="AY270" i="3"/>
  <c r="AY238" i="3"/>
  <c r="AY373" i="3"/>
  <c r="AY368" i="3"/>
  <c r="AY507" i="3"/>
  <c r="AY72" i="3"/>
  <c r="AY29" i="3"/>
  <c r="AY161" i="3"/>
  <c r="AY275" i="3"/>
  <c r="AY215" i="3"/>
  <c r="AY370" i="3"/>
  <c r="AY324" i="3"/>
  <c r="AY483" i="3"/>
  <c r="AY480" i="3"/>
  <c r="AY406" i="3"/>
  <c r="AY419" i="3"/>
  <c r="AY503"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469" i="3"/>
  <c r="AY466" i="3"/>
  <c r="AY456" i="3"/>
  <c r="AY437" i="3"/>
  <c r="AY405" i="3"/>
  <c r="AY558" i="3"/>
  <c r="AY560" i="3"/>
  <c r="AY512" i="3"/>
  <c r="BL6" i="3"/>
  <c r="AY91" i="3"/>
  <c r="AY86" i="3"/>
  <c r="AY55" i="3"/>
  <c r="AY38" i="3"/>
  <c r="AY27" i="3"/>
  <c r="AY184" i="3"/>
  <c r="AY148" i="3"/>
  <c r="AY159" i="3"/>
  <c r="AY128" i="3"/>
  <c r="AY277" i="3"/>
  <c r="AY273" i="3"/>
  <c r="AY241" i="3"/>
  <c r="AY224" i="3"/>
  <c r="AY213" i="3"/>
  <c r="AY391" i="3"/>
  <c r="AY354" i="3"/>
  <c r="AY323" i="3"/>
  <c r="AY338" i="3"/>
  <c r="AY490" i="3"/>
  <c r="AY459" i="3"/>
  <c r="AY448" i="3"/>
  <c r="AY429" i="3"/>
  <c r="AY550" i="3"/>
  <c r="BD6" i="3"/>
  <c r="AY511" i="3"/>
  <c r="AY504" i="3"/>
  <c r="AY586"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F25" i="12"/>
  <c r="F22" i="69"/>
  <c r="F41" i="69" s="1"/>
  <c r="F24" i="67"/>
  <c r="C24" i="67" s="1"/>
  <c r="F22" i="11"/>
  <c r="F22" i="68"/>
  <c r="F24" i="15"/>
  <c r="C24" i="15" s="1"/>
  <c r="C16" i="67"/>
  <c r="AE6" i="1"/>
  <c r="F41" i="15"/>
  <c r="F41" i="67"/>
  <c r="C5" i="15" l="1"/>
  <c r="C38" i="15" s="1"/>
  <c r="J5" i="67"/>
  <c r="J24" i="67" s="1"/>
  <c r="C48" i="67"/>
  <c r="C66" i="67" s="1"/>
  <c r="J5" i="15"/>
  <c r="J24" i="15" s="1"/>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41" i="3"/>
  <c r="AY121" i="3"/>
  <c r="AY88" i="3"/>
  <c r="AY227" i="3"/>
  <c r="AY291" i="3"/>
  <c r="AY193" i="3"/>
  <c r="AY100" i="3"/>
  <c r="AY557" i="3"/>
  <c r="AY343" i="3"/>
  <c r="AY497" i="3"/>
  <c r="AY220" i="3"/>
  <c r="AY191" i="3"/>
  <c r="AY577" i="3"/>
  <c r="AY559" i="3"/>
  <c r="AY525" i="3"/>
  <c r="AY467" i="3"/>
  <c r="AY393" i="3"/>
  <c r="AY150" i="3"/>
  <c r="BS6" i="3"/>
  <c r="AY254" i="3"/>
  <c r="AY126" i="3"/>
  <c r="AY36" i="3"/>
  <c r="AY555" i="3"/>
  <c r="AY404" i="3"/>
  <c r="AY244" i="3"/>
  <c r="AY444" i="3"/>
  <c r="AY75" i="3"/>
  <c r="AY501" i="3"/>
  <c r="AY546" i="3"/>
  <c r="AY585" i="3"/>
  <c r="AY398" i="3"/>
  <c r="AY457" i="3"/>
  <c r="AY316" i="3"/>
  <c r="AY353" i="3"/>
  <c r="AY274" i="3"/>
  <c r="AY145" i="3"/>
  <c r="AY56" i="3"/>
  <c r="BJ6" i="3"/>
  <c r="AY374" i="3"/>
  <c r="AY230" i="3"/>
  <c r="AY263" i="3"/>
  <c r="AY125" i="3"/>
  <c r="AY154" i="3"/>
  <c r="AY206" i="3"/>
  <c r="AY76" i="3"/>
  <c r="AY97" i="3"/>
  <c r="AY569" i="3"/>
  <c r="AY401" i="3"/>
  <c r="AY310" i="3"/>
  <c r="AY395" i="3"/>
  <c r="AY300" i="3"/>
  <c r="AY441" i="3"/>
  <c r="AY318" i="3"/>
  <c r="AY284" i="3"/>
  <c r="AY289" i="3"/>
  <c r="AY67" i="3"/>
  <c r="AY371" i="3"/>
  <c r="AY297" i="3"/>
  <c r="AY281" i="3"/>
  <c r="AY59" i="3"/>
  <c r="AY176" i="3"/>
  <c r="F10" i="39"/>
  <c r="S10" i="39" s="1"/>
  <c r="J10" i="40"/>
  <c r="AC10" i="40"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F10" i="40"/>
  <c r="S10" i="40" s="1"/>
  <c r="H10" i="39"/>
  <c r="AA10" i="39"/>
  <c r="E16" i="6"/>
  <c r="E60" i="39"/>
  <c r="E56" i="40"/>
  <c r="E62" i="39"/>
  <c r="E58" i="40"/>
  <c r="E63" i="39"/>
  <c r="E59" i="40"/>
  <c r="H10" i="40"/>
  <c r="AB10" i="40" s="1"/>
  <c r="J10" i="39"/>
  <c r="W10" i="39" s="1"/>
  <c r="E57" i="40"/>
  <c r="E61" i="39"/>
  <c r="E64" i="39"/>
  <c r="E60" i="40"/>
  <c r="C48" i="15"/>
  <c r="C66" i="15" s="1"/>
  <c r="AG6" i="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M27" i="67"/>
  <c r="M27" i="15"/>
  <c r="C17" i="67"/>
  <c r="C17" i="15"/>
  <c r="AC10" i="39" l="1"/>
  <c r="AA10" i="40"/>
  <c r="C60" i="67"/>
  <c r="U10" i="40"/>
  <c r="W10" i="40"/>
  <c r="U10" i="39"/>
  <c r="AB10" i="39"/>
  <c r="E65" i="39"/>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H26" i="43"/>
  <c r="J26" i="43"/>
  <c r="N370" i="46"/>
  <c r="N94" i="46"/>
  <c r="E26" i="43"/>
  <c r="Z7" i="43"/>
  <c r="B116" i="43"/>
  <c r="F26" i="43"/>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39" i="68" l="1"/>
  <c r="C43" i="68" s="1"/>
  <c r="C91" i="9"/>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L67" i="39"/>
  <c r="K69" i="39"/>
  <c r="J65" i="40"/>
  <c r="K63" i="40"/>
  <c r="U7" i="35"/>
  <c r="AB7" i="35"/>
  <c r="T38" i="35" s="1"/>
  <c r="G38" i="35" s="1"/>
  <c r="R49" i="21"/>
  <c r="G52" i="21"/>
  <c r="H52" i="21" s="1"/>
  <c r="F7" i="35"/>
  <c r="M21" i="67"/>
  <c r="F35" i="67"/>
  <c r="F35" i="15"/>
  <c r="M21" i="15"/>
  <c r="C46" i="68" l="1"/>
  <c r="C45" i="68" s="1"/>
  <c r="C92" i="9"/>
  <c r="C94" i="9"/>
  <c r="C118" i="43"/>
  <c r="D116" i="43" s="1"/>
  <c r="C33" i="43"/>
  <c r="I52" i="21"/>
  <c r="J52"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F35" i="9" s="1"/>
  <c r="J35" i="9" s="1"/>
  <c r="C6" i="69"/>
  <c r="E33" i="43"/>
  <c r="C34" i="43"/>
  <c r="E34" i="43" s="1"/>
  <c r="C31" i="4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68" l="1"/>
  <c r="C7" i="68" s="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E6" i="76"/>
  <c r="Q69" i="15" l="1"/>
  <c r="Q68" i="15" s="1"/>
  <c r="I39" i="15"/>
  <c r="E2" i="76"/>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B6" i="76"/>
  <c r="D2" i="36"/>
  <c r="D2" i="37"/>
  <c r="L51" i="15"/>
  <c r="B2" i="76" l="1"/>
  <c r="B3" i="76" s="1"/>
  <c r="C28" i="68"/>
  <c r="C27" i="68" s="1"/>
  <c r="C25" i="68"/>
  <c r="C22" i="68" s="1"/>
  <c r="B3" i="43"/>
  <c r="C28" i="69"/>
  <c r="C27" i="69" s="1"/>
  <c r="C25" i="69"/>
  <c r="C22" i="69"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D19" i="9"/>
  <c r="AO6" i="1"/>
  <c r="AO10" i="1"/>
  <c r="AO11" i="1"/>
  <c r="AO12" i="1"/>
  <c r="AO8" i="1"/>
  <c r="AO9" i="1"/>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F34" i="9" s="1"/>
  <c r="J34" i="9" s="1"/>
  <c r="C102" i="9"/>
  <c r="D22" i="9"/>
  <c r="C21" i="9"/>
  <c r="B3" i="68"/>
  <c r="C42" i="40"/>
  <c r="C43" i="40"/>
  <c r="E47" i="40"/>
  <c r="F47" i="40" s="1"/>
  <c r="E46" i="40"/>
  <c r="F46" i="40" s="1"/>
  <c r="I47" i="40"/>
  <c r="J47" i="40" s="1"/>
  <c r="D34" i="9"/>
  <c r="C20" i="9"/>
  <c r="D35" i="9"/>
  <c r="C103" i="9" l="1"/>
  <c r="G20" i="9"/>
  <c r="C32" i="9" s="1"/>
  <c r="C35" i="9" s="1"/>
  <c r="C34" i="9" s="1"/>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H119" i="9" l="1"/>
  <c r="H5" i="52" s="1"/>
  <c r="I118" i="9"/>
  <c r="H101" i="9"/>
  <c r="M48" i="9" s="1"/>
  <c r="H4" i="52"/>
  <c r="C104" i="9"/>
  <c r="D14" i="74"/>
  <c r="G14" i="74" s="1"/>
  <c r="B6" i="74" s="1"/>
  <c r="D6" i="74" s="1"/>
  <c r="D118" i="9"/>
  <c r="H102" i="9" l="1"/>
  <c r="D7" i="53" s="1"/>
  <c r="B21" i="72" s="1"/>
  <c r="I4" i="52"/>
  <c r="C105" i="9"/>
  <c r="D45" i="9"/>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I14" i="74" s="1"/>
  <c r="B8" i="74" s="1"/>
  <c r="D8" i="74" s="1"/>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<sst xmlns="http://schemas.openxmlformats.org/spreadsheetml/2006/main" count="7988" uniqueCount="3480">
  <si>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</si>
  <si>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</si>
  <si>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</si>
  <si>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</si>
  <si>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</si>
  <si>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</si>
  <si>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</si>
  <si>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</si>
  <si>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</si>
  <si>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</si>
  <si>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</si>
  <si>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</si>
  <si>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</si>
  <si>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</si>
  <si>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</si>
  <si>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</si>
  <si>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</si>
  <si>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</si>
  <si>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</si>
  <si>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</si>
  <si>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</si>
  <si>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</si>
  <si>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</si>
  <si>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</si>
  <si>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</si>
  <si>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</si>
  <si>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</si>
  <si>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</si>
  <si>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</si>
  <si>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</si>
  <si>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</si>
  <si>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</si>
  <si>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</si>
  <si>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</si>
  <si>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</si>
  <si>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</si>
  <si>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</si>
  <si>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</si>
  <si>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</si>
  <si>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</si>
  <si>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</si>
  <si>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</si>
  <si>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</si>
  <si>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</si>
  <si>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</si>
  <si>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</si>
  <si>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</si>
  <si>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</si>
  <si>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</si>
  <si>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</si>
  <si>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</si>
  <si>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</si>
  <si>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</si>
  <si>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</si>
  <si>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</si>
  <si>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</si>
  <si>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</si>
  <si>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</si>
  <si>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</si>
  <si>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</si>
  <si>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</si>
  <si>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</si>
  <si>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</si>
  <si>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</si>
  <si>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</si>
  <si>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</si>
  <si>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</si>
  <si>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</si>
  <si>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</si>
  <si>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</si>
  <si>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</si>
  <si>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</si>
  <si>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</si>
  <si>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</si>
  <si>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</si>
  <si>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</si>
  <si>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</si>
  <si>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</si>
  <si>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</si>
  <si>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</si>
  <si>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</si>
  <si>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</si>
  <si>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</si>
  <si>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</si>
  <si>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</si>
  <si>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</si>
  <si>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</si>
  <si>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</si>
  <si>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</si>
  <si>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</si>
  <si>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</si>
  <si>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</si>
  <si>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</si>
  <si>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</si>
  <si>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</si>
  <si>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</si>
  <si>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</si>
  <si>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</si>
  <si>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</si>
  <si>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</si>
  <si>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</si>
  <si>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</si>
  <si>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</si>
  <si>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</si>
  <si>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</si>
  <si>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</si>
  <si>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</si>
  <si>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</si>
  <si>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</si>
  <si>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</si>
  <si>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</si>
  <si>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</si>
  <si>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</si>
  <si>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</si>
  <si>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</si>
  <si>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</si>
  <si>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</si>
  <si>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</si>
  <si>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</si>
  <si>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</si>
  <si>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</si>
  <si>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</si>
  <si>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</si>
  <si>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</si>
  <si>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</si>
  <si>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</si>
  <si>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</si>
  <si>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</si>
  <si>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</si>
  <si>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</si>
  <si>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</si>
  <si>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</si>
  <si>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</si>
  <si>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</si>
  <si>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</si>
  <si>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</si>
  <si>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</si>
  <si>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</si>
  <si>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</si>
  <si>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</si>
  <si>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</si>
  <si>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</si>
  <si>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</si>
  <si>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</si>
  <si>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</si>
  <si>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</si>
  <si>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</si>
  <si>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</si>
  <si>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</si>
  <si>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</si>
  <si>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</si>
  <si>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</si>
  <si>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</si>
  <si>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</si>
  <si>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</si>
  <si>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</si>
  <si>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</si>
  <si>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</si>
  <si>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</si>
  <si>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</si>
  <si>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</si>
  <si>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</si>
  <si>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</si>
  <si>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</si>
  <si>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</si>
  <si>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</si>
  <si>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</si>
  <si>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</si>
  <si>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</si>
  <si>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</si>
  <si>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</si>
  <si>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</si>
  <si>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</si>
  <si>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</si>
  <si>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</si>
  <si>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</si>
  <si>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</si>
  <si>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</si>
  <si>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</si>
  <si>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</si>
  <si>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</si>
  <si>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</si>
  <si>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</si>
  <si>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</si>
  <si>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</si>
  <si>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</si>
  <si>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</si>
  <si>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</si>
  <si>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</si>
  <si>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</si>
  <si>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</si>
  <si>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</si>
  <si>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</si>
  <si>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</si>
  <si>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</si>
  <si>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</si>
  <si>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</si>
  <si>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</si>
  <si>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</si>
  <si>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</si>
  <si>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</si>
  <si>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</si>
  <si>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</si>
  <si>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</si>
  <si>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</si>
  <si>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</si>
  <si>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</si>
  <si>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</si>
  <si>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</si>
  <si>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</si>
  <si>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</si>
  <si>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</si>
  <si>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</si>
  <si>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</si>
  <si>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</si>
  <si>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</si>
  <si>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</si>
  <si>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</si>
  <si>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</si>
  <si>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</si>
  <si>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</si>
  <si>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</si>
  <si>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</si>
  <si>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</si>
  <si>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</si>
  <si>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</si>
  <si>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</si>
  <si>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</si>
  <si>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</si>
  <si>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</si>
  <si>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</si>
  <si>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</si>
  <si>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</si>
  <si>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</si>
  <si>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</si>
  <si>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</si>
  <si>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</si>
  <si>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</si>
  <si>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</si>
  <si>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</si>
  <si>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</si>
  <si>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</si>
  <si>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</si>
  <si>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</si>
  <si>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</si>
  <si>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</si>
  <si>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</si>
  <si>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</si>
  <si>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</si>
  <si>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</si>
  <si>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</si>
  <si>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</si>
  <si>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</si>
  <si>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</si>
  <si>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</si>
  <si>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</si>
  <si>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</si>
  <si>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</si>
  <si>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</si>
  <si>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</si>
  <si>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</si>
  <si>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</si>
  <si>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</si>
  <si>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</si>
  <si>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</si>
  <si>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</si>
  <si>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</si>
  <si>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</si>
  <si>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</si>
  <si>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</si>
  <si>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</si>
  <si>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</si>
  <si>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</si>
  <si>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</si>
  <si>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</si>
  <si>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</si>
  <si>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</si>
  <si>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</si>
  <si>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</si>
  <si>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</si>
  <si>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</si>
  <si>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</si>
  <si>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</si>
  <si>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</si>
  <si>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</si>
  <si>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</si>
  <si>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</si>
  <si>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</si>
  <si>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</si>
  <si>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</si>
  <si>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</si>
  <si>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</si>
  <si>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</si>
  <si>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</si>
  <si>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</si>
  <si>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</si>
  <si>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</si>
  <si>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</si>
  <si>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</si>
  <si>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</si>
  <si>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</si>
  <si>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</si>
  <si>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</si>
  <si>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</si>
  <si>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</si>
  <si>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</si>
  <si>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</si>
  <si>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</si>
  <si>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</si>
  <si>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</si>
  <si>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</si>
  <si>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</si>
  <si>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</si>
  <si>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</si>
  <si>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</si>
  <si>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</si>
  <si>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</si>
  <si>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</si>
  <si>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</si>
  <si>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</si>
  <si>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</si>
  <si>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</si>
  <si>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</si>
  <si>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</si>
  <si>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</si>
  <si>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</si>
  <si>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</si>
  <si>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</si>
  <si>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</si>
  <si>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</si>
  <si>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</si>
  <si>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</si>
  <si>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</si>
  <si>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</si>
  <si>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</si>
  <si>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</si>
  <si>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</si>
  <si>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</si>
  <si>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</si>
  <si>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</si>
  <si>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</si>
  <si>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</si>
  <si>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</si>
  <si>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</si>
  <si>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</si>
  <si>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</si>
  <si>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</si>
  <si>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</si>
  <si>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</si>
  <si>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</si>
  <si>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</si>
  <si>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</si>
  <si>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</si>
  <si>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</si>
  <si>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</si>
  <si>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</si>
  <si>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</si>
  <si>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</si>
  <si>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</si>
  <si>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</si>
  <si>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</si>
  <si>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</si>
  <si>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</si>
  <si>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</si>
  <si>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</si>
  <si>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</si>
  <si>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</si>
  <si>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</si>
  <si>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</si>
  <si>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</si>
  <si>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</si>
  <si>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</si>
  <si>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</si>
  <si>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</si>
  <si>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</si>
  <si>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</si>
  <si>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</si>
  <si>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</si>
  <si>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</si>
  <si>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</si>
  <si>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</si>
  <si>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</si>
  <si>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</si>
  <si>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</si>
  <si>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</si>
  <si>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</si>
  <si>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</si>
  <si>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</si>
  <si>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</si>
  <si>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</si>
  <si>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</si>
  <si>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</si>
  <si>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</si>
  <si>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</si>
  <si>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</si>
  <si>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</si>
  <si>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</si>
  <si>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</si>
  <si>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</si>
  <si>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</si>
  <si>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</si>
  <si>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</si>
  <si>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</si>
  <si>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</si>
  <si>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</si>
  <si>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</si>
  <si>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</si>
  <si>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</si>
  <si>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</si>
  <si>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</si>
  <si>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</si>
  <si>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</si>
  <si>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</si>
  <si>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</si>
  <si>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</si>
  <si>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</si>
  <si>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</si>
  <si>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</si>
  <si>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</si>
  <si>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</si>
  <si>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</si>
  <si>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</si>
  <si>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</si>
  <si>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</si>
  <si>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</si>
  <si>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</si>
  <si>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</si>
  <si>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</si>
  <si>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</si>
  <si>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</si>
  <si>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</si>
  <si>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</si>
  <si>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</si>
  <si>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</si>
  <si>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</si>
  <si>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</si>
  <si>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</si>
  <si>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</si>
  <si>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</si>
  <si>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</si>
  <si>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</si>
  <si>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</si>
  <si>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</si>
  <si>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</si>
  <si>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</si>
  <si>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</si>
  <si>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</si>
  <si>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</si>
  <si>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</si>
  <si>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</si>
  <si>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</si>
  <si>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</si>
  <si>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</si>
  <si>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</si>
  <si>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</si>
  <si>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</si>
  <si>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</si>
  <si>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</si>
  <si>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</si>
  <si>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</si>
  <si>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</si>
  <si>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</si>
  <si>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</si>
  <si>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</si>
  <si>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</si>
  <si>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</si>
  <si>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</si>
  <si>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</si>
  <si>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</si>
  <si>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</si>
  <si>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</si>
  <si>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</si>
  <si>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</si>
  <si>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</si>
  <si>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</si>
  <si>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</si>
  <si>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</si>
  <si>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</si>
  <si>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</si>
  <si>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</si>
  <si>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</si>
  <si>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</si>
  <si>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</si>
  <si>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</si>
  <si>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</si>
  <si>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</si>
  <si>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</si>
  <si>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</si>
  <si>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</si>
  <si>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</si>
  <si>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</si>
  <si>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</si>
  <si>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</si>
  <si>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</si>
  <si>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</si>
  <si>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</si>
  <si>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</si>
  <si>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</si>
  <si>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</si>
  <si>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</si>
  <si>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</si>
  <si>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</si>
  <si>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</si>
  <si>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</si>
  <si>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</si>
  <si>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</si>
  <si>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</si>
  <si>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</si>
  <si>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</si>
  <si>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</si>
  <si>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</si>
  <si>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</si>
  <si>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</si>
  <si>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</si>
  <si>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</si>
  <si>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</si>
  <si>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</si>
  <si>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</si>
  <si>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</si>
  <si>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</si>
  <si>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</si>
  <si>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</si>
  <si>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</si>
  <si>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</si>
  <si>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</si>
  <si>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</si>
  <si>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</si>
  <si>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</si>
  <si>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</si>
  <si>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</si>
  <si>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</si>
  <si>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</si>
  <si>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</si>
  <si>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</si>
  <si>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</si>
  <si>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</si>
  <si>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</si>
  <si>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</si>
  <si>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</si>
  <si>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</si>
  <si>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</si>
  <si>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</si>
  <si>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</si>
  <si>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</si>
  <si>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</si>
  <si>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</si>
  <si>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</si>
  <si>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</si>
  <si>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</si>
  <si>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</si>
  <si>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</si>
  <si>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</si>
  <si>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</si>
  <si>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</si>
  <si>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</si>
  <si>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</si>
  <si>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</si>
  <si>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</si>
  <si>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</si>
  <si>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</si>
  <si>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</si>
  <si>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</si>
  <si>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</si>
  <si>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</si>
  <si>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</si>
  <si>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</si>
  <si>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</si>
  <si>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</si>
  <si>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</si>
  <si>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</si>
  <si>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</si>
  <si>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</si>
  <si>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</si>
  <si>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</si>
  <si>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</si>
  <si>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</si>
  <si>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</si>
  <si>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</si>
  <si>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</si>
  <si>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</si>
  <si>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</si>
  <si>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</si>
  <si>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</si>
  <si>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</si>
  <si>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</si>
  <si>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</si>
  <si>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</si>
  <si>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</si>
  <si>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</si>
  <si>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</si>
  <si>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</si>
  <si>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</si>
  <si>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</si>
  <si>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</si>
  <si>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</si>
  <si>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</si>
  <si>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</si>
  <si>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</si>
  <si>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</si>
  <si>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</si>
  <si>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</si>
  <si>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</si>
  <si>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</si>
  <si>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</si>
  <si>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</si>
  <si>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</si>
  <si>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</si>
  <si>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</si>
  <si>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</si>
  <si>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</si>
  <si>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</si>
  <si>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</si>
  <si>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</si>
  <si>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</si>
  <si>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</si>
  <si>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</si>
  <si>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</si>
  <si>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</si>
  <si>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</si>
  <si>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</si>
  <si>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</si>
  <si>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</si>
  <si>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</si>
  <si>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</si>
  <si>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</si>
  <si>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</si>
  <si>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</si>
  <si>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</si>
  <si>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</si>
  <si>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</si>
  <si>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</si>
  <si>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</si>
  <si>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</si>
  <si>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</si>
  <si>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</si>
  <si>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</si>
  <si>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</si>
  <si>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</si>
  <si>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</si>
  <si>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</si>
  <si>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</si>
  <si>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</si>
  <si>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</si>
  <si>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</si>
  <si>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</si>
  <si>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</si>
  <si>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</si>
  <si>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</si>
  <si>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</si>
  <si>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</si>
  <si>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</si>
  <si>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</si>
  <si>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</si>
  <si>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</si>
  <si>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</si>
  <si>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</si>
  <si>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</si>
  <si>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</si>
  <si>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</si>
  <si>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</si>
  <si>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</si>
  <si>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</si>
  <si>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</si>
  <si>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</si>
  <si>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</si>
  <si>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</si>
  <si>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</si>
  <si>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</si>
  <si>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</si>
  <si>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</si>
  <si>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</si>
  <si>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</si>
  <si>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</si>
  <si>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</si>
  <si>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</si>
  <si>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</si>
  <si>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</si>
  <si>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</si>
  <si>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</si>
  <si>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</si>
  <si>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</si>
  <si>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</si>
  <si>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</si>
  <si>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</si>
  <si>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</si>
  <si>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</si>
  <si>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</si>
  <si>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</si>
  <si>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</si>
  <si>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</si>
  <si>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</si>
  <si>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</si>
  <si>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</si>
  <si>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</si>
  <si>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</si>
  <si>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</si>
  <si>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</si>
  <si>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</si>
  <si>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</si>
  <si>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</si>
  <si>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</si>
  <si>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</si>
  <si>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</si>
  <si>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</si>
  <si>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</si>
  <si>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</si>
  <si>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</si>
  <si>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</si>
  <si>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</si>
  <si>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</si>
  <si>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</si>
  <si>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</si>
  <si>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</si>
  <si>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</si>
  <si>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</si>
  <si>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</si>
  <si>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</si>
  <si>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</si>
  <si>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</si>
  <si>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</si>
  <si>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</si>
  <si>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</si>
  <si>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</si>
  <si>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</si>
  <si>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</si>
  <si>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</si>
  <si>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</si>
  <si>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</si>
  <si>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</si>
  <si>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</si>
  <si>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</si>
  <si>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</si>
  <si>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</si>
  <si>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</si>
  <si>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</si>
  <si>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</si>
  <si>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</si>
  <si>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</si>
  <si>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</si>
  <si>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</si>
  <si>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</si>
  <si>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</si>
  <si>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</si>
  <si>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</si>
  <si>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</si>
  <si>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</si>
  <si>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</si>
  <si>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</si>
  <si>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</si>
  <si>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</si>
  <si>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</si>
  <si>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</si>
  <si>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</si>
  <si>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</si>
  <si>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</si>
  <si>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</si>
  <si>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</si>
  <si>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</si>
  <si>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</si>
  <si>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</si>
  <si>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</si>
  <si>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</si>
  <si>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</si>
  <si>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</si>
  <si>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</si>
  <si>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</si>
  <si>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</si>
  <si>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</si>
  <si>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</si>
  <si>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</si>
  <si>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</si>
  <si>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</si>
  <si>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</si>
  <si>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</si>
  <si>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</si>
  <si>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</si>
  <si>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</si>
  <si>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</si>
  <si>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</si>
  <si>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</si>
  <si>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</si>
  <si>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</si>
  <si>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</si>
  <si>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</si>
  <si>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</si>
  <si>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</si>
  <si>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</si>
  <si>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</si>
  <si>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</si>
  <si>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</si>
  <si>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</si>
  <si>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</si>
  <si>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</si>
  <si>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</si>
  <si>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</si>
  <si>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</si>
  <si>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</si>
  <si>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</si>
  <si>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</si>
  <si>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</si>
  <si>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</si>
  <si>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</si>
  <si>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</si>
  <si>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</si>
  <si>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</si>
  <si>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</si>
  <si>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</si>
  <si>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</si>
  <si>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</si>
  <si>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</si>
  <si>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</si>
  <si>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</si>
  <si>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</si>
  <si>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</si>
  <si>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</si>
  <si>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</si>
  <si>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</si>
  <si>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</si>
  <si>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</si>
  <si>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</si>
  <si>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</si>
  <si>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</si>
  <si>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</si>
  <si>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</si>
  <si>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</si>
  <si>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</si>
  <si>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</si>
  <si>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</si>
  <si>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</si>
  <si>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</si>
  <si>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</si>
  <si>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</si>
  <si>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</si>
  <si>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</si>
  <si>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</si>
  <si>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</si>
  <si>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</si>
  <si>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</si>
  <si>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</si>
  <si>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</si>
  <si>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</si>
  <si>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</si>
  <si>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</si>
  <si>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</si>
  <si>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</si>
  <si>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</si>
  <si>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</si>
  <si>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</si>
  <si>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</si>
  <si>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</si>
  <si>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</si>
  <si>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</si>
  <si>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</si>
  <si>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</si>
  <si>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</si>
  <si>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</si>
  <si>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</si>
  <si>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</si>
  <si>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</si>
  <si>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</si>
  <si>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</si>
  <si>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</si>
  <si>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</si>
  <si>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</si>
  <si>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</si>
  <si>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</si>
  <si>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</si>
  <si>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</si>
  <si>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</si>
  <si>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</si>
  <si>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</si>
  <si>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</si>
  <si>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</si>
  <si>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</si>
  <si>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</si>
  <si>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</si>
  <si>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</si>
  <si>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</si>
  <si>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</si>
  <si>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</si>
  <si>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</si>
  <si>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</si>
  <si>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</si>
  <si>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</si>
  <si>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</si>
  <si>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</si>
  <si>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</si>
  <si>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</si>
  <si>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</si>
  <si>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</si>
  <si>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</si>
  <si>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</si>
  <si>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</si>
  <si>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</si>
  <si>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</si>
  <si>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</si>
  <si>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</si>
  <si>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</si>
  <si>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</si>
  <si>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</si>
  <si>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</si>
  <si>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</si>
  <si>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</si>
  <si>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</si>
  <si>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</si>
  <si>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</si>
  <si>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</si>
  <si>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</si>
  <si>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</si>
  <si>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</si>
  <si>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</si>
  <si>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</si>
  <si>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</si>
  <si>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</si>
  <si>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</si>
  <si>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</si>
  <si>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</si>
  <si>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</si>
  <si>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</si>
  <si>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</si>
  <si>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</si>
  <si>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</si>
  <si>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</si>
  <si>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</si>
  <si>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</si>
  <si>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</si>
  <si>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</si>
  <si>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</si>
  <si>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</si>
  <si>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</si>
  <si>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</si>
  <si>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</si>
  <si>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</si>
  <si>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</si>
  <si>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</si>
  <si>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</si>
  <si>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</si>
  <si>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</si>
  <si>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</si>
  <si>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</si>
  <si>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</si>
  <si>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</si>
  <si>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</si>
  <si>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</si>
  <si>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</si>
  <si>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</si>
  <si>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</si>
  <si>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</si>
  <si>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</si>
  <si>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</si>
  <si>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</si>
  <si>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</si>
  <si>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</si>
  <si>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</si>
  <si>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</si>
  <si>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</si>
  <si>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</si>
  <si>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</si>
  <si>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</si>
  <si>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</si>
  <si>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</si>
  <si>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</si>
  <si>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</si>
  <si>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</si>
  <si>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</si>
  <si>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</si>
  <si>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</si>
  <si>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</si>
  <si>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</si>
  <si>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</si>
  <si>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</si>
  <si>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</si>
  <si>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</si>
  <si>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</si>
  <si>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</si>
  <si>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</si>
  <si>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</si>
  <si>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</si>
  <si>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</si>
  <si>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</si>
  <si>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</si>
  <si>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</si>
  <si>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</si>
  <si>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</si>
  <si>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</si>
  <si>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</si>
  <si>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</si>
  <si>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</si>
  <si>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</si>
  <si>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</si>
  <si>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</si>
  <si>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</si>
  <si>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</si>
  <si>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</si>
  <si>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</si>
  <si>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</si>
  <si>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</si>
  <si>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</si>
  <si>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</si>
  <si>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</si>
  <si>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</si>
  <si>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</si>
  <si>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</si>
  <si>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</si>
  <si>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</si>
  <si>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</si>
  <si>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</si>
  <si>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</si>
  <si>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</si>
  <si>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</si>
  <si>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</si>
  <si>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</si>
  <si>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</si>
  <si>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</si>
  <si>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</si>
  <si>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</si>
  <si>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</si>
  <si>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</si>
  <si>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</si>
  <si>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</si>
  <si>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</si>
  <si>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</si>
  <si>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</si>
  <si>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</si>
  <si>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</si>
  <si>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</si>
  <si>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</si>
  <si>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</si>
  <si>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</si>
  <si>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</si>
  <si>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</si>
  <si>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</si>
  <si>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</si>
  <si>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</si>
  <si>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</si>
  <si>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</si>
  <si>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</si>
  <si>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</si>
  <si>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</si>
  <si>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</si>
  <si>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</si>
  <si>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</si>
  <si>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</si>
  <si>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</si>
  <si>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</si>
  <si>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</si>
  <si>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</si>
  <si>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</si>
  <si>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</si>
  <si>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</si>
  <si>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</si>
  <si>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</si>
  <si>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</si>
  <si>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</si>
  <si>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</si>
  <si>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</si>
  <si>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</si>
  <si>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</si>
  <si>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</si>
  <si>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</si>
  <si>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</si>
  <si>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</si>
  <si>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</si>
  <si>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</si>
  <si>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</si>
  <si>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</si>
  <si>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</si>
  <si>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</si>
  <si>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</si>
  <si>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</si>
  <si>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</si>
  <si>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</si>
  <si>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</si>
  <si>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</si>
  <si>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</si>
  <si>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</si>
  <si>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</si>
  <si>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</si>
  <si>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</si>
  <si>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</si>
  <si>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</si>
  <si>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</si>
  <si>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</si>
  <si>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</si>
  <si>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</si>
  <si>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</si>
  <si>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</si>
  <si>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</si>
  <si>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</si>
  <si>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</si>
  <si>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</si>
  <si>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</si>
  <si>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</si>
  <si>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</si>
  <si>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</si>
  <si>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</si>
  <si>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</si>
  <si>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</si>
  <si>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</si>
  <si>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</si>
  <si>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</si>
  <si>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</si>
  <si>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</si>
  <si>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</si>
  <si>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</si>
  <si>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</si>
  <si>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</si>
  <si>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</si>
  <si>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</si>
  <si>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</si>
  <si>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</si>
  <si>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</si>
  <si>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</si>
  <si>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</si>
  <si>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</si>
  <si>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</si>
  <si>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</si>
  <si>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</si>
  <si>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</si>
  <si>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</si>
  <si>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</si>
  <si>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</si>
  <si>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</si>
  <si>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</si>
  <si>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</si>
  <si>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</si>
  <si>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</si>
  <si>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</si>
  <si>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</si>
  <si>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</si>
  <si>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</si>
  <si>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</si>
  <si>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</si>
  <si>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</si>
  <si>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</si>
  <si>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</si>
  <si>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</si>
  <si>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</si>
  <si>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</si>
  <si>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</si>
  <si>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</si>
  <si>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</si>
  <si>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</si>
  <si>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</si>
  <si>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</si>
  <si>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</si>
  <si>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</si>
  <si>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</si>
  <si>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</si>
  <si>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</si>
  <si>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</si>
  <si>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</si>
  <si>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</si>
  <si>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</si>
  <si>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</si>
  <si>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</si>
  <si>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</si>
  <si>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</si>
  <si>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</si>
  <si>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</si>
  <si>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</si>
  <si>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</si>
  <si>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</si>
  <si>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</si>
  <si>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</si>
  <si>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</si>
  <si>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</si>
  <si>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</si>
  <si>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</si>
  <si>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</si>
  <si>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</si>
  <si>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</si>
  <si>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</si>
  <si>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</si>
  <si>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</si>
  <si>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</si>
  <si>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</si>
  <si>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</si>
  <si>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</si>
  <si>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</si>
  <si>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</si>
  <si>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</si>
  <si>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</si>
  <si>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</si>
  <si>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</si>
  <si>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</si>
  <si>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</si>
  <si>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</si>
  <si>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</si>
  <si>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</si>
  <si>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</si>
  <si>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</si>
  <si>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</si>
  <si>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</si>
  <si>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</si>
  <si>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</si>
  <si>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</si>
  <si>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</si>
  <si>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</si>
  <si>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</si>
  <si>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</si>
  <si>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</si>
  <si>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</si>
  <si>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</si>
  <si>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</si>
  <si>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</si>
  <si>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</si>
  <si>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</si>
  <si>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</si>
  <si>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</si>
  <si>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</si>
  <si>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</si>
  <si>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</si>
  <si>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</si>
  <si>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</si>
  <si>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</si>
  <si>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</si>
  <si>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</si>
  <si>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</si>
  <si>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</si>
  <si>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</si>
  <si>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</si>
  <si>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</si>
  <si>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</si>
  <si>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</si>
  <si>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</si>
  <si>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</si>
  <si>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</si>
  <si>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</si>
  <si>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</si>
  <si>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</si>
  <si>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</si>
  <si>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</si>
  <si>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</si>
  <si>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</si>
  <si>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</si>
  <si>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</si>
  <si>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</si>
  <si>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</si>
  <si>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</si>
  <si>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</si>
  <si>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</si>
  <si>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</si>
  <si>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</si>
  <si>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</si>
  <si>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</si>
  <si>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</si>
  <si>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</si>
  <si>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</si>
  <si>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</si>
  <si>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</si>
  <si>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</si>
  <si>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</si>
  <si>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</si>
  <si>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</si>
  <si>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</si>
  <si>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</si>
  <si>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</si>
  <si>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</si>
  <si>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</si>
  <si>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</si>
  <si>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</si>
  <si>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</si>
  <si>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</si>
  <si>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</si>
  <si>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</si>
  <si>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</si>
  <si>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</si>
  <si>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</si>
  <si>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</si>
  <si>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</si>
  <si>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</si>
  <si>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</si>
  <si>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</si>
  <si>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</si>
  <si>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</si>
  <si>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</si>
  <si>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</si>
  <si>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</si>
  <si>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</si>
  <si>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</si>
  <si>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</si>
  <si>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</si>
  <si>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</si>
  <si>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</si>
  <si>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</si>
  <si>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</si>
  <si>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</si>
  <si>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</si>
  <si>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</si>
  <si>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</si>
  <si>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</si>
  <si>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</si>
  <si>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</si>
  <si>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</si>
  <si>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</si>
  <si>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</si>
  <si>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</si>
  <si>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</si>
  <si>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</si>
  <si>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</si>
  <si>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</si>
  <si>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</si>
  <si>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</si>
  <si>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</si>
  <si>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</si>
  <si>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</si>
  <si>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</si>
  <si>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</si>
  <si>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</si>
  <si>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</si>
  <si>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</si>
  <si>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</si>
  <si>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</si>
  <si>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</si>
  <si>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</si>
  <si>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</si>
  <si>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</si>
  <si>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</si>
  <si>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</si>
  <si>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</si>
  <si>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</si>
  <si>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</si>
  <si>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</si>
  <si>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</si>
  <si>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</si>
  <si>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</si>
  <si>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</si>
  <si>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</si>
  <si>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</si>
  <si>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</si>
  <si>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</si>
  <si>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</si>
  <si>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</si>
  <si>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</si>
  <si>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</si>
  <si>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</si>
  <si>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</si>
  <si>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</si>
  <si>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</si>
  <si>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</si>
  <si>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</si>
  <si>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</si>
  <si>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</si>
  <si>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</si>
  <si>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</si>
  <si>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</si>
  <si>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</si>
  <si>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</si>
  <si>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</si>
  <si>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</si>
  <si>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</si>
  <si>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</si>
  <si>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</si>
  <si>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</si>
  <si>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</si>
  <si>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</si>
  <si>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</si>
  <si>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</si>
  <si>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</si>
  <si>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</si>
  <si>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</si>
  <si>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</si>
  <si>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</si>
  <si>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</si>
  <si>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</si>
  <si>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</si>
  <si>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</si>
  <si>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</si>
  <si>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</si>
  <si>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</si>
  <si>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</si>
  <si>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</si>
  <si>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</si>
  <si>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</si>
  <si>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</si>
  <si>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</si>
  <si>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</si>
  <si>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</si>
  <si>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</si>
  <si>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</si>
  <si>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</si>
  <si>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</si>
  <si>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</si>
  <si>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</si>
  <si>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</si>
  <si>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</si>
  <si>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</si>
  <si>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</si>
  <si>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</si>
  <si>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</si>
  <si>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</si>
  <si>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</si>
  <si>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</si>
  <si>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</si>
  <si>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</si>
  <si>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</si>
  <si>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</si>
  <si>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</si>
  <si>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</si>
  <si>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</si>
  <si>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</si>
  <si>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</si>
  <si>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</si>
  <si>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</si>
  <si>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</si>
  <si>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</si>
  <si>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</si>
  <si>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</si>
  <si>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</si>
  <si>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</si>
  <si>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</si>
  <si>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</si>
  <si>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</si>
  <si>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</si>
  <si>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</si>
  <si>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</si>
  <si>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</si>
  <si>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</si>
  <si>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</si>
  <si>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</si>
  <si>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</si>
  <si>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</si>
  <si>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</si>
  <si>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</si>
  <si>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</si>
  <si>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</si>
  <si>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</si>
  <si>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</si>
  <si>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</si>
  <si>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</si>
  <si>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</si>
  <si>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</si>
  <si>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</si>
  <si>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</si>
  <si>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</si>
  <si>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</si>
  <si>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</si>
  <si>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</si>
  <si>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</si>
  <si>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</si>
  <si>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</si>
  <si>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</si>
  <si>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</si>
  <si>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</si>
  <si>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</si>
  <si>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</si>
  <si>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</si>
  <si>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</si>
  <si>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</si>
  <si>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</si>
  <si>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</si>
  <si>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</si>
  <si>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</si>
  <si>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</si>
  <si>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</si>
  <si>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</si>
  <si>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</si>
  <si>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</si>
  <si>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</si>
  <si>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</si>
  <si>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</si>
  <si>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</si>
  <si>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</si>
  <si>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</si>
  <si>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</si>
  <si>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</si>
  <si>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</si>
  <si>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</si>
  <si>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</si>
  <si>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</si>
  <si>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</si>
  <si>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</si>
  <si>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</si>
  <si>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</si>
  <si>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</si>
  <si>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</si>
  <si>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</si>
  <si>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</si>
  <si>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</si>
  <si>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</si>
  <si>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</si>
  <si>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</si>
  <si>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</si>
  <si>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</si>
  <si>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</si>
  <si>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</si>
  <si>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</si>
  <si>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</si>
  <si>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</si>
  <si>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</si>
  <si>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</si>
  <si>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</si>
  <si>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</si>
  <si>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</si>
  <si>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</si>
  <si>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</si>
  <si>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</si>
  <si>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</si>
  <si>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</si>
  <si>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</si>
  <si>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</si>
  <si>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</si>
  <si>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</si>
  <si>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</si>
  <si>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</si>
  <si>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</si>
  <si>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</si>
  <si>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</si>
  <si>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</si>
  <si>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</si>
  <si>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</si>
  <si>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</si>
  <si>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</si>
  <si>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</si>
  <si>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</si>
  <si>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</si>
  <si>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</si>
  <si>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</si>
  <si>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</si>
  <si>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</si>
  <si>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</si>
  <si>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</si>
  <si>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</si>
  <si>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</si>
  <si>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</si>
  <si>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</si>
  <si>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</si>
  <si>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</si>
  <si>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</si>
  <si>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</si>
  <si>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</si>
  <si>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</si>
  <si>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</si>
  <si>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</si>
  <si>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</si>
  <si>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</si>
  <si>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</si>
  <si>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</si>
  <si>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</si>
  <si>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</si>
  <si>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</si>
  <si>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</si>
  <si>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</si>
  <si>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</si>
  <si>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</si>
  <si>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</si>
  <si>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</si>
  <si>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</si>
  <si>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</si>
  <si>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</si>
  <si>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</si>
  <si>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</si>
  <si>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</si>
  <si>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</si>
  <si>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</si>
  <si>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</si>
  <si>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</si>
  <si>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</si>
  <si>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</si>
  <si>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</si>
  <si>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</si>
  <si>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</si>
  <si>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</si>
  <si>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</si>
  <si>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</si>
  <si>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</si>
  <si>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</si>
  <si>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</si>
  <si>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</si>
  <si>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</si>
  <si>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</si>
  <si>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</si>
  <si>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</si>
  <si>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</si>
  <si>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</si>
  <si>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</si>
  <si>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</si>
  <si>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</si>
  <si>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</si>
  <si>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</si>
  <si>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</si>
  <si>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</si>
  <si>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</si>
  <si>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</si>
  <si>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</si>
  <si>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</si>
  <si>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</si>
  <si>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</si>
  <si>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</si>
  <si>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</si>
  <si>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</si>
  <si>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</si>
  <si>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</si>
  <si>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</si>
  <si>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</si>
  <si>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</si>
  <si>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</si>
  <si>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</si>
  <si>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</si>
  <si>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</si>
  <si>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</si>
  <si>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</si>
  <si>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</si>
  <si>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</si>
  <si>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</si>
  <si>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</si>
  <si>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</si>
  <si>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</si>
  <si>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</si>
  <si>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</si>
  <si>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</si>
  <si>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</si>
  <si>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</si>
  <si>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</si>
  <si>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</si>
  <si>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</si>
  <si>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</si>
  <si>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</si>
  <si>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</si>
  <si>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</si>
  <si>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</si>
  <si>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</si>
  <si>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</si>
  <si>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</si>
  <si>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</si>
  <si>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</si>
  <si>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</si>
  <si>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</si>
  <si>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</si>
  <si>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</si>
  <si>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</si>
  <si>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</si>
  <si>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</si>
  <si>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</si>
  <si>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</si>
  <si>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</si>
  <si>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</si>
  <si>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</si>
  <si>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</si>
  <si>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</si>
  <si>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</si>
  <si>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</si>
  <si>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</si>
  <si>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</si>
  <si>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</si>
  <si>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</si>
  <si>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</si>
  <si>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</si>
  <si>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</si>
  <si>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</si>
  <si>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</si>
  <si>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</si>
  <si>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</si>
  <si>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</si>
  <si>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</si>
  <si>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</si>
  <si>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</si>
  <si>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</si>
  <si>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</si>
  <si>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</si>
  <si>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</si>
  <si>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</si>
  <si>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</si>
  <si>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</si>
  <si>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</si>
  <si>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</si>
  <si>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</si>
  <si>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</si>
  <si>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</si>
  <si>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</si>
  <si>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</si>
  <si>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</si>
  <si>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</si>
  <si>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</si>
  <si>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</si>
  <si>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</si>
  <si>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</si>
  <si>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</si>
  <si>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</si>
  <si>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</si>
  <si>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</si>
  <si>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</si>
  <si>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</si>
  <si>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</si>
  <si>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</si>
  <si>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</si>
  <si>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</si>
  <si>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</si>
  <si>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</si>
  <si>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</si>
  <si>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</si>
  <si>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</si>
  <si>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</si>
  <si>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</si>
  <si>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</si>
  <si>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</si>
  <si>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</si>
  <si>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</si>
  <si>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</si>
  <si>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</si>
  <si>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</si>
  <si>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</si>
  <si>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</si>
  <si>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</si>
  <si>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</si>
  <si>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</si>
  <si>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</si>
  <si>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</si>
  <si>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</si>
  <si>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</si>
  <si>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</si>
  <si>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</si>
  <si>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</si>
  <si>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</si>
  <si>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</si>
  <si>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</si>
  <si>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</si>
  <si>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</si>
  <si>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</si>
  <si>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</si>
  <si>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</si>
  <si>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</si>
  <si>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</si>
  <si>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</si>
  <si>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</si>
  <si>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</si>
  <si>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</si>
  <si>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</si>
  <si>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</si>
  <si>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</si>
  <si>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</si>
  <si>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</si>
  <si>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</si>
  <si>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</si>
  <si>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</si>
  <si>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</si>
  <si>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</si>
  <si>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</si>
  <si>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</si>
  <si>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</si>
  <si>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</si>
  <si>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</si>
  <si>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</si>
  <si>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</si>
  <si>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</si>
  <si>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</si>
  <si>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</si>
  <si>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</si>
  <si>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</si>
  <si>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</si>
  <si>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</si>
  <si>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</si>
  <si>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</si>
  <si>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</si>
  <si>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</si>
  <si>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</si>
  <si>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</si>
  <si>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</si>
  <si>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</si>
  <si>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</si>
  <si>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</si>
  <si>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</si>
  <si>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</si>
  <si>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</si>
  <si>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</si>
  <si>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</si>
  <si>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</si>
  <si>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</si>
  <si>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</si>
  <si>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</si>
  <si>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</si>
  <si>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</si>
  <si>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</si>
  <si>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</si>
  <si>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</si>
  <si>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</si>
  <si>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</si>
  <si>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</si>
  <si>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</si>
  <si>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</si>
  <si>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</si>
  <si>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</si>
  <si>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</si>
  <si>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</si>
  <si>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</si>
  <si>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</si>
  <si>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</si>
  <si>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</si>
  <si>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</si>
  <si>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</si>
  <si>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</si>
  <si>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</si>
  <si>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</si>
  <si>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</si>
  <si>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</si>
  <si>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</si>
  <si>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</si>
  <si>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</si>
  <si>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</si>
  <si>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</si>
  <si>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</si>
  <si>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</si>
  <si>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</si>
  <si>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</si>
  <si>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</si>
  <si>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</si>
  <si>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</si>
  <si>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</si>
  <si>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</si>
  <si>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</si>
  <si>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</si>
  <si>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</si>
  <si>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</si>
  <si>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</si>
  <si>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</si>
  <si>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</si>
  <si>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</si>
  <si>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</si>
  <si>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</si>
  <si>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</si>
  <si>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</si>
  <si>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</si>
  <si>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</si>
  <si>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</si>
  <si>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</si>
  <si>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</si>
  <si>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</si>
  <si>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</si>
  <si>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</si>
  <si>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</si>
  <si>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</si>
  <si>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</si>
  <si>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</si>
  <si>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</si>
  <si>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</si>
  <si>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</si>
  <si>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</si>
  <si>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</si>
  <si>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</si>
  <si>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</si>
  <si>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</si>
  <si>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</si>
  <si>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</si>
  <si>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</si>
  <si>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</si>
  <si>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</si>
  <si>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</si>
  <si>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</si>
  <si>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</si>
  <si>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</si>
  <si>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</si>
  <si>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</si>
  <si>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</si>
  <si>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</si>
  <si>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</si>
  <si>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</si>
  <si>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</si>
  <si>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</si>
  <si>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</si>
  <si>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</si>
  <si>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</si>
  <si>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</si>
  <si>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</si>
  <si>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</si>
  <si>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</si>
  <si>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</si>
  <si>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</si>
  <si>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</si>
  <si>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</si>
  <si>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</si>
  <si>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</si>
  <si>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</si>
  <si>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</si>
  <si>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</si>
  <si>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</si>
  <si>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</si>
  <si>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</si>
  <si>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</si>
  <si>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</si>
  <si>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</si>
  <si>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</si>
  <si>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</si>
  <si>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</si>
  <si>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</si>
  <si>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</si>
  <si>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</si>
  <si>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</si>
  <si>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</si>
  <si>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</si>
  <si>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</si>
  <si>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</si>
  <si>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</si>
  <si>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</si>
  <si>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</si>
  <si>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</si>
  <si>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</si>
  <si>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</si>
  <si>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</si>
  <si>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</si>
  <si>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</si>
  <si>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</si>
  <si>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</si>
  <si>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</si>
  <si>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</si>
  <si>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</si>
  <si>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</si>
  <si>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</si>
  <si>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</si>
  <si>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</si>
  <si>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</si>
  <si>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</si>
  <si>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</si>
  <si>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</si>
  <si>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</si>
  <si>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</si>
  <si>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</si>
  <si>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</si>
  <si>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</si>
  <si>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</si>
  <si>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</si>
  <si>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</si>
  <si>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</si>
  <si>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</si>
  <si>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</si>
  <si>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</si>
  <si>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</si>
  <si>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</si>
  <si>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</si>
  <si>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</si>
  <si>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</si>
  <si>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</si>
  <si>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</si>
  <si>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</si>
  <si>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</si>
  <si>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</si>
  <si>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</si>
  <si>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</si>
  <si>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</si>
  <si>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</si>
  <si>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</si>
  <si>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</si>
  <si>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</si>
  <si>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</si>
  <si>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</si>
  <si>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</si>
  <si>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</si>
  <si>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</si>
  <si>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</si>
  <si>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</si>
  <si>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</si>
  <si>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</si>
  <si>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</si>
  <si>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</si>
  <si>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</si>
  <si>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</si>
  <si>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</si>
  <si>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</si>
  <si>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</si>
  <si>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</si>
  <si>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</si>
  <si>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</si>
  <si>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</si>
  <si>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</si>
  <si>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</si>
  <si>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</si>
  <si>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</si>
  <si>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</si>
  <si>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</si>
  <si>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</si>
  <si>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</si>
  <si>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</si>
  <si>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</si>
  <si>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</si>
  <si>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</si>
  <si>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</si>
  <si>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</si>
  <si>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</si>
  <si>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</si>
  <si>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</si>
  <si>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</si>
  <si>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</si>
  <si>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</si>
  <si>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</si>
  <si>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</si>
  <si>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</si>
  <si>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</si>
  <si>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</si>
  <si>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</si>
  <si>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</si>
  <si>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</si>
  <si>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</si>
  <si>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</si>
  <si>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</si>
  <si>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</si>
  <si>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</si>
  <si>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</si>
  <si>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</si>
  <si>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</si>
  <si>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</si>
  <si>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</si>
  <si>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</si>
  <si>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</si>
  <si>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</si>
  <si>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</si>
  <si>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</si>
  <si>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</si>
  <si>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</si>
  <si>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</si>
  <si>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</si>
  <si>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</si>
  <si>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</si>
  <si>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</si>
  <si>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</si>
  <si>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</si>
  <si>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</si>
  <si>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</si>
  <si>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</si>
  <si>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</si>
  <si>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</si>
  <si>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</si>
  <si>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</si>
  <si>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</si>
  <si>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</si>
  <si>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</si>
  <si>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</si>
  <si>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</si>
  <si>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</si>
  <si>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</si>
  <si>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</si>
  <si>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</si>
  <si>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</si>
  <si>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</si>
  <si>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</si>
  <si>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</si>
  <si>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</si>
  <si>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</si>
  <si>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</si>
  <si>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</si>
  <si>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</si>
  <si>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</si>
  <si>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</si>
  <si>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</si>
  <si>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</si>
  <si>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</si>
  <si>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</si>
  <si>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</si>
  <si>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</si>
  <si>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</si>
  <si>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</si>
  <si>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</si>
  <si>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</si>
  <si>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</si>
  <si>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</si>
  <si>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</si>
  <si>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</si>
  <si>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</si>
  <si>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</si>
  <si>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</si>
  <si>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</si>
  <si>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</si>
  <si>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</si>
  <si>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</si>
  <si>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</si>
  <si>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</si>
  <si>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</si>
  <si>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</si>
  <si>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</si>
  <si>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</si>
  <si>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</si>
  <si>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</si>
  <si>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</si>
  <si>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</si>
  <si>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</si>
  <si>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</si>
  <si>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</si>
  <si>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</si>
  <si>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</si>
  <si>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</si>
  <si>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</si>
  <si>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</si>
  <si>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</si>
  <si>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</si>
  <si>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</si>
  <si>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</si>
  <si>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</si>
  <si>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</si>
  <si>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</si>
  <si>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</si>
  <si>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</si>
  <si>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</si>
  <si>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</si>
  <si>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</si>
  <si>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</si>
  <si>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</si>
  <si>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</si>
  <si>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</si>
  <si>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</si>
  <si>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</si>
  <si>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</si>
  <si>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</si>
  <si>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</si>
  <si>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</si>
  <si>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</si>
  <si>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</si>
  <si>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</si>
  <si>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</si>
  <si>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</si>
  <si>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</si>
  <si>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</si>
  <si>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</si>
  <si>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</si>
  <si>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</si>
  <si>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</si>
  <si>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</si>
  <si>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</si>
  <si>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</si>
  <si>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</si>
  <si>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</si>
  <si>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</si>
  <si>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</si>
  <si>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</si>
  <si>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</si>
  <si>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</si>
  <si>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</si>
  <si>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</si>
  <si>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</si>
  <si>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</si>
  <si>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</si>
  <si>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</si>
  <si>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</si>
  <si>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</si>
  <si>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</si>
  <si>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</si>
  <si>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</si>
  <si>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</si>
  <si>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</si>
  <si>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</si>
  <si>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</si>
  <si>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</si>
  <si>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</si>
  <si>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</si>
  <si>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</si>
  <si>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</si>
  <si>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</si>
  <si>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</si>
  <si>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</si>
  <si>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</si>
  <si>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</si>
  <si>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</si>
  <si>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</si>
  <si>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</si>
  <si>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</si>
  <si>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</si>
  <si>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</si>
  <si>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</si>
  <si>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</si>
  <si>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</si>
  <si>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</si>
  <si>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</si>
  <si>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</si>
  <si>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</si>
  <si>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</si>
  <si>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</si>
  <si>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</si>
  <si>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</si>
  <si>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</si>
  <si>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</si>
  <si>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</si>
  <si>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</si>
  <si>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</si>
  <si>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</si>
  <si>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</si>
  <si>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</si>
  <si>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</si>
  <si>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</si>
  <si>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</si>
  <si>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</si>
  <si>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</si>
  <si>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</si>
  <si>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</si>
  <si>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</si>
  <si>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</si>
  <si>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</si>
  <si>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</si>
  <si>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</si>
  <si>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</si>
  <si>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</si>
  <si>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</si>
  <si>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</si>
  <si>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</si>
  <si>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</si>
  <si>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</si>
  <si>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</si>
  <si>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</si>
  <si>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</si>
  <si>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</si>
  <si>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</si>
  <si>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</si>
  <si>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</si>
  <si>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</si>
  <si>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</si>
  <si>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</si>
  <si>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</si>
  <si>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</si>
  <si>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</si>
  <si>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</si>
  <si>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</si>
  <si>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</si>
  <si>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</si>
  <si>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</si>
  <si>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</si>
  <si>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</si>
  <si>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</si>
  <si>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</si>
  <si>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</si>
  <si>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</si>
  <si>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</si>
  <si>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</si>
  <si>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</si>
  <si>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</si>
  <si>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</si>
  <si>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</si>
  <si>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</si>
  <si>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</si>
  <si>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</si>
  <si>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</si>
  <si>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</si>
  <si>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</si>
  <si>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</si>
  <si>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</si>
  <si>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</si>
  <si>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</si>
  <si>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</si>
  <si>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</si>
  <si>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</si>
  <si>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</si>
  <si>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</si>
  <si>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</si>
  <si>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</si>
  <si>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</si>
  <si>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</si>
  <si>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</si>
  <si>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</si>
  <si>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</si>
  <si>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</si>
  <si>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</si>
  <si>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</si>
  <si>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</si>
  <si>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</si>
  <si>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</si>
  <si>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</si>
  <si>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</si>
  <si>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</si>
  <si>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</si>
  <si>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</si>
  <si>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</si>
  <si>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</si>
  <si>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</si>
  <si>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</si>
  <si>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</si>
  <si>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</si>
  <si>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</si>
  <si>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</si>
  <si>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</si>
  <si>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</si>
  <si>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</si>
  <si>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</si>
  <si>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</si>
  <si>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</si>
  <si>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</si>
  <si>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</si>
  <si>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</si>
  <si>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</si>
  <si>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</si>
  <si>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</si>
  <si>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</si>
  <si>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</si>
  <si>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</si>
  <si>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</si>
  <si>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</si>
  <si>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</si>
  <si>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</si>
  <si>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</si>
  <si>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</si>
  <si>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</si>
  <si>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</si>
  <si>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</si>
  <si>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</si>
  <si>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</si>
  <si>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</si>
  <si>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</si>
  <si>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</si>
  <si>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</si>
  <si>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</si>
  <si>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</si>
  <si>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</si>
  <si>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</si>
  <si>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</si>
  <si>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</si>
  <si>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</si>
  <si>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</si>
  <si>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</si>
  <si>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</si>
  <si>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</si>
  <si>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</si>
  <si>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</si>
  <si>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</si>
  <si>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</si>
  <si>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</si>
  <si>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</si>
  <si>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</si>
  <si>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</si>
  <si>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</si>
  <si>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</si>
  <si>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</si>
  <si>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</si>
  <si>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</si>
  <si>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</si>
  <si>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</si>
  <si>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</si>
  <si>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</si>
  <si>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</si>
  <si>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</si>
  <si>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</si>
  <si>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</si>
  <si>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</si>
  <si>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</si>
  <si>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</si>
  <si>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</si>
  <si>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</si>
  <si>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</si>
  <si>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</si>
  <si>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</si>
  <si>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</si>
  <si>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</si>
  <si>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</si>
  <si>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</si>
  <si>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</si>
  <si>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</si>
  <si>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</si>
  <si>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</si>
  <si>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</si>
  <si>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</si>
  <si>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</si>
  <si>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</si>
  <si>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</si>
  <si>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</si>
  <si>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</si>
  <si>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</si>
  <si>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</si>
  <si>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</si>
  <si>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</si>
  <si>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</si>
  <si>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</si>
  <si>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</si>
  <si>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</si>
  <si>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</si>
  <si>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</si>
  <si>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</si>
  <si>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</si>
  <si>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</si>
  <si>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</si>
  <si>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</si>
  <si>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</si>
  <si>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</si>
  <si>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</si>
  <si>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</si>
  <si>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</si>
  <si>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</si>
  <si>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</si>
  <si>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</si>
  <si>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</si>
  <si>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</si>
  <si>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</si>
  <si>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</si>
  <si>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</si>
  <si>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</si>
  <si>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</si>
  <si>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</si>
  <si>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</si>
  <si>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</si>
  <si>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</si>
  <si>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</si>
  <si>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</si>
  <si>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</si>
  <si>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</si>
  <si>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</si>
  <si>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</si>
  <si>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</si>
  <si>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</si>
  <si>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</si>
  <si>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</si>
  <si>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</si>
  <si>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</si>
  <si>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</si>
  <si>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</si>
  <si>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</si>
  <si>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</si>
  <si>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</si>
  <si>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</si>
  <si>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</si>
  <si>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</si>
  <si>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</si>
  <si>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</si>
  <si>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</si>
  <si>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</si>
  <si>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</si>
  <si>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</si>
  <si>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</si>
  <si>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</si>
  <si>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</si>
  <si>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</si>
  <si>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</si>
  <si>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</si>
  <si>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</si>
  <si>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</si>
  <si>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</si>
  <si>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</si>
  <si>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</si>
  <si>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</si>
  <si>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</si>
  <si>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</si>
  <si>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</si>
  <si>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</si>
  <si>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</si>
  <si>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</si>
  <si>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</si>
  <si>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</si>
  <si>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</si>
  <si>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</si>
  <si>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</si>
  <si>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</si>
  <si>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</si>
  <si>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</si>
  <si>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</si>
  <si>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</si>
  <si>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</si>
  <si>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</si>
  <si>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</si>
  <si>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</si>
  <si>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</si>
  <si>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</si>
  <si>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</si>
  <si>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</si>
  <si>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</si>
  <si>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</si>
  <si>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</si>
  <si>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</si>
  <si>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</si>
  <si>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</si>
  <si>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</si>
  <si>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</si>
  <si>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</si>
  <si>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</si>
  <si>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</si>
  <si>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</si>
  <si>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</si>
  <si>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</si>
  <si>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</si>
  <si>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</si>
  <si>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</si>
  <si>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</si>
  <si>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</si>
  <si>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</si>
  <si>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</si>
  <si>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</si>
  <si>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</si>
  <si>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</si>
  <si>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</si>
  <si>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</si>
  <si>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</si>
  <si>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</si>
  <si>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</si>
  <si>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</si>
  <si>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</si>
  <si>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</si>
  <si>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</si>
  <si>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</si>
  <si>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</si>
  <si>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</si>
  <si>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</si>
  <si>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</si>
  <si>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</si>
  <si>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</si>
  <si>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</si>
  <si>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</si>
  <si>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</si>
  <si>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</si>
  <si>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</si>
  <si>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</si>
  <si>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</si>
  <si>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</si>
  <si>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</si>
  <si>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</si>
  <si>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</si>
  <si>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</si>
  <si>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</si>
  <si>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</si>
  <si>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</si>
  <si>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</si>
  <si>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</si>
  <si>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</si>
  <si>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</si>
  <si>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</si>
  <si>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</si>
  <si>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</si>
  <si>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</si>
  <si>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</si>
  <si>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</si>
  <si>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</si>
  <si>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</si>
  <si>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</si>
  <si>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</si>
  <si>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</si>
  <si>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</si>
  <si>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</si>
  <si>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</si>
  <si>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</si>
  <si>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</si>
  <si>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</si>
  <si>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</si>
  <si>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</si>
  <si>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</si>
  <si>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</si>
  <si>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</si>
  <si>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</si>
  <si>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</si>
  <si>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</si>
  <si>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</si>
  <si>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</si>
  <si>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</si>
  <si>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</si>
  <si>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</si>
  <si>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</si>
  <si>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</si>
  <si>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</si>
  <si>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</si>
  <si>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</si>
  <si>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</si>
  <si>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</si>
  <si>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</si>
  <si>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</si>
  <si>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</si>
  <si>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</si>
  <si>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</si>
  <si>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</si>
  <si>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</si>
  <si>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</si>
  <si>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</si>
  <si>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</si>
  <si>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</si>
  <si>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</si>
  <si>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</si>
  <si>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</si>
  <si>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</si>
  <si>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</si>
  <si>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</si>
  <si>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</si>
  <si>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</si>
  <si>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</si>
  <si>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</si>
  <si>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</si>
  <si>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</si>
  <si>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</si>
  <si>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</si>
  <si>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</si>
  <si>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</si>
  <si>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</si>
  <si>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</si>
  <si>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</si>
  <si>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</si>
  <si>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</si>
  <si>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</si>
  <si>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</si>
  <si>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</si>
  <si>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</si>
  <si>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</si>
  <si>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</si>
  <si>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</si>
  <si>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</si>
  <si>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</si>
  <si>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</si>
  <si>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</si>
  <si>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</si>
  <si>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</si>
  <si>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</si>
  <si>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</si>
  <si>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</si>
  <si>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</si>
  <si>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</si>
  <si>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</si>
  <si>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</si>
  <si>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</si>
  <si>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</si>
  <si>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</si>
  <si>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</si>
  <si>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</si>
  <si>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</si>
  <si>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</si>
  <si>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</si>
  <si>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</si>
  <si>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</si>
  <si>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</si>
  <si>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</si>
  <si>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</si>
  <si>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</si>
  <si>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</si>
  <si>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</si>
  <si>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</si>
  <si>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</si>
  <si>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</si>
  <si>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</si>
  <si>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</si>
  <si>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</si>
  <si>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</si>
  <si>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</si>
  <si>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</si>
  <si>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</si>
  <si>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</si>
  <si>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</si>
  <si>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</si>
  <si>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</si>
  <si>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</si>
  <si>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</si>
  <si>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</si>
  <si>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</si>
  <si>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</si>
  <si>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</si>
  <si>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</si>
  <si>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</si>
  <si>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</si>
  <si>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</si>
  <si>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</si>
  <si>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</si>
  <si>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</si>
  <si>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</si>
  <si>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</si>
  <si>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</si>
  <si>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</si>
  <si>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</si>
  <si>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</si>
  <si>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</si>
  <si>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</si>
  <si>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</si>
  <si>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</si>
  <si>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</si>
  <si>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</si>
  <si>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</si>
  <si>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</si>
  <si>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</si>
  <si>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</si>
  <si>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</si>
  <si>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</si>
  <si>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</si>
  <si>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</si>
  <si>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</si>
  <si>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</si>
  <si>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</si>
  <si>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</si>
  <si>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</si>
  <si>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</si>
  <si>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</si>
  <si>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</si>
  <si>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</si>
  <si>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</si>
  <si>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</si>
  <si>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</si>
  <si>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</si>
  <si>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</si>
  <si>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</si>
  <si>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</si>
  <si>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</si>
  <si>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</si>
  <si>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</si>
  <si>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</si>
  <si>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</si>
  <si>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</si>
  <si>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</si>
  <si>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</si>
  <si>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</si>
  <si>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</si>
  <si>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</si>
  <si>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</si>
  <si>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</si>
  <si>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</si>
  <si>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</si>
  <si>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</si>
  <si>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</si>
  <si>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</si>
  <si>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</si>
  <si>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</si>
  <si>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</si>
  <si>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</si>
  <si>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</si>
  <si>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</si>
  <si>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</si>
  <si>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</si>
  <si>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</si>
  <si>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</si>
  <si>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</si>
  <si>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</si>
  <si>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</si>
  <si>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</si>
  <si>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</si>
  <si>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</si>
  <si>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</si>
  <si>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</si>
  <si>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</si>
  <si>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</si>
  <si>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</si>
  <si>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</si>
  <si>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</si>
  <si>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</si>
  <si>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</si>
  <si>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</si>
  <si>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</si>
  <si>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</si>
  <si>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</si>
  <si>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</si>
  <si>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</si>
  <si>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</si>
  <si>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</si>
  <si>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</si>
  <si>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</si>
  <si>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</si>
  <si>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</si>
  <si>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</si>
  <si>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</si>
  <si>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</si>
  <si>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</si>
  <si>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</si>
  <si>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</si>
  <si>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</si>
  <si>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</si>
  <si>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</si>
  <si>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</si>
  <si>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</si>
  <si>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</si>
  <si>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</si>
  <si>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</si>
  <si>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</si>
  <si>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</si>
  <si>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</si>
  <si>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</si>
  <si>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</si>
  <si>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</si>
  <si>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</si>
  <si>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</si>
  <si>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</si>
  <si>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</si>
  <si>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</si>
  <si>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</si>
  <si>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</si>
  <si>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</si>
  <si>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</si>
  <si>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</si>
  <si>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</si>
  <si>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</si>
  <si>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</si>
  <si>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</si>
  <si>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</si>
  <si>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</si>
  <si>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</si>
  <si>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</si>
  <si>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</si>
  <si>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</si>
  <si>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</si>
  <si>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</si>
  <si>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</si>
  <si>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</si>
  <si>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</si>
  <si>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</si>
  <si>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</si>
  <si>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</si>
  <si>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</si>
  <si>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</si>
  <si>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</si>
  <si>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</si>
  <si>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</si>
  <si>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</si>
  <si>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</si>
  <si>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</si>
  <si>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</si>
  <si>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</si>
  <si>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</si>
  <si>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</si>
  <si>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</si>
  <si>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</si>
  <si>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</si>
  <si>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</si>
  <si>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</si>
  <si>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</si>
  <si>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</si>
  <si>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</si>
  <si>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</si>
  <si>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</si>
  <si>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</si>
  <si>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</si>
  <si>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</si>
  <si>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</si>
  <si>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</si>
  <si>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</si>
  <si>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</si>
  <si>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</si>
  <si>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</si>
  <si>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</si>
  <si>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</si>
  <si>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</si>
  <si>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</si>
  <si>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</si>
  <si>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</si>
  <si>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</si>
  <si>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</si>
  <si>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</si>
  <si>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</si>
  <si>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</si>
  <si>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</si>
  <si>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</si>
  <si>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</si>
  <si>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</si>
  <si>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</si>
  <si>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</si>
  <si>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</si>
  <si>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</si>
  <si>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</si>
  <si>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</si>
  <si>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</si>
  <si>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</si>
  <si>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</si>
  <si>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</si>
  <si>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</si>
  <si>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</si>
  <si>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</si>
  <si>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</si>
  <si>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</si>
  <si>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</si>
  <si>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</si>
  <si>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</si>
  <si>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</si>
  <si>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</si>
  <si>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</si>
  <si>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</si>
  <si>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</si>
  <si>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</si>
  <si>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</si>
  <si>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</si>
  <si>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</si>
  <si>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</si>
  <si>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</si>
  <si>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</si>
  <si>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</si>
  <si>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</si>
  <si>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</si>
  <si>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</si>
  <si>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</si>
  <si>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</si>
  <si>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</si>
  <si>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</si>
  <si>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</si>
  <si>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</si>
  <si>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</si>
  <si>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</si>
  <si>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</si>
  <si>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</si>
  <si>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</si>
  <si>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</si>
  <si>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</si>
  <si>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</si>
  <si>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</si>
  <si>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</si>
  <si>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</si>
  <si>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</si>
  <si>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</si>
  <si>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</si>
  <si>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</si>
  <si>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</si>
  <si>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</si>
  <si>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</si>
  <si>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</si>
  <si>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</si>
  <si>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</si>
  <si>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</si>
  <si>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</si>
  <si>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</si>
  <si>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</si>
  <si>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</si>
  <si>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</si>
  <si>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</si>
  <si>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</si>
  <si>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</si>
  <si>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</si>
  <si>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</si>
  <si>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</si>
  <si>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</si>
  <si>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</si>
  <si>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</si>
  <si>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</si>
  <si>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</si>
  <si>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</si>
  <si>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</si>
  <si>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</si>
  <si>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</si>
  <si>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</si>
  <si>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</si>
  <si>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</si>
  <si>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</si>
  <si>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</si>
  <si>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</si>
  <si>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</si>
  <si>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</si>
  <si>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</si>
  <si>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</si>
  <si>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</si>
  <si>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</si>
  <si>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</si>
  <si>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</si>
  <si>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</si>
  <si>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</si>
  <si>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</si>
  <si>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</si>
  <si>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</si>
  <si>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</si>
  <si>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</si>
  <si>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</si>
  <si>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</si>
  <si>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</si>
  <si>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</si>
  <si>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</si>
  <si>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</si>
  <si>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</si>
  <si>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</si>
  <si>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</si>
  <si>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</si>
  <si>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</si>
  <si>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</si>
  <si>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</si>
  <si>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</si>
  <si>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</si>
  <si>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</si>
  <si>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</si>
  <si>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</si>
  <si>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</si>
  <si>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</si>
  <si>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</si>
  <si>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</si>
  <si>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</si>
  <si>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</si>
  <si>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</si>
  <si>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</si>
  <si>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</si>
  <si>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</si>
  <si>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</si>
  <si>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</si>
  <si>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</si>
  <si>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</si>
  <si>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</si>
  <si>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</si>
  <si>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</si>
  <si>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</si>
  <si>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</si>
  <si>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</si>
  <si>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</si>
  <si>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</si>
  <si>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</si>
  <si>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</si>
  <si>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</si>
  <si>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</si>
  <si>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</si>
  <si>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</si>
  <si>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</si>
  <si>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</si>
  <si>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</si>
  <si>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</si>
  <si>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</si>
  <si>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</si>
  <si>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</si>
  <si>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</si>
  <si>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</si>
  <si>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</si>
  <si>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</si>
  <si>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</si>
  <si>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</si>
  <si>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</si>
  <si>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</si>
  <si>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</si>
  <si>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</si>
  <si>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</si>
  <si>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</si>
  <si>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</si>
  <si>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</si>
  <si>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</si>
  <si>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</si>
  <si>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</si>
  <si>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</si>
  <si>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</si>
  <si>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</si>
  <si>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</si>
  <si>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</si>
  <si>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</si>
  <si>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</si>
  <si>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</si>
  <si>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</si>
  <si>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</si>
  <si>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</si>
  <si>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</si>
  <si>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</si>
  <si>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</si>
  <si>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</si>
  <si>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</si>
  <si>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</si>
  <si>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</si>
  <si>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</si>
  <si>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</si>
  <si>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</si>
  <si>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</si>
  <si>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</si>
  <si>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</si>
  <si>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</si>
  <si>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</si>
  <si>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</si>
  <si>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</si>
  <si>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</si>
  <si>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</si>
  <si>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</si>
  <si>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</si>
  <si>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</si>
  <si>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</si>
  <si>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</si>
  <si>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</si>
  <si>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</si>
  <si>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</si>
  <si>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</si>
  <si>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</si>
  <si>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</si>
  <si>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</si>
  <si>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</si>
  <si>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</si>
  <si>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</si>
  <si>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</si>
  <si>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</si>
  <si>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</si>
  <si>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</si>
  <si>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</si>
  <si>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</si>
  <si>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</si>
  <si>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</si>
  <si>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</si>
  <si>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</si>
  <si>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</si>
  <si>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</si>
  <si>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</si>
  <si>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</si>
  <si>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</si>
  <si>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</si>
  <si>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</si>
  <si>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</si>
  <si>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</si>
  <si>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</si>
  <si>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</si>
  <si>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</si>
  <si>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</si>
  <si>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</si>
  <si>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</si>
  <si>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</si>
  <si>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</si>
  <si>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</si>
  <si>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</si>
  <si>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</si>
  <si>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</si>
  <si>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</si>
  <si>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</si>
  <si>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</si>
  <si>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</si>
  <si>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</si>
  <si>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</si>
  <si>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</si>
  <si>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</si>
  <si>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</si>
  <si>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</si>
  <si>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</si>
  <si>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</si>
  <si>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</si>
  <si>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</si>
  <si>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</si>
  <si>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</si>
  <si>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</si>
  <si>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</si>
  <si>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</si>
  <si>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</si>
  <si>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</si>
  <si>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</si>
  <si>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</si>
  <si>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</si>
  <si>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</si>
  <si>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</si>
  <si>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</si>
  <si>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</si>
  <si>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</si>
  <si>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</si>
  <si>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</si>
  <si>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</si>
  <si>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</si>
  <si>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</si>
  <si>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</si>
  <si>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</si>
  <si>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</si>
  <si>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</si>
  <si>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</si>
  <si>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</si>
  <si>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</si>
  <si>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</si>
  <si>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</si>
  <si>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</si>
  <si>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</si>
  <si>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</si>
  <si>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</si>
  <si>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</si>
  <si>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</si>
  <si>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</si>
  <si>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</si>
  <si>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</si>
  <si>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</si>
  <si>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</si>
  <si>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</si>
  <si>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</si>
  <si>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</si>
  <si>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</si>
  <si>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</si>
  <si>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</si>
  <si>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</si>
  <si>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</si>
  <si>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</si>
  <si>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</si>
  <si>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</si>
  <si>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</si>
  <si>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</si>
  <si>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</si>
  <si>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</si>
  <si>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</si>
  <si>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</si>
  <si>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</si>
  <si>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</si>
  <si>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</si>
  <si>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</si>
  <si>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</si>
  <si>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</si>
  <si>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</si>
  <si>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</si>
  <si>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</si>
  <si>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</si>
  <si>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</si>
  <si>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</si>
  <si>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</si>
  <si>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</si>
  <si>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</si>
  <si>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</si>
  <si>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</si>
  <si>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</si>
  <si>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</si>
  <si>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</si>
  <si>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</si>
  <si>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</si>
  <si>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</si>
  <si>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</si>
  <si>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</si>
  <si>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</si>
  <si>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</si>
  <si>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</si>
  <si>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</si>
  <si>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</si>
  <si>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</si>
  <si>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</si>
  <si>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</si>
  <si>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</si>
  <si>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</si>
  <si>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</si>
  <si>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</si>
  <si>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</si>
  <si>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</si>
  <si>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</si>
  <si>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</si>
  <si>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</si>
  <si>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</si>
  <si>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</si>
  <si>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</si>
  <si>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</si>
  <si>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</si>
  <si>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</si>
  <si>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</si>
  <si>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</si>
  <si>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</si>
  <si>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</si>
  <si>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</si>
  <si>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</si>
  <si>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</si>
  <si>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</si>
  <si>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</si>
  <si>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</si>
  <si>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</si>
  <si>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</si>
  <si>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</si>
  <si>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</si>
  <si>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</si>
  <si>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</si>
  <si>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</si>
  <si>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</si>
  <si>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</si>
  <si>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</si>
  <si>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</si>
  <si>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</si>
  <si>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</si>
  <si>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</si>
  <si>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</si>
  <si>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</si>
  <si>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</si>
  <si>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</si>
  <si>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</si>
  <si>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</si>
  <si>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</si>
  <si>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</si>
  <si>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</si>
  <si>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</si>
  <si>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</si>
  <si>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</si>
  <si>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</si>
  <si>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</si>
  <si>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</si>
  <si>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</si>
  <si>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</si>
  <si>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</si>
  <si>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</si>
  <si>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</si>
  <si>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</si>
  <si>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</si>
  <si>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</si>
  <si>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</si>
  <si>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</si>
  <si>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</si>
  <si>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</si>
  <si>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</si>
  <si>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</si>
  <si>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</si>
  <si>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</si>
  <si>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</si>
  <si>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</si>
  <si>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</si>
  <si>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</si>
  <si>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</si>
  <si>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</si>
  <si>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</si>
  <si>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</si>
  <si>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</si>
  <si>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</si>
  <si>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</si>
  <si>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</si>
  <si>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</si>
  <si>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</si>
  <si>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</si>
  <si>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</si>
  <si>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</si>
  <si>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</si>
  <si>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</si>
  <si>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</si>
  <si>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</si>
  <si>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</si>
  <si>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</si>
  <si>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</si>
  <si>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</si>
  <si>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</si>
  <si>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</si>
  <si>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</si>
  <si>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</si>
  <si>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</si>
  <si>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</si>
  <si>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</si>
  <si>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</si>
  <si>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</si>
  <si>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</si>
  <si>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</si>
  <si>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</si>
  <si>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</si>
  <si>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</si>
  <si>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</si>
  <si>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</si>
  <si>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</si>
  <si>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</si>
  <si>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</si>
  <si>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</si>
  <si>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</si>
  <si>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</si>
  <si>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</si>
  <si>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</si>
  <si>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</si>
  <si>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</si>
  <si>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</si>
  <si>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</si>
  <si>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</si>
  <si>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</si>
  <si>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</si>
  <si>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</si>
  <si>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</si>
  <si>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</si>
  <si>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</si>
  <si>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</si>
  <si>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</si>
  <si>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</si>
  <si>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</si>
  <si>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</si>
  <si>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</si>
  <si>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</si>
  <si>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</si>
  <si>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</si>
  <si>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</si>
  <si>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</si>
  <si>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</si>
  <si>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</si>
  <si>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</si>
  <si>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</si>
  <si>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</si>
  <si>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</si>
  <si>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</si>
  <si>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</si>
  <si>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</si>
  <si>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</si>
  <si>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</si>
  <si>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</si>
  <si>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</si>
  <si>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</si>
  <si>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</si>
  <si>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</si>
  <si>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</si>
  <si>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</si>
  <si>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</si>
  <si>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</si>
  <si>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</si>
  <si>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</si>
  <si>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</si>
  <si>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</si>
  <si>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</si>
  <si>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</si>
  <si>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</si>
  <si>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</si>
  <si>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</si>
  <si>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</si>
  <si>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</si>
  <si>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</si>
  <si>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</si>
  <si>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</si>
  <si>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</si>
  <si>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</si>
  <si>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</si>
  <si>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</si>
  <si>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</si>
  <si>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</si>
  <si>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</si>
  <si>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</si>
  <si>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</si>
  <si>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</si>
  <si>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</si>
  <si>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</si>
  <si>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</si>
  <si>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</si>
  <si>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</si>
  <si>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</si>
  <si>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</si>
  <si>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</si>
  <si>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</si>
  <si>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</si>
  <si>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</si>
  <si>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</si>
  <si>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</si>
  <si>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</si>
  <si>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</si>
  <si>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</si>
  <si>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</si>
  <si>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</si>
  <si>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</si>
  <si>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</si>
  <si>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</si>
  <si>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</si>
  <si>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</si>
  <si>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</si>
  <si>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</si>
  <si>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</si>
  <si>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</si>
  <si>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</si>
  <si>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</si>
  <si>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</si>
  <si>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</si>
  <si>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</si>
  <si>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</si>
  <si>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</si>
  <si>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</si>
  <si>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</si>
  <si>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</si>
  <si>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</si>
  <si>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</si>
  <si>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</si>
  <si>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</si>
  <si>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</si>
  <si>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</si>
  <si>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</si>
  <si>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</si>
  <si>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</si>
  <si>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</si>
  <si>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</si>
  <si>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</si>
  <si>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</si>
  <si>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</si>
  <si>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</si>
  <si>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</si>
  <si>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</si>
  <si>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</si>
  <si>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</si>
  <si>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</si>
  <si>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</si>
  <si>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</si>
  <si>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</si>
  <si>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</si>
  <si>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</si>
  <si>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</si>
  <si>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</si>
  <si>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</si>
  <si>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</si>
  <si>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</si>
  <si>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</si>
  <si>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</si>
  <si>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</si>
  <si>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</si>
  <si>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</si>
  <si>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</si>
  <si>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</si>
  <si>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</si>
  <si>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</si>
  <si>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</si>
  <si>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</si>
  <si>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</si>
  <si>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</si>
  <si>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</si>
  <si>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</si>
  <si>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与级别开发程度一致</t>
  </si>
  <si>
    <t>不临街</t>
  </si>
  <si>
    <t>企业</t>
  </si>
  <si>
    <t>不临65条商业街</t>
  </si>
  <si>
    <t>容积率修正</t>
  </si>
  <si>
    <t>平整</t>
  </si>
  <si>
    <t>全部缴纳</t>
  </si>
  <si>
    <t>成本法</t>
  </si>
  <si>
    <t>地下</t>
  </si>
  <si>
    <t>车库—商业</t>
  </si>
  <si>
    <t>商业</t>
    <phoneticPr fontId="7" type="noConversion"/>
  </si>
  <si>
    <t>收益法</t>
  </si>
  <si>
    <t>总价</t>
  </si>
  <si>
    <t>成本比率</t>
  </si>
  <si>
    <t>估价对象容积率</t>
  </si>
  <si>
    <t>燃气</t>
  </si>
  <si>
    <t>通热</t>
  </si>
  <si>
    <t>情况3</t>
  </si>
  <si>
    <t>自行开发建设</t>
  </si>
  <si>
    <t>非个人房产</t>
  </si>
  <si>
    <t>企业提供（在右侧录入）</t>
  </si>
  <si>
    <t>土地成本</t>
  </si>
  <si>
    <t>前期工程费</t>
  </si>
  <si>
    <t>建安工程费</t>
  </si>
  <si>
    <t>土地增值税</t>
  </si>
  <si>
    <t>装修费用</t>
  </si>
  <si>
    <t>建筑面积</t>
    <phoneticPr fontId="134" type="noConversion"/>
  </si>
  <si>
    <t>单价</t>
    <phoneticPr fontId="134" type="noConversion"/>
  </si>
  <si>
    <t>总价</t>
    <phoneticPr fontId="134" type="noConversion"/>
  </si>
  <si>
    <t>出让金+开发费</t>
  </si>
  <si>
    <t>保利（北京）房地产开发</t>
    <phoneticPr fontId="6" type="noConversion"/>
  </si>
  <si>
    <t>商业项目</t>
  </si>
  <si>
    <t>郑燚</t>
  </si>
  <si>
    <t>崔锴</t>
  </si>
  <si>
    <t>主体</t>
  </si>
  <si>
    <t>人防</t>
    <phoneticPr fontId="3" type="noConversion"/>
  </si>
  <si>
    <t>装修</t>
  </si>
  <si>
    <t>设备</t>
  </si>
  <si>
    <t>外部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</si>
</sst>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0" fontId="77" fillId="7" borderId="5" xfId="0" applyFont="1" applyFill="1" applyBorder="1" applyAlignment="1" applyProtection="1">
      <alignment vertical="center"/>
      <protection locked="0"/>
    </xf>
    <xf numFmtId="0" fontId="269" fillId="12" borderId="0" xfId="0" applyFont="1" applyFill="1" applyAlignment="1" applyProtection="1">
      <alignment vertical="center"/>
      <protection locked="0"/>
    </xf>
    <xf numFmtId="0" fontId="269"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179" fontId="44" fillId="0" borderId="3" xfId="0" applyNumberFormat="1"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0" fontId="44" fillId="18" borderId="13" xfId="0" applyFont="1" applyFill="1" applyBorder="1" applyAlignment="1" applyProtection="1">
      <alignment horizontal="center" vertical="center"/>
      <protection locked="0"/>
    </xf>
    <xf numFmtId="0" fontId="44" fillId="18" borderId="1"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314324</xdr:colOff>
      <xdr:row>1</xdr:row>
      <xdr:rowOff>68742</xdr:rowOff>
    </xdr:from>
    <xdr:to>
      <xdr:col>10</xdr:col>
      <xdr:colOff>617237</xdr:colOff>
      <xdr:row>6</xdr:row>
      <xdr:rowOff>85531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00124" y="240192"/>
          <a:ext cx="8551563" cy="874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P03-&#19990;&#32426;&#37329;&#28304;2024\&#26368;&#32456;\&#19990;&#32426;&#37329;&#28304;DE&#2757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分层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车库)"/>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停车楼)"/>
      <sheetName val="土地比较法-住宅、综合"/>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
          <cell r="AV16">
            <v>0</v>
          </cell>
        </row>
        <row r="17">
          <cell r="AV1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估价对象为北京市房地产，为所有。根据《国有土地使用证》[]，估价对象（分摊）出让国有建设用地使用权面积为12157.82平方米，建筑面积为22383.91平方米。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估价对象为北京市房地产,属开发建设的商业项目，该项目尚在开发建设中。根据《国有土地使用证》[]，估价对象（分摊）出让国有建设用地使用权面积为12157.82平方米，规划建筑面积为22383.91平方米。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28595</v>
      </c>
    </row>
    <row r="21" spans="1:2" s="1202" customFormat="1">
      <c r="A21" s="1200" t="s">
        <v>537</v>
      </c>
      <c r="B21" s="1201">
        <f ca="1">'预评函-2'!D7</f>
        <v>12775</v>
      </c>
    </row>
    <row r="22" spans="1:2" s="1202" customFormat="1">
      <c r="A22" s="1200" t="s">
        <v>538</v>
      </c>
      <c r="B22" s="1201" t="str">
        <f ca="1">'预评函-2'!D6</f>
        <v>贰亿捌仟伍佰玖拾伍万元整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28595</v>
      </c>
    </row>
    <row r="31" spans="1:2" s="1202" customFormat="1">
      <c r="A31" s="1200" t="s">
        <v>576</v>
      </c>
      <c r="B31" s="1201">
        <f ca="1">'预评函-2'!D15</f>
        <v>12775</v>
      </c>
    </row>
    <row r="32" spans="1:2" s="1202" customFormat="1">
      <c r="A32" s="1200" t="s">
        <v>543</v>
      </c>
      <c r="B32" s="1201" t="str">
        <f ca="1">'预评函-2'!D14</f>
        <v>贰亿捌仟伍佰玖拾伍万元整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23074</v>
      </c>
    </row>
    <row r="39" spans="1:2" s="1202" customFormat="1">
      <c r="A39" s="1200" t="s">
        <v>545</v>
      </c>
      <c r="B39" s="1201">
        <f ca="1">'预评函-2'!D21</f>
        <v>10308</v>
      </c>
    </row>
    <row r="40" spans="1:2" s="1202" customFormat="1">
      <c r="A40" s="1200" t="s">
        <v>546</v>
      </c>
      <c r="B40" s="1201" t="str">
        <f ca="1">'预评函-2'!D20</f>
        <v>贰亿叁仟零柒拾肆万元整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22383.909999999996</v>
      </c>
    </row>
    <row r="44" spans="1:2" s="1202" customFormat="1">
      <c r="A44" s="1200" t="s">
        <v>575</v>
      </c>
      <c r="B44" s="1201" t="str">
        <f>'预评函-3'!C2</f>
        <v>(分摊)土地面积</v>
      </c>
    </row>
    <row r="45" spans="1:2" s="1202" customFormat="1">
      <c r="A45" s="1200" t="s">
        <v>547</v>
      </c>
      <c r="B45" s="1201">
        <f>'预评函-3'!C4</f>
        <v>12157.82</v>
      </c>
    </row>
    <row r="46" spans="1:2" s="1202" customFormat="1">
      <c r="A46" s="1200" t="s">
        <v>573</v>
      </c>
      <c r="B46" s="1201" t="str">
        <f>'预评函-3'!D2</f>
        <v>出让国有建设用地使用权价值</v>
      </c>
    </row>
    <row r="47" spans="1:2" s="1202" customFormat="1">
      <c r="A47" s="1200" t="s">
        <v>548</v>
      </c>
      <c r="B47" s="1201">
        <f ca="1">'预评函-3'!D4</f>
        <v>18615</v>
      </c>
    </row>
    <row r="48" spans="1:2" s="1202" customFormat="1">
      <c r="A48" s="1200" t="s">
        <v>549</v>
      </c>
      <c r="B48" s="1201">
        <f ca="1">'预评函-3'!E4</f>
        <v>8316</v>
      </c>
    </row>
    <row r="49" spans="1:2" s="1202" customFormat="1">
      <c r="A49" s="1200" t="s">
        <v>550</v>
      </c>
      <c r="B49" s="1201" t="str">
        <f ca="1">'预评函-3'!D5</f>
        <v>壹亿捌仟陆佰壹拾伍万元整</v>
      </c>
    </row>
    <row r="50" spans="1:2" s="1202" customFormat="1">
      <c r="A50" s="1200" t="s">
        <v>574</v>
      </c>
      <c r="B50" s="1201" t="str">
        <f>'预评函-3'!F2</f>
        <v>在建建筑物价值</v>
      </c>
    </row>
    <row r="51" spans="1:2" s="1202" customFormat="1">
      <c r="A51" s="1200" t="s">
        <v>551</v>
      </c>
      <c r="B51" s="1201">
        <f ca="1">'预评函-3'!F4</f>
        <v>9980</v>
      </c>
    </row>
    <row r="52" spans="1:2" s="1202" customFormat="1">
      <c r="A52" s="1200" t="s">
        <v>552</v>
      </c>
      <c r="B52" s="1201">
        <f ca="1">'预评函-3'!G4</f>
        <v>4459</v>
      </c>
    </row>
    <row r="53" spans="1:2" s="1202" customFormat="1">
      <c r="A53" s="1200" t="s">
        <v>580</v>
      </c>
      <c r="B53" s="1201" t="str">
        <f ca="1">'预评函-3'!F5</f>
        <v>玖仟玖佰捌拾万元整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6" sqref="B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5" t="s">
        <v>2584</v>
      </c>
      <c r="J2" s="3505"/>
      <c r="K2" s="3505"/>
      <c r="L2" s="3505"/>
      <c r="M2" s="3505"/>
      <c r="N2" s="3505"/>
      <c r="O2" s="3505"/>
      <c r="P2" s="3505"/>
      <c r="Q2" s="3505"/>
      <c r="R2" s="3505"/>
    </row>
    <row r="3" spans="1:18">
      <c r="A3" s="3018" t="s">
        <v>2505</v>
      </c>
      <c r="B3" s="3019">
        <f>项目基本情况!D3</f>
        <v>45429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48944</v>
      </c>
      <c r="C5" s="3021">
        <f>ROUNDDOWN(MIN((B5-B3)/365,A5),2)</f>
        <v>9.6300000000000008</v>
      </c>
      <c r="D5" s="3023">
        <f>IF(ISERROR(ROUND(POWER(1+E5,A5-C5)*(POWER(1+E5,C5)-1)/(POWER(1+E5,A5)-1),3)),0,ROUND(POWER(1+E5,A5-C5)*(POWER(1+E5,C5)-1)/(POWER(1+E5,A5)-1),4))</f>
        <v>0.39729999999999999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v>
      </c>
      <c r="D6" s="3023">
        <f>IF(ISERROR(ROUND(POWER(1+E6,A6-C6)*(POWER(1+E6,C6)-1)/(POWER(1+E6,A6)-1),3)),0,ROUND(POWER(1+E6,A6-C6)*(POWER(1+E6,C6)-1)/(POWER(1+E6,A6)-1),4))</f>
        <v>0.45379999999999998</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32.61</v>
      </c>
      <c r="D7" s="3023">
        <f>IF(ISERROR(ROUND(POWER(1+E7,A7-C7)*(POWER(1+E7,C7)-1)/(POWER(1+E7,A7)-1),3)),0,ROUND(POWER(1+E7,A7-C7)*(POWER(1+E7,C7)-1)/(POWER(1+E7,A7)-1),4))</f>
        <v>0.7712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4" sqref="N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3473</v>
      </c>
      <c r="C4" s="2375">
        <f ca="1">SUMIF(注册房地产估价师,B4,估价师及机构信息!B3:B24)</f>
        <v>1120070131</v>
      </c>
      <c r="D4" s="2374" t="s">
        <v>3474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459" t="s">
        <v>3471</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09" t="s">
        <v>2177</v>
      </c>
      <c r="E8" s="2389" t="s">
        <v>3383</v>
      </c>
      <c r="F8" s="2390"/>
      <c r="G8" s="2661"/>
      <c r="H8" s="2661"/>
      <c r="I8" s="2661"/>
      <c r="J8" s="2437"/>
      <c r="K8" s="2612"/>
      <c r="L8" s="2611"/>
      <c r="M8" s="2611"/>
      <c r="N8" s="2437"/>
      <c r="O8" s="2448"/>
      <c r="P8" s="2437"/>
      <c r="Q8" s="2437"/>
      <c r="R8" s="2437"/>
    </row>
    <row r="9" spans="1:30" ht="13.5" thickBot="1">
      <c r="A9" s="2391" t="s">
        <v>2178</v>
      </c>
      <c r="B9" s="2392" t="s">
        <v>3383</v>
      </c>
      <c r="C9" s="2393"/>
      <c r="D9" s="3510"/>
      <c r="E9" s="2392" t="s">
        <v>587</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3443</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v>53500</v>
      </c>
      <c r="E13" s="855"/>
      <c r="F13" s="855">
        <v>57153</v>
      </c>
      <c r="G13" s="855"/>
      <c r="H13" s="855"/>
      <c r="I13" s="855"/>
      <c r="J13" s="3060"/>
      <c r="K13" s="2611"/>
      <c r="L13" s="2611"/>
      <c r="M13" s="2437"/>
      <c r="N13" s="2448"/>
      <c r="O13" s="2437"/>
      <c r="P13" s="2437"/>
      <c r="Q13" s="2437"/>
      <c r="AD13" s="1744"/>
    </row>
    <row r="14" spans="1:30">
      <c r="A14" s="1080"/>
      <c r="B14" s="2405" t="s">
        <v>2191</v>
      </c>
      <c r="C14" s="2406"/>
      <c r="D14" s="2406">
        <v>40</v>
      </c>
      <c r="E14" s="2406"/>
      <c r="F14" s="2406">
        <v>50</v>
      </c>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22.11</v>
      </c>
      <c r="E15" s="2408" t="str">
        <f>IF(A13="出让",IF(E13="","",ROUNDDOWN(MIN((E13-$D$3)/365,E14),2)),E14)</f>
        <v/>
      </c>
      <c r="F15" s="2408">
        <f>IF(A13="出让",IF(F13="","",ROUNDDOWN(MIN((F13-$D$3)/365,F14),2)),F14)</f>
        <v>32.119999999999997</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16"/>
      <c r="C16" s="3517"/>
      <c r="D16" s="3518"/>
      <c r="E16" s="2411" t="s">
        <v>2194</v>
      </c>
      <c r="F16" s="3519"/>
      <c r="G16" s="3520"/>
      <c r="H16" s="3520"/>
      <c r="I16" s="3521"/>
      <c r="J16" s="2437"/>
      <c r="K16" s="2615"/>
      <c r="L16" s="2449"/>
      <c r="M16" s="2449"/>
      <c r="N16" s="2507"/>
      <c r="O16" s="2449"/>
      <c r="P16" s="2507"/>
      <c r="Q16" s="2437"/>
      <c r="R16" s="2437"/>
    </row>
    <row r="17" spans="1:28">
      <c r="A17" s="313" t="s">
        <v>2195</v>
      </c>
      <c r="B17" s="302" t="s">
        <v>2196</v>
      </c>
      <c r="C17" s="8">
        <f>'数据-汇总表'!E3</f>
        <v>22383.909999999996</v>
      </c>
      <c r="D17" s="2321" t="s">
        <v>2197</v>
      </c>
      <c r="E17" s="3522" t="s">
        <v>2198</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12157.82</v>
      </c>
      <c r="D18" s="1091" t="s">
        <v>2201</v>
      </c>
      <c r="E18" s="3525" t="s">
        <v>2202</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12" t="s">
        <v>2206</v>
      </c>
      <c r="C20" s="3513"/>
      <c r="D20" s="3514" t="s">
        <v>2207</v>
      </c>
      <c r="E20" s="3515"/>
      <c r="F20" s="2645" t="s">
        <v>1056</v>
      </c>
      <c r="G20" s="2662"/>
      <c r="H20" s="2662"/>
      <c r="I20" s="2662"/>
      <c r="J20" s="2437"/>
      <c r="K20" s="351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v>2010</v>
      </c>
      <c r="H21" s="2662"/>
      <c r="I21" s="2662"/>
      <c r="J21" s="2437"/>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14</v>
      </c>
      <c r="H22" s="2662"/>
      <c r="I22" s="2662"/>
      <c r="J22" s="2437"/>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24</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9" t="s">
        <v>2214</v>
      </c>
      <c r="B27" s="320" t="s">
        <v>2215</v>
      </c>
      <c r="C27" s="2414" t="s">
        <v>3472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9"/>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9"/>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0"/>
      <c r="B30" s="302" t="s">
        <v>2218</v>
      </c>
      <c r="C30" s="3531"/>
      <c r="D30" s="3532"/>
      <c r="E30" s="2662"/>
      <c r="F30" s="2662"/>
      <c r="G30" s="2662"/>
      <c r="H30" s="2662"/>
      <c r="I30" s="2662"/>
      <c r="J30" s="2437"/>
      <c r="K30" s="2614"/>
      <c r="L30" s="2611"/>
      <c r="M30" s="2611"/>
      <c r="N30" s="2437"/>
      <c r="O30" s="2448"/>
      <c r="P30" s="2437"/>
      <c r="Q30" s="2437"/>
      <c r="R30" s="2437"/>
      <c r="S30" s="2437"/>
      <c r="T30" s="2437"/>
      <c r="U30" s="2437"/>
      <c r="V30" s="2437"/>
    </row>
    <row r="31" spans="1:28">
      <c r="A31" s="3533"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4"/>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4"/>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t="s">
        <v>3456</v>
      </c>
      <c r="H34" s="2025" t="s">
        <v>3457</v>
      </c>
      <c r="I34" s="2662"/>
      <c r="J34" s="2437"/>
      <c r="K34" s="2425">
        <f>COUNTIF(B34:H34,"——")</f>
        <v>0</v>
      </c>
      <c r="L34" s="323" t="s">
        <v>2221</v>
      </c>
      <c r="M34" s="323" t="s">
        <v>2222</v>
      </c>
      <c r="N34" s="323" t="s">
        <v>2223</v>
      </c>
      <c r="O34" s="323" t="s">
        <v>2224</v>
      </c>
      <c r="P34" s="323" t="s">
        <v>2225</v>
      </c>
      <c r="Q34" s="323" t="s">
        <v>2226</v>
      </c>
      <c r="R34" s="323" t="s">
        <v>2227</v>
      </c>
      <c r="S34" s="3528" t="s">
        <v>2228</v>
      </c>
      <c r="T34" s="2426" t="str">
        <f>NUMBERSTRING(7-K34,1)&amp;"通"</f>
        <v>七通</v>
      </c>
      <c r="U34" s="2437"/>
      <c r="V34" s="2437"/>
    </row>
    <row r="35" spans="1:30">
      <c r="A35" s="2427"/>
      <c r="B35" s="3535" t="s">
        <v>2229</v>
      </c>
      <c r="C35" s="3535"/>
      <c r="D35" s="3535"/>
      <c r="E35" s="3535"/>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28"/>
      <c r="T35" s="329" t="str">
        <f>IF(T34="一通",L35,IF(T34="二通",M35,IF(T34="三通",N35,IF(T34="四通",O35,IF(T34="五通",P35,IF(T34="六通",Q35,R35))))))</f>
        <v>通路、通电、通讯、通上水、通下水、燃气、通热</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0"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12157.82</v>
      </c>
      <c r="B3" s="11">
        <f>IF(C3="否",G5-AT5,G5)</f>
        <v>22383.909999999996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22383.909999999996</v>
      </c>
      <c r="H5" s="13">
        <f t="shared" ref="H5:AT5" si="0">SUM(H13:H656)</f>
        <v>22383.909999999996</v>
      </c>
      <c r="I5" s="13">
        <f t="shared" si="0"/>
        <v>19037.439999999999</v>
      </c>
      <c r="J5" s="13">
        <f t="shared" si="0"/>
        <v>0</v>
      </c>
      <c r="K5" s="13">
        <f t="shared" si="0"/>
        <v>1690.2200000000012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1656.25</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22383.909999999996</v>
      </c>
      <c r="BA5" s="15">
        <f t="shared" si="1"/>
        <v>22383.909999999996</v>
      </c>
      <c r="BB5" s="15">
        <f t="shared" si="1"/>
        <v>19037.439999999999</v>
      </c>
      <c r="BC5" s="15">
        <f t="shared" si="1"/>
        <v>1690.2200000000012</v>
      </c>
      <c r="BD5" s="15">
        <f t="shared" si="1"/>
        <v>0</v>
      </c>
      <c r="BE5" s="15">
        <f t="shared" si="1"/>
        <v>0</v>
      </c>
      <c r="BF5" s="15">
        <f t="shared" si="1"/>
        <v>0</v>
      </c>
      <c r="BG5" s="15">
        <f t="shared" si="1"/>
        <v>0</v>
      </c>
      <c r="BH5" s="15">
        <f t="shared" si="1"/>
        <v>0</v>
      </c>
      <c r="BI5" s="15">
        <f t="shared" si="1"/>
        <v>0</v>
      </c>
      <c r="BJ5" s="15">
        <f t="shared" si="1"/>
        <v>0</v>
      </c>
      <c r="BK5" s="15">
        <f t="shared" si="1"/>
        <v>1656.25</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12157.810000000001</v>
      </c>
      <c r="F6" s="13" t="s">
        <v>0</v>
      </c>
      <c r="G6" s="13" t="s">
        <v>1</v>
      </c>
      <c r="H6" s="17">
        <f>SUMIF(I$12:AB$12,"总值",I6:AB6)</f>
        <v>12157.810000000001</v>
      </c>
      <c r="I6" s="13">
        <f t="shared" ref="I6:AB6" si="2">ROUND($A$3*I5/$B$3,2)</f>
        <v>10340.18</v>
      </c>
      <c r="J6" s="13">
        <f t="shared" si="2"/>
        <v>0</v>
      </c>
      <c r="K6" s="13">
        <f t="shared" si="2"/>
        <v>918.04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899.59</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12157.82</v>
      </c>
      <c r="AZ6" s="13" t="s">
        <v>2</v>
      </c>
      <c r="BA6" s="13">
        <f>ROUND($AY$6*BA5/$AZ$5,2)</f>
        <v>12157.82</v>
      </c>
      <c r="BB6" s="13">
        <f>ROUND($AY$6*BB5/$AZ$5,2)</f>
        <v>10340.18</v>
      </c>
      <c r="BC6" s="13">
        <f t="shared" ref="BC6:BH6" si="4">ROUND($AY$6*BC5/$AZ$5,2)</f>
        <v>918.04</v>
      </c>
      <c r="BD6" s="13">
        <f t="shared" si="4"/>
        <v>0</v>
      </c>
      <c r="BE6" s="13">
        <f t="shared" si="4"/>
        <v>0</v>
      </c>
      <c r="BF6" s="13">
        <f t="shared" si="4"/>
        <v>0</v>
      </c>
      <c r="BG6" s="13">
        <f t="shared" si="4"/>
        <v>0</v>
      </c>
      <c r="BH6" s="13">
        <f t="shared" si="4"/>
        <v>0</v>
      </c>
      <c r="BI6" s="13">
        <f t="shared" ref="BI6:BT6" si="5">ROUND($AY$6*BI5/$AZ$5,2)</f>
        <v>0</v>
      </c>
      <c r="BJ6" s="13">
        <f t="shared" si="5"/>
        <v>0</v>
      </c>
      <c r="BK6" s="13">
        <f t="shared" si="5"/>
        <v>899.59</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t="s">
        <v>3449</v>
      </c>
      <c r="L9" s="808"/>
      <c r="M9" s="1602"/>
      <c r="N9" s="808"/>
      <c r="O9" s="1602"/>
      <c r="P9" s="808"/>
      <c r="Q9" s="1602"/>
      <c r="R9" s="808"/>
      <c r="S9" s="1602"/>
      <c r="T9" s="808"/>
      <c r="U9" s="1602"/>
      <c r="V9" s="808"/>
      <c r="W9" s="1602"/>
      <c r="X9" s="1603"/>
      <c r="Y9" s="1602"/>
      <c r="Z9" s="808"/>
      <c r="AA9" s="1602" t="s">
        <v>3449</v>
      </c>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3450</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t="str">
        <f>AA9</f>
        <v>地下</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车库—商业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3393</v>
      </c>
      <c r="E13" s="13">
        <f>IF($C$3="是",ROUND($A$3*G13/$B$3,2),ROUND($A$3*(G13-AT13)/$B$3,2))</f>
        <v>10142.620000000001</v>
      </c>
      <c r="F13" s="29"/>
      <c r="G13" s="30">
        <f>H13+AC13+AT13</f>
        <v>18673.71</v>
      </c>
      <c r="H13" s="17">
        <f>SUMIF(I$12:AB$12,"总值",I13:AB13)</f>
        <v>18673.71</v>
      </c>
      <c r="I13" s="1625">
        <v>18673.71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10142.620000000001</v>
      </c>
      <c r="AZ13" s="13">
        <f>BA13+BL13</f>
        <v>18673.71</v>
      </c>
      <c r="BA13" s="13">
        <f>SUM(BB13:BK13)</f>
        <v>18673.71</v>
      </c>
      <c r="BB13" s="13">
        <f>IF($D13="是",I13-J13,0)</f>
        <v>18673.71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2</v>
      </c>
      <c r="D14" s="1624" t="s">
        <v>3393</v>
      </c>
      <c r="E14" s="13">
        <f>IF($C$3="是",ROUND($A$3*G14/$B$3,2),ROUND($A$3*(G14-AT14)/$B$3,2))</f>
        <v>197.56</v>
      </c>
      <c r="F14" s="29"/>
      <c r="G14" s="30">
        <f>H14+AC14+AT14</f>
        <v>363.73</v>
      </c>
      <c r="H14" s="17">
        <f>SUMIF(I$12:AB$12,"总值",I14:AB14)</f>
        <v>363.73</v>
      </c>
      <c r="I14" s="1625">
        <v>363.73</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197.56</v>
      </c>
      <c r="AZ14" s="13">
        <f>BA14+BL14</f>
        <v>363.73</v>
      </c>
      <c r="BA14" s="13">
        <f>SUM(BB14:BK14)</f>
        <v>363.73</v>
      </c>
      <c r="BB14" s="13">
        <f>IF($D14="是",I14-J14,0)</f>
        <v>363.73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3393</v>
      </c>
      <c r="E15" s="13">
        <f>IF($C$3="是",ROUND($A$3*G15/$B$3,2),ROUND($A$3*(G15-AT15)/$B$3,2))</f>
        <v>1488.72</v>
      </c>
      <c r="F15" s="29"/>
      <c r="G15" s="30">
        <f>H15+AC15+AT15</f>
        <v>2740.9000000000015</v>
      </c>
      <c r="H15" s="17">
        <f>SUMIF(I$12:AB$12,"总值",I15:AB15)</f>
        <v>2740.9000000000015</v>
      </c>
      <c r="I15" s="1625"/>
      <c r="J15" s="1625"/>
      <c r="K15" s="1625">
        <f>22383.91-(I13+I14+AA5)</f>
        <v>1690.2200000000012</v>
      </c>
      <c r="L15" s="1625"/>
      <c r="M15" s="1625"/>
      <c r="N15" s="1625"/>
      <c r="O15" s="1625"/>
      <c r="P15" s="1625"/>
      <c r="Q15" s="1625"/>
      <c r="R15" s="1625"/>
      <c r="S15" s="1625"/>
      <c r="T15" s="1625"/>
      <c r="U15" s="1625"/>
      <c r="V15" s="1625"/>
      <c r="W15" s="1625"/>
      <c r="X15" s="1625"/>
      <c r="Y15" s="1625"/>
      <c r="Z15" s="1625"/>
      <c r="AA15" s="1626">
        <v>1050.68</v>
      </c>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1488.72</v>
      </c>
      <c r="AZ15" s="13">
        <f>BA15+BL15</f>
        <v>2740.9000000000015</v>
      </c>
      <c r="BA15" s="13">
        <f>SUM(BB15:BK15)</f>
        <v>2740.9000000000015</v>
      </c>
      <c r="BB15" s="13">
        <f>IF($D15="是",I15-J15,0)</f>
        <v>0</v>
      </c>
      <c r="BC15" s="13">
        <f>IF($D15="是",K15-L15,0)</f>
        <v>1690.2200000000012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1050.68</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3393</v>
      </c>
      <c r="E16" s="13">
        <f>IF($C$3="是",ROUND($A$3*G16/$B$3,2),ROUND($A$3*(G16-AT16)/$B$3,2))</f>
        <v>16.61</v>
      </c>
      <c r="F16" s="29"/>
      <c r="G16" s="30">
        <f>H16+AC16+AT16</f>
        <v>30.59</v>
      </c>
      <c r="H16" s="17">
        <f>SUMIF(I$12:AB$12,"总值",I16:AB16)</f>
        <v>30.59</v>
      </c>
      <c r="I16" s="1625"/>
      <c r="J16" s="1625"/>
      <c r="K16" s="1625"/>
      <c r="L16" s="1625"/>
      <c r="M16" s="1625"/>
      <c r="N16" s="1625"/>
      <c r="O16" s="1625"/>
      <c r="P16" s="1625"/>
      <c r="Q16" s="1625"/>
      <c r="R16" s="1625"/>
      <c r="S16" s="1625"/>
      <c r="T16" s="1625"/>
      <c r="U16" s="1625"/>
      <c r="V16" s="1625"/>
      <c r="W16" s="1625"/>
      <c r="X16" s="1625"/>
      <c r="Y16" s="1625"/>
      <c r="Z16" s="1625"/>
      <c r="AA16" s="1626">
        <v>30.59</v>
      </c>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16.61</v>
      </c>
      <c r="AZ16" s="13">
        <f>BA16+BL16</f>
        <v>30.59</v>
      </c>
      <c r="BA16" s="13">
        <f>SUM(BB16:BK16)</f>
        <v>30.59</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30.59</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t="s">
        <v>3393</v>
      </c>
      <c r="E17" s="13">
        <f>IF($C$3="是",ROUND($A$3*G17/$B$3,2),ROUND($A$3*(G17-AT17)/$B$3,2))</f>
        <v>18.98</v>
      </c>
      <c r="F17" s="29"/>
      <c r="G17" s="30">
        <f>H17+AC17+AT17</f>
        <v>34.94</v>
      </c>
      <c r="H17" s="17">
        <f>SUMIF(I$12:AB$12,"总值",I17:AB17)</f>
        <v>34.94</v>
      </c>
      <c r="I17" s="1625"/>
      <c r="J17" s="1625"/>
      <c r="K17" s="1625"/>
      <c r="L17" s="1625"/>
      <c r="M17" s="1625"/>
      <c r="N17" s="1625"/>
      <c r="O17" s="1625"/>
      <c r="P17" s="1625"/>
      <c r="Q17" s="1625"/>
      <c r="R17" s="1625"/>
      <c r="S17" s="1625"/>
      <c r="T17" s="1625"/>
      <c r="U17" s="1625"/>
      <c r="V17" s="1625"/>
      <c r="W17" s="1625"/>
      <c r="X17" s="1625"/>
      <c r="Y17" s="1625"/>
      <c r="Z17" s="1625"/>
      <c r="AA17" s="1626">
        <v>34.94</v>
      </c>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18.98</v>
      </c>
      <c r="AZ17" s="13">
        <f>BA17+BL17</f>
        <v>34.94</v>
      </c>
      <c r="BA17" s="13">
        <f>SUM(BB17:BK17)</f>
        <v>34.94</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34.94</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t="s">
        <v>3393</v>
      </c>
      <c r="E18" s="32">
        <f t="shared" ref="E18:E112" si="7">IF($C$3="是",ROUND($A$3*G18/$B$3,2),ROUND($A$3*(G18-AT18)/$B$3,2))</f>
        <v>24.15</v>
      </c>
      <c r="F18" s="33"/>
      <c r="G18" s="34">
        <f t="shared" ref="G18:G109" si="8">H18+AC18+AT18</f>
        <v>44.46</v>
      </c>
      <c r="H18" s="35">
        <f t="shared" ref="H18:H109" si="9">SUMIF(I$12:AB$12,"总值",I18:AB18)</f>
        <v>44.46</v>
      </c>
      <c r="I18" s="36"/>
      <c r="J18" s="36"/>
      <c r="K18" s="36"/>
      <c r="L18" s="36"/>
      <c r="M18" s="36"/>
      <c r="N18" s="36"/>
      <c r="O18" s="36"/>
      <c r="P18" s="36"/>
      <c r="Q18" s="36"/>
      <c r="R18" s="36"/>
      <c r="S18" s="36"/>
      <c r="T18" s="36"/>
      <c r="U18" s="36"/>
      <c r="V18" s="36"/>
      <c r="W18" s="36"/>
      <c r="X18" s="36"/>
      <c r="Y18" s="36"/>
      <c r="Z18" s="36"/>
      <c r="AA18" s="37">
        <v>44.46</v>
      </c>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24.15</v>
      </c>
      <c r="AZ18" s="32">
        <f t="shared" ref="AZ18:AZ109" si="15">BA18+BL18</f>
        <v>44.46</v>
      </c>
      <c r="BA18" s="32">
        <f t="shared" ref="BA18:BA109" si="16">SUM(BB18:BK18)</f>
        <v>44.46</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44.46</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t="s">
        <v>3393</v>
      </c>
      <c r="E19" s="32">
        <f t="shared" si="7"/>
        <v>259.75</v>
      </c>
      <c r="F19" s="33"/>
      <c r="G19" s="34">
        <f t="shared" si="8"/>
        <v>478.23</v>
      </c>
      <c r="H19" s="35">
        <f t="shared" si="9"/>
        <v>478.23</v>
      </c>
      <c r="I19" s="36"/>
      <c r="J19" s="36"/>
      <c r="K19" s="36"/>
      <c r="L19" s="36"/>
      <c r="M19" s="36"/>
      <c r="N19" s="36"/>
      <c r="O19" s="36"/>
      <c r="P19" s="36"/>
      <c r="Q19" s="36"/>
      <c r="R19" s="36"/>
      <c r="S19" s="36"/>
      <c r="T19" s="36"/>
      <c r="U19" s="36"/>
      <c r="V19" s="36"/>
      <c r="W19" s="36"/>
      <c r="X19" s="36"/>
      <c r="Y19" s="36"/>
      <c r="Z19" s="36"/>
      <c r="AA19" s="37">
        <v>478.23</v>
      </c>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259.75</v>
      </c>
      <c r="AZ19" s="32">
        <f t="shared" si="15"/>
        <v>478.23</v>
      </c>
      <c r="BA19" s="32">
        <f t="shared" si="16"/>
        <v>478.23</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478.23</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t="s">
        <v>3393</v>
      </c>
      <c r="E20" s="32">
        <f t="shared" si="7"/>
        <v>9.42</v>
      </c>
      <c r="F20" s="33"/>
      <c r="G20" s="34">
        <f t="shared" si="8"/>
        <v>17.350000000000001</v>
      </c>
      <c r="H20" s="35">
        <f t="shared" si="9"/>
        <v>17.350000000000001</v>
      </c>
      <c r="I20" s="36"/>
      <c r="J20" s="36"/>
      <c r="K20" s="36"/>
      <c r="L20" s="36"/>
      <c r="M20" s="36"/>
      <c r="N20" s="36"/>
      <c r="O20" s="36"/>
      <c r="P20" s="36"/>
      <c r="Q20" s="36"/>
      <c r="R20" s="36"/>
      <c r="S20" s="36"/>
      <c r="T20" s="36"/>
      <c r="U20" s="36"/>
      <c r="V20" s="36"/>
      <c r="W20" s="36"/>
      <c r="X20" s="36"/>
      <c r="Y20" s="36"/>
      <c r="Z20" s="36"/>
      <c r="AA20" s="37">
        <v>17.350000000000001</v>
      </c>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9.42</v>
      </c>
      <c r="AZ20" s="32">
        <f t="shared" si="15"/>
        <v>17.350000000000001</v>
      </c>
      <c r="BA20" s="32">
        <f t="shared" si="16"/>
        <v>17.350000000000001</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17.350000000000001</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5" t="s">
        <v>1131</v>
      </c>
      <c r="B2" s="3545"/>
      <c r="C2" s="3545"/>
      <c r="D2" s="795" t="s">
        <v>1107</v>
      </c>
      <c r="E2" s="1638" t="s">
        <v>1108</v>
      </c>
      <c r="F2" s="2657"/>
      <c r="G2" s="2648"/>
      <c r="H2" s="2649"/>
      <c r="I2" s="2324" t="s">
        <v>1132</v>
      </c>
      <c r="J2" s="2657"/>
      <c r="K2" s="2657"/>
      <c r="L2" s="2657"/>
      <c r="M2" s="2657"/>
      <c r="N2" s="2659"/>
      <c r="O2" s="2657"/>
      <c r="P2" s="2657"/>
    </row>
    <row r="3" spans="1:16" ht="15.75" thickBot="1">
      <c r="A3" s="3546" t="s">
        <v>1105</v>
      </c>
      <c r="B3" s="3546"/>
      <c r="C3" s="3546"/>
      <c r="D3" s="43">
        <f>'数据-基础表'!AY6</f>
        <v>12157.82</v>
      </c>
      <c r="E3" s="43">
        <f>'数据-基础表'!AZ5</f>
        <v>22383.909999999996</v>
      </c>
      <c r="F3" s="2657"/>
      <c r="G3" s="1144"/>
      <c r="H3" s="1025" t="s">
        <v>1106</v>
      </c>
      <c r="I3" s="854">
        <f>ROUND('数据-基础表'!B3/'数据-基础表'!A3,2)</f>
        <v>1.84</v>
      </c>
      <c r="J3" s="2657"/>
      <c r="K3" s="2657"/>
      <c r="L3" s="2657"/>
      <c r="M3" s="2657"/>
      <c r="N3" s="2659"/>
      <c r="O3" s="2657"/>
      <c r="P3" s="2657"/>
    </row>
    <row r="4" spans="1:16" ht="15">
      <c r="A4" s="3547"/>
      <c r="B4" s="3548"/>
      <c r="C4" s="3549"/>
      <c r="D4" s="1640" t="s">
        <v>1107</v>
      </c>
      <c r="E4" s="1641" t="s">
        <v>1108</v>
      </c>
      <c r="F4" s="2657"/>
      <c r="G4" s="2650" t="s">
        <v>1133</v>
      </c>
      <c r="H4" s="1025" t="s">
        <v>1113</v>
      </c>
      <c r="I4" s="854">
        <f>ROUND(SUMIF('数据-基础表'!I9:AS9,"地上",'数据-基础表'!I5:AS5)/'数据-基础表'!A3,2)</f>
        <v>1.57</v>
      </c>
      <c r="J4" s="2657"/>
      <c r="K4" s="2657"/>
      <c r="L4" s="2657"/>
      <c r="M4" s="2657"/>
      <c r="N4" s="2659"/>
      <c r="O4" s="2657"/>
      <c r="P4" s="2657"/>
    </row>
    <row r="5" spans="1:16">
      <c r="A5" s="44" t="s">
        <v>1109</v>
      </c>
      <c r="B5" s="3550" t="s">
        <v>1110</v>
      </c>
      <c r="C5" s="3550"/>
      <c r="D5" s="45">
        <f>ROUND($D$3*E5/$E$3,2)</f>
        <v>0</v>
      </c>
      <c r="E5" s="46">
        <f>SUMIF('数据-基础表'!$11:$11,"住宅",'数据-基础表'!$5:$5)</f>
        <v>0</v>
      </c>
      <c r="F5" s="2657"/>
      <c r="G5" s="1144"/>
      <c r="H5" s="1025" t="s">
        <v>1106</v>
      </c>
      <c r="I5" s="854">
        <f>ROUND(E31/D31,2)</f>
        <v>1.84</v>
      </c>
      <c r="J5" s="2657"/>
      <c r="K5" s="2657"/>
      <c r="L5" s="2657"/>
      <c r="M5" s="2657"/>
      <c r="N5" s="2657"/>
      <c r="O5" s="2657"/>
      <c r="P5" s="2657"/>
    </row>
    <row r="6" spans="1:16" ht="15" thickBot="1">
      <c r="A6" s="1643"/>
      <c r="B6" s="3550" t="s">
        <v>1111</v>
      </c>
      <c r="C6" s="3550"/>
      <c r="D6" s="45">
        <f>ROUND($D$3*E6/$E$3,2)</f>
        <v>12157.82</v>
      </c>
      <c r="E6" s="46">
        <f>E3-E5</f>
        <v>22383.909999999996</v>
      </c>
      <c r="F6" s="2657"/>
      <c r="G6" s="2651" t="s">
        <v>1112</v>
      </c>
      <c r="H6" s="1145" t="s">
        <v>1113</v>
      </c>
      <c r="I6" s="2652">
        <f>ROUND(F31/D31,2)</f>
        <v>1.57</v>
      </c>
      <c r="J6" s="2657"/>
      <c r="K6" s="2657"/>
      <c r="L6" s="2657"/>
      <c r="M6" s="2657"/>
      <c r="N6" s="2657"/>
      <c r="O6" s="2657"/>
      <c r="P6" s="2657"/>
    </row>
    <row r="7" spans="1:16" ht="15.75" thickBot="1">
      <c r="A7" s="3542"/>
      <c r="B7" s="3543"/>
      <c r="C7" s="3544"/>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10340.18</v>
      </c>
      <c r="E8" s="48">
        <f>SUMIF('数据-基础表'!BB10:BK10,"地上",'数据-基础表'!BB5:BK5)</f>
        <v>19037.439999999999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918.04</v>
      </c>
      <c r="E14" s="48">
        <f>SUMPRODUCT(('数据-基础表'!BB10:BK10="地下")*('数据-基础表'!BB11:BK11="车库—商业")*('数据-基础表'!BB5:BK5))</f>
        <v>1690.2200000000012</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11258.220000000001</v>
      </c>
      <c r="E16" s="50">
        <f>SUM(E8:E15)</f>
        <v>20727.66</v>
      </c>
      <c r="F16" s="2657"/>
      <c r="G16" s="2658"/>
      <c r="H16" s="1647" t="s">
        <v>1135</v>
      </c>
      <c r="I16" s="1648"/>
      <c r="J16" s="1138"/>
      <c r="K16" s="3539" t="s">
        <v>1135</v>
      </c>
      <c r="L16" s="3540"/>
      <c r="M16" s="3540"/>
      <c r="N16" s="3540"/>
      <c r="O16" s="3540"/>
      <c r="P16" s="3541"/>
    </row>
    <row r="17" spans="1:19" ht="15">
      <c r="A17" s="1649" t="s">
        <v>1136</v>
      </c>
      <c r="B17" s="1650" t="s">
        <v>1137</v>
      </c>
      <c r="C17" s="1651" t="s">
        <v>1138</v>
      </c>
      <c r="D17" s="1652" t="s">
        <v>1126</v>
      </c>
      <c r="E17" s="1653" t="s">
        <v>1127</v>
      </c>
      <c r="F17" s="1654"/>
      <c r="G17" s="1655"/>
      <c r="H17" s="1656" t="s">
        <v>1139</v>
      </c>
      <c r="I17" s="1657" t="s">
        <v>1124</v>
      </c>
      <c r="J17" s="1138"/>
      <c r="K17" s="3536" t="s">
        <v>1140</v>
      </c>
      <c r="L17" s="3537"/>
      <c r="M17" s="3538"/>
      <c r="N17" s="3536" t="s">
        <v>1141</v>
      </c>
      <c r="O17" s="3537"/>
      <c r="P17" s="353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3451</v>
      </c>
      <c r="D19" s="45">
        <f>ROUND($D$3*E19/$E$3,2)</f>
        <v>12157.82</v>
      </c>
      <c r="E19" s="53">
        <f t="shared" ref="E19:E26" si="1">SUM(F19:G19)</f>
        <v>22383.91</v>
      </c>
      <c r="F19" s="2793">
        <f>'数据-基础表'!I5</f>
        <v>19037.439999999999</v>
      </c>
      <c r="G19" s="2794">
        <f>'数据-基础表'!K5+'数据-基础表'!AA5</f>
        <v>3346.4700000000012</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12157.82</v>
      </c>
      <c r="S19" s="1026">
        <f t="shared" si="5"/>
        <v>22383.91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12157.82</v>
      </c>
      <c r="E27" s="1140">
        <f>IF(SUM(E19:E26)='数据-基础表'!BA5,SUM(E19:E26),IF(F27="地上面积有误","面积有误","地下面积有误"))</f>
        <v>22383.91</v>
      </c>
      <c r="F27" s="1139">
        <f>IF(SUM(F19:F26)=E8,SUM(F19:F26),"地上面积有误")</f>
        <v>19037.439999999999</v>
      </c>
      <c r="G27" s="1141">
        <f>SUM(G19:G26)</f>
        <v>3346.4700000000012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12157.82</v>
      </c>
      <c r="S27" s="1025">
        <f>IF(SUM(S19:S26)=$E$3,SUM(S19:S26),SUM(S19:S26)&amp;"误差"&amp;ROUND(SUM(S19:S26)-E3,2))</f>
        <v>22383.91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12157.82</v>
      </c>
      <c r="E31" s="675">
        <f>E27+E30</f>
        <v>22383.91</v>
      </c>
      <c r="F31" s="676">
        <f>F27+F30</f>
        <v>19037.439999999999</v>
      </c>
      <c r="G31" s="677">
        <f>G27+G30</f>
        <v>3346.4700000000012</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7">
      <c r="D33" s="1677"/>
    </row>
    <row r="35" spans="4:7">
      <c r="F35" s="1637">
        <v>1.5</v>
      </c>
      <c r="G35" s="1637">
        <v>0.5</v>
      </c>
    </row>
    <row r="36" spans="4:7">
      <c r="F36" s="1637">
        <f>F35*F31</f>
        <v>28556.159999999996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Z18" sqref="Z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29" width="6.75" style="1681" customWidth="1"/>
    <col min="30" max="30" width="8.2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53500</v>
      </c>
      <c r="F6" s="64">
        <f>SUMIF(项目基本情况!C$12:I$12,C6,项目基本情况!C$15:I$15)</f>
        <v>22.11</v>
      </c>
      <c r="G6" s="65">
        <f>IF(ISERROR(ROUND(POWER(1+H6,D6-F6)*(POWER(1+H6,F6)-1)/(POWER(1+H6,D6)-1),3)),0,ROUND(POWER(1+H6,D6-F6)*(POWER(1+H6,F6)-1)/(POWER(1+H6,D6)-1),3))</f>
        <v>0.76900000000000002</v>
      </c>
      <c r="H6" s="731">
        <v>0.05</v>
      </c>
      <c r="I6" s="3803">
        <v>0.06</v>
      </c>
      <c r="J6" s="66">
        <v>7.0000000000000007E-2</v>
      </c>
      <c r="K6" s="1029">
        <f>SUMIF('数据-汇总表'!C$19:C$33,A6,'数据-汇总表'!E$19:E$33)</f>
        <v>22383.91</v>
      </c>
      <c r="L6" s="732">
        <v>5200</v>
      </c>
      <c r="M6" s="67">
        <f t="shared" ref="M6:M14" si="0">ROUND(K6*L6/10000,0)</f>
        <v>11640</v>
      </c>
      <c r="N6" s="730">
        <f>N20</f>
        <v>0.81</v>
      </c>
      <c r="O6" s="67" t="str">
        <f>IF($N$5="成新度","——",ROUND(M6*N6,0))</f>
        <v>——</v>
      </c>
      <c r="P6" s="68" t="str">
        <f>IF($N$5="成新度","——",M6-O6)</f>
        <v>——</v>
      </c>
      <c r="Q6" s="733">
        <v>0.18</v>
      </c>
      <c r="R6" s="69">
        <f ca="1">SUMIF('数据-汇总表'!C$19:C$33,A6,'数据-汇总表'!R$19:R$27)</f>
        <v>12157.82</v>
      </c>
      <c r="S6" s="51">
        <f>IF('数据-汇总表'!$I$17="按面积比例",SUMIF('数据-汇总表'!C$19:C$33,A6,'数据-汇总表'!K$19:K$33),SUMIF('数据-汇总表'!C$19:C$33,A6,'数据-汇总表'!N$19:N$33))</f>
        <v>0</v>
      </c>
      <c r="T6" s="1171">
        <f>ROUND($L$14*S6/10000,0)</f>
        <v>0</v>
      </c>
      <c r="U6" s="3425">
        <f>U19</f>
        <v>1.7135596231204309</v>
      </c>
      <c r="V6" s="70">
        <v>0</v>
      </c>
      <c r="W6" s="70">
        <v>0</v>
      </c>
      <c r="X6" s="1039"/>
      <c r="Y6" s="71">
        <f>N6</f>
        <v>0.81</v>
      </c>
      <c r="Z6" s="3463">
        <f>ROUND(U6*Z18,2)</f>
        <v>1.88</v>
      </c>
      <c r="AA6" s="3804">
        <v>0</v>
      </c>
      <c r="AB6" s="3804">
        <v>0</v>
      </c>
      <c r="AC6" s="1039"/>
      <c r="AD6" s="73">
        <f>AD21</f>
        <v>0.7</v>
      </c>
      <c r="AE6" s="1040">
        <f ca="1">IF(AN6="",0,SUMIF(INDIRECT("'"&amp;AN6&amp;"'"&amp;"!E:E"),$AE$5,INDIRECT("'"&amp;AN6&amp;"'"&amp;"!F:F")))</f>
        <v>22.11</v>
      </c>
      <c r="AF6" s="1347">
        <v>9.6300000000000008</v>
      </c>
      <c r="AG6" s="138">
        <f ca="1">IF(AF6="",0,AE6-AF6)</f>
        <v>12.479999999999999</v>
      </c>
      <c r="AH6" s="74"/>
      <c r="AI6" s="76">
        <v>365</v>
      </c>
      <c r="AJ6" s="77"/>
      <c r="AK6" s="78">
        <v>2E-3</v>
      </c>
      <c r="AL6" s="79">
        <v>1E-3</v>
      </c>
      <c r="AM6" s="80">
        <v>0.01</v>
      </c>
      <c r="AN6" s="1714" t="s">
        <v>3452</v>
      </c>
      <c r="AO6" s="52">
        <f ca="1">SUMIF(INDIRECT("'"&amp;AN6&amp;"'"&amp;"!A:A"),"总价",INDIRECT("'"&amp;AN6&amp;"'"&amp;"!B:B"))</f>
        <v>15232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4"/>
      <c r="M14" s="67">
        <f t="shared" si="0"/>
        <v>0</v>
      </c>
      <c r="N14" s="3455"/>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0.76900000000000002</v>
      </c>
      <c r="H16" s="90">
        <f>ROUND(SUMPRODUCT(H6:H13,K6:K13)/SUMPRODUCT((H6:H13&gt;0)*(K6:K13)),3)</f>
        <v>0.05</v>
      </c>
      <c r="I16" s="91"/>
      <c r="J16" s="91"/>
      <c r="K16" s="92">
        <f>SUM(K6:K15)</f>
        <v>22383.91</v>
      </c>
      <c r="L16" s="93">
        <f>ROUND(M16*10000/SUM(K6:K14),0)</f>
        <v>5200</v>
      </c>
      <c r="M16" s="93">
        <f>SUM(M6:M14)</f>
        <v>11640</v>
      </c>
      <c r="N16" s="94">
        <f>ROUND(SUMPRODUCT(M6:M14,N6:N14)/M16,3)</f>
        <v>0.81</v>
      </c>
      <c r="O16" s="93">
        <f>SUM(O6:O14)</f>
        <v>0</v>
      </c>
      <c r="P16" s="93">
        <f>SUM(P6:P14)</f>
        <v>0</v>
      </c>
      <c r="Q16" s="95">
        <f>ROUND(SUMPRODUCT(Q6:Q13,K6:K13)/SUMPRODUCT((Q6:Q13&gt;0)*(K6:K13)),2)</f>
        <v>0.18</v>
      </c>
      <c r="R16" s="1033">
        <f ca="1">SUM(R6:R13)</f>
        <v>12157.82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2010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0.77</v>
      </c>
      <c r="O18" s="2669">
        <v>0.5</v>
      </c>
      <c r="P18" s="2669"/>
      <c r="Q18" s="2669"/>
      <c r="R18" s="2669"/>
      <c r="S18" s="2669"/>
      <c r="T18" s="2669"/>
      <c r="U18" s="2669">
        <v>14000000</v>
      </c>
      <c r="V18" s="2669"/>
      <c r="W18" s="2669"/>
      <c r="X18" s="2669"/>
      <c r="Y18" s="2669"/>
      <c r="Z18" s="3809">
        <v>1.1000000000000001</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3460" t="s">
        <v>3475</v>
      </c>
      <c r="L19" s="2670">
        <f>L20+L21</f>
        <v>22383.91</v>
      </c>
      <c r="M19" s="2670">
        <f>ROUND((L20*M20+L21*M21+L22*M22)/L19,0)</f>
        <v>3150</v>
      </c>
      <c r="N19" s="2669">
        <f>0.85</f>
        <v>0.85</v>
      </c>
      <c r="O19" s="2669">
        <f>1-O18</f>
        <v>0.5</v>
      </c>
      <c r="P19" s="2669"/>
      <c r="Q19" s="2669"/>
      <c r="R19" s="2669"/>
      <c r="S19" s="2669"/>
      <c r="T19" s="2669"/>
      <c r="U19" s="2669">
        <f>U18/'数据-汇总表'!E19/365</f>
        <v>1.7135596231204309</v>
      </c>
      <c r="V19" s="2669"/>
      <c r="W19" s="2669"/>
      <c r="X19" s="2669"/>
      <c r="Y19" s="2669"/>
      <c r="Z19" s="2669"/>
      <c r="AA19" s="2669"/>
      <c r="AB19" s="2669"/>
      <c r="AC19" s="2669"/>
      <c r="AD19" s="2669">
        <f>ROUND(1-(1-0%)*(2033-N17)/60,2)</f>
        <v>0.62</v>
      </c>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3461" t="s">
        <v>3394</v>
      </c>
      <c r="L20" s="2670">
        <f>'数据-汇总表'!F19</f>
        <v>19037.439999999999</v>
      </c>
      <c r="M20" s="2670">
        <v>3000</v>
      </c>
      <c r="N20" s="2669">
        <f>ROUND(N18*O18+N19*O19,2)</f>
        <v>0.81</v>
      </c>
      <c r="O20" s="2669"/>
      <c r="P20" s="2669"/>
      <c r="Q20" s="2669"/>
      <c r="R20" s="2669"/>
      <c r="S20" s="2669"/>
      <c r="T20" s="2669"/>
      <c r="U20" s="2669"/>
      <c r="V20" s="2669"/>
      <c r="W20" s="2669"/>
      <c r="X20" s="2669"/>
      <c r="Y20" s="2669"/>
      <c r="Z20" s="2669"/>
      <c r="AA20" s="2669"/>
      <c r="AB20" s="2669"/>
      <c r="AC20" s="2669"/>
      <c r="AD20" s="2669">
        <v>0.78</v>
      </c>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3461" t="s">
        <v>3449</v>
      </c>
      <c r="L21" s="2670">
        <f>'数据-汇总表'!G31</f>
        <v>3346.4700000000012</v>
      </c>
      <c r="M21" s="2670">
        <v>4000</v>
      </c>
      <c r="N21" s="2669"/>
      <c r="O21" s="2669"/>
      <c r="P21" s="2669"/>
      <c r="Q21" s="2669"/>
      <c r="R21" s="2669"/>
      <c r="S21" s="2669"/>
      <c r="T21" s="2669"/>
      <c r="U21" s="2669"/>
      <c r="V21" s="2669"/>
      <c r="W21" s="2669"/>
      <c r="X21" s="2669"/>
      <c r="Y21" s="2669"/>
      <c r="Z21" s="2669"/>
      <c r="AA21" s="2669"/>
      <c r="AB21" s="2669"/>
      <c r="AC21" s="2669"/>
      <c r="AD21" s="2669">
        <f>(AD19+AD20)/2</f>
        <v>0.7</v>
      </c>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3461" t="s">
        <v>3476</v>
      </c>
      <c r="L22" s="24">
        <f>'[2]数据-基础表'!AV16+'[2]数据-基础表'!AV17</f>
        <v>0</v>
      </c>
      <c r="M22" s="24">
        <f>M21</f>
        <v>4000</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3460" t="s">
        <v>3477</v>
      </c>
      <c r="L23" s="2670"/>
      <c r="M23" s="2670">
        <v>600</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3460" t="s">
        <v>3478</v>
      </c>
      <c r="L24" s="2670"/>
      <c r="M24" s="2670">
        <v>1200</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3460" t="s">
        <v>3479</v>
      </c>
      <c r="L25" s="3462">
        <v>0.05</v>
      </c>
      <c r="M25" s="2670">
        <f>(M19+M23+M24)*L25</f>
        <v>247.5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1"/>
      <c r="L26" s="2670"/>
      <c r="M26" s="2670">
        <f>M19+M23+M24+M25</f>
        <v>5197.5</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448</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51" t="s">
        <v>2286</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5" sqref="H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22383.909999999996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28595</v>
      </c>
      <c r="C5" s="2510">
        <f ca="1">IF(B5=D14,结果表!H102,ROUND(B5*10000/$B$1,0))</f>
        <v>12775</v>
      </c>
      <c r="D5" s="2510" t="e">
        <f ca="1">ROUND(B5*10000/$B$2,0)</f>
        <v>#DIV/0!</v>
      </c>
      <c r="E5" s="2684"/>
      <c r="F5" s="2685"/>
      <c r="G5" s="2685"/>
      <c r="H5" s="2686"/>
      <c r="I5" s="2686"/>
      <c r="J5" s="2686"/>
      <c r="K5" s="2686"/>
    </row>
    <row r="6" spans="1:11" ht="16.5">
      <c r="A6" s="2510" t="s">
        <v>656</v>
      </c>
      <c r="B6" s="2510">
        <f ca="1">SUM(G14:G23)</f>
        <v>28595</v>
      </c>
      <c r="C6" s="2510">
        <f ca="1">IF(B6=G14,结果表!H108,ROUND(B6*10000/$B$1,0))</f>
        <v>12775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23074</v>
      </c>
      <c r="C8" s="2510">
        <f ca="1">IF(B8=I14,结果表!H112,ROUND(B8*10000/$B$1,0))</f>
        <v>10308</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22383.909999999996</v>
      </c>
      <c r="C14" s="2516"/>
      <c r="D14" s="2516">
        <f ca="1">结果表!H118</f>
        <v>28595</v>
      </c>
      <c r="E14" s="2516">
        <f ca="1">ROUND(D14*10000/B14,0)</f>
        <v>12775</v>
      </c>
      <c r="F14" s="2516" t="e">
        <f ca="1">ROUND(D14*10000/C14,0)</f>
        <v>#DIV/0!</v>
      </c>
      <c r="G14" s="2516">
        <f ca="1">D14</f>
        <v>28595</v>
      </c>
      <c r="H14" s="2516"/>
      <c r="I14" s="2516">
        <f ca="1">结果表!H111</f>
        <v>23074</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C14" sqref="C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3" t="s">
        <v>1265</v>
      </c>
      <c r="B4" s="1754" t="s">
        <v>1266</v>
      </c>
      <c r="C4" s="1755" t="s">
        <v>3448</v>
      </c>
      <c r="D4" s="1755" t="s">
        <v>3452</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6"/>
      <c r="G5" s="1756"/>
      <c r="H5" s="1756"/>
      <c r="I5" s="1372"/>
    </row>
    <row r="6" spans="1:12" ht="12.75">
      <c r="A6" s="3568"/>
      <c r="B6" s="3623"/>
      <c r="C6" s="3628"/>
      <c r="D6" s="3614"/>
      <c r="E6" s="131" t="s">
        <v>1270</v>
      </c>
      <c r="F6" s="1756"/>
      <c r="G6" s="1756"/>
      <c r="H6" s="1756"/>
      <c r="I6" s="1372"/>
    </row>
    <row r="7" spans="1:12" ht="12.75">
      <c r="A7" s="3568"/>
      <c r="B7" s="3623"/>
      <c r="C7" s="3627"/>
      <c r="D7" s="3614"/>
      <c r="E7" s="131" t="s">
        <v>1271</v>
      </c>
      <c r="F7" s="1756"/>
      <c r="G7" s="1756"/>
      <c r="H7" s="1756"/>
      <c r="I7" s="1372"/>
    </row>
    <row r="8" spans="1:12" ht="12.75">
      <c r="A8" s="3568" t="s">
        <v>1272</v>
      </c>
      <c r="B8" s="3623">
        <v>15</v>
      </c>
      <c r="C8" s="3626"/>
      <c r="D8" s="3614"/>
      <c r="E8" s="131" t="s">
        <v>1273</v>
      </c>
      <c r="F8" s="1756"/>
      <c r="G8" s="1756"/>
      <c r="H8" s="1756"/>
      <c r="I8" s="1372"/>
    </row>
    <row r="9" spans="1:12" ht="12.75">
      <c r="A9" s="3568"/>
      <c r="B9" s="3623"/>
      <c r="C9" s="3627"/>
      <c r="D9" s="3614"/>
      <c r="E9" s="131" t="s">
        <v>1274</v>
      </c>
      <c r="F9" s="1756"/>
      <c r="G9" s="1756"/>
      <c r="H9" s="1756"/>
      <c r="I9" s="1372"/>
    </row>
    <row r="10" spans="1:12" ht="12.75">
      <c r="A10" s="3568" t="s">
        <v>1275</v>
      </c>
      <c r="B10" s="3623">
        <v>15</v>
      </c>
      <c r="C10" s="3626"/>
      <c r="D10" s="3614"/>
      <c r="E10" s="131" t="s">
        <v>1276</v>
      </c>
      <c r="F10" s="1756"/>
      <c r="G10" s="1756"/>
      <c r="H10" s="1756"/>
      <c r="I10" s="1372"/>
    </row>
    <row r="11" spans="1:12" ht="12.75">
      <c r="A11" s="3568"/>
      <c r="B11" s="3623"/>
      <c r="C11" s="3627"/>
      <c r="D11" s="3614"/>
      <c r="E11" s="131" t="s">
        <v>1277</v>
      </c>
      <c r="F11" s="1756"/>
      <c r="G11" s="1756"/>
      <c r="H11" s="1756"/>
      <c r="I11" s="1372"/>
    </row>
    <row r="12" spans="1:12" ht="12.75">
      <c r="A12" s="3568" t="s">
        <v>1278</v>
      </c>
      <c r="B12" s="3623">
        <v>15</v>
      </c>
      <c r="C12" s="3626"/>
      <c r="D12" s="3614"/>
      <c r="E12" s="131" t="s">
        <v>1279</v>
      </c>
      <c r="F12" s="1756"/>
      <c r="G12" s="1756"/>
      <c r="H12" s="1756"/>
      <c r="I12" s="1372"/>
    </row>
    <row r="13" spans="1:12" ht="12.75">
      <c r="A13" s="3568"/>
      <c r="B13" s="3623"/>
      <c r="C13" s="3627"/>
      <c r="D13" s="3614"/>
      <c r="E13" s="131" t="s">
        <v>1280</v>
      </c>
      <c r="F13" s="1756"/>
      <c r="G13" s="1756"/>
      <c r="H13" s="1756"/>
      <c r="I13" s="1372"/>
    </row>
    <row r="14" spans="1:12" ht="12.75">
      <c r="A14" s="3568" t="s">
        <v>1281</v>
      </c>
      <c r="B14" s="3623">
        <v>30</v>
      </c>
      <c r="C14" s="3805">
        <v>55</v>
      </c>
      <c r="D14" s="3806">
        <v>45</v>
      </c>
      <c r="E14" s="131" t="s">
        <v>1282</v>
      </c>
      <c r="F14" s="1756"/>
      <c r="G14" s="1756"/>
      <c r="H14" s="1756"/>
      <c r="I14" s="1372"/>
    </row>
    <row r="15" spans="1:12" ht="12.75">
      <c r="A15" s="3568"/>
      <c r="B15" s="3623"/>
      <c r="C15" s="3807"/>
      <c r="D15" s="3806"/>
      <c r="E15" s="131" t="s">
        <v>1283</v>
      </c>
      <c r="F15" s="1756"/>
      <c r="G15" s="1756"/>
      <c r="H15" s="1756"/>
      <c r="I15" s="1372"/>
    </row>
    <row r="16" spans="1:12" ht="12.75">
      <c r="A16" s="3568"/>
      <c r="B16" s="3623"/>
      <c r="C16" s="3808"/>
      <c r="D16" s="3806"/>
      <c r="E16" s="131" t="s">
        <v>1284</v>
      </c>
      <c r="F16" s="1756"/>
      <c r="G16" s="1756"/>
      <c r="H16" s="1756"/>
      <c r="I16" s="1372"/>
    </row>
    <row r="17" spans="1:36" ht="15">
      <c r="A17" s="1757" t="s">
        <v>1285</v>
      </c>
      <c r="B17" s="56"/>
      <c r="C17" s="132">
        <f>SUM(C5:C16)</f>
        <v>55</v>
      </c>
      <c r="D17" s="132">
        <f>SUM(D5:D16)</f>
        <v>45</v>
      </c>
      <c r="E17" s="129"/>
      <c r="F17" s="129"/>
      <c r="G17" s="129"/>
      <c r="H17" s="129"/>
      <c r="I17" s="129"/>
      <c r="K17" s="302"/>
      <c r="L17" s="302" t="s">
        <v>1286</v>
      </c>
      <c r="M17" s="302" t="s">
        <v>1287</v>
      </c>
    </row>
    <row r="18" spans="1:36" ht="31.9" customHeight="1" thickBot="1">
      <c r="A18" s="1758" t="s">
        <v>1288</v>
      </c>
      <c r="B18" s="1759"/>
      <c r="C18" s="133">
        <f>ROUND(C17/SUM(C17:D17),2)</f>
        <v>0.55000000000000004</v>
      </c>
      <c r="D18" s="133">
        <f>1-C18</f>
        <v>0.44999999999999996</v>
      </c>
      <c r="E18" s="3645" t="s">
        <v>2131</v>
      </c>
      <c r="F18" s="3646"/>
      <c r="G18" s="3646"/>
      <c r="H18" s="3646"/>
      <c r="I18" s="3646"/>
      <c r="K18" s="302" t="s">
        <v>1289</v>
      </c>
      <c r="L18" s="302">
        <f>IF(C1="",'数据-汇总表'!E3,SUMIF(项目类型,C1,'数据-汇总表'!E17:E26)+SUMIF(项目类型,C1,'数据-汇总表'!I17:I26))</f>
        <v>22383.909999999996</v>
      </c>
      <c r="M18" s="302">
        <f>IF(C1="",'数据-汇总表'!E3,SUMIF(项目类型,C1,'数据-汇总表'!E17:E26))</f>
        <v>22383.909999999996</v>
      </c>
    </row>
    <row r="19" spans="1:36" ht="15">
      <c r="A19" s="1760" t="s">
        <v>1290</v>
      </c>
      <c r="B19" s="1761" t="s">
        <v>1291</v>
      </c>
      <c r="C19" s="134">
        <f ca="1">SUMIF(INDIRECT("'"&amp;C4&amp;"'"&amp;"!A:A"),结果表!B19,INDIRECT("'"&amp;C4&amp;"'"&amp;"!B:B"))</f>
        <v>39528</v>
      </c>
      <c r="D19" s="135">
        <f ca="1">SUMIF(INDIRECT("'"&amp;D4&amp;"'"&amp;"!A:A"),结果表!B19,INDIRECT("'"&amp;D4&amp;"'"&amp;"!B:B"))</f>
        <v>15232</v>
      </c>
      <c r="E19" s="1760" t="s">
        <v>1292</v>
      </c>
      <c r="F19" s="1761" t="s">
        <v>1291</v>
      </c>
      <c r="G19" s="136">
        <f ca="1">ROUND(C19*$C$18+D19*$D$18,0)</f>
        <v>28595</v>
      </c>
      <c r="H19" s="1762" t="s">
        <v>1293</v>
      </c>
      <c r="I19" s="129"/>
      <c r="K19" s="302" t="s">
        <v>1294</v>
      </c>
      <c r="L19" s="302">
        <f>IF(C1="",'数据-汇总表'!D3,SUMIF(项目类型,C1,'数据-汇总表'!D17:D26)+SUMIF(项目类型,C1,'数据-汇总表'!H17:H27))</f>
        <v>12157.82</v>
      </c>
      <c r="M19" s="302">
        <f>IF(C1="",'数据-汇总表'!D3,SUMIF(项目类型,C1,'数据-汇总表'!D17:D26))</f>
        <v>12157.82</v>
      </c>
    </row>
    <row r="20" spans="1:36" ht="15">
      <c r="A20" s="1763"/>
      <c r="B20" s="1025" t="s">
        <v>1295</v>
      </c>
      <c r="C20" s="137">
        <f ca="1">SUMIF(INDIRECT("'"&amp;C4&amp;"'"&amp;"!A:A"),结果表!B20,INDIRECT("'"&amp;C4&amp;"'"&amp;"!B:B"))</f>
        <v>17659</v>
      </c>
      <c r="D20" s="138">
        <f ca="1">SUMIF(INDIRECT("'"&amp;D4&amp;"'"&amp;"!A:A"),结果表!B20,INDIRECT("'"&amp;D4&amp;"'"&amp;"!B:B"))</f>
        <v>6805</v>
      </c>
      <c r="E20" s="1763"/>
      <c r="F20" s="1025" t="s">
        <v>1295</v>
      </c>
      <c r="G20" s="139">
        <f ca="1">ROUND(C20*$C$18+D20*$D$18,0)</f>
        <v>12775</v>
      </c>
      <c r="H20" s="807" t="s">
        <v>1296</v>
      </c>
      <c r="I20" s="129"/>
    </row>
    <row r="21" spans="1:36" ht="15" customHeight="1" thickBot="1">
      <c r="A21" s="827"/>
      <c r="B21" s="1764" t="s">
        <v>1297</v>
      </c>
      <c r="C21" s="718">
        <f ca="1">ROUND(C19*10000/L19,0)</f>
        <v>32512</v>
      </c>
      <c r="D21" s="719">
        <f ca="1">ROUND(D19*10000/L19,0)</f>
        <v>12529</v>
      </c>
      <c r="E21" s="827"/>
      <c r="F21" s="1764" t="s">
        <v>1297</v>
      </c>
      <c r="G21" s="140">
        <f ca="1">ROUND(G19*10000/L19,0)</f>
        <v>23520</v>
      </c>
      <c r="H21" s="1765" t="s">
        <v>1296</v>
      </c>
      <c r="I21" s="129"/>
    </row>
    <row r="22" spans="1:36" ht="15" thickBot="1">
      <c r="A22" s="1687" t="s">
        <v>1298</v>
      </c>
      <c r="B22" s="1766"/>
      <c r="C22" s="1767"/>
      <c r="D22" s="720">
        <f ca="1">IF(C19&lt;D19,D19/C19-1,C19/D19-1)</f>
        <v>1.5950630252100839</v>
      </c>
      <c r="E22" s="129"/>
      <c r="F22" s="129"/>
      <c r="G22" s="129"/>
      <c r="H22" s="129"/>
      <c r="I22" s="129"/>
    </row>
    <row r="23" spans="1:36" ht="13.5" thickBot="1">
      <c r="A23" s="1746"/>
      <c r="B23" s="1746"/>
      <c r="C23" s="1746"/>
      <c r="D23" s="1746"/>
      <c r="E23" s="129"/>
      <c r="F23" s="129"/>
      <c r="G23" s="129"/>
      <c r="H23" s="129"/>
      <c r="I23" s="129"/>
    </row>
    <row r="24" spans="1:36" ht="14.25">
      <c r="A24" s="3638" t="s">
        <v>1299</v>
      </c>
      <c r="B24" s="1761" t="s">
        <v>1291</v>
      </c>
      <c r="C24" s="136">
        <f>IF(B30=0,0,D30)</f>
        <v>0</v>
      </c>
      <c r="D24" s="1768"/>
      <c r="E24" s="129"/>
      <c r="F24" s="129"/>
      <c r="G24" s="129"/>
      <c r="H24" s="129"/>
      <c r="I24" s="129"/>
    </row>
    <row r="25" spans="1:36" ht="14.25">
      <c r="A25" s="363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1.5020401902776845</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28595</v>
      </c>
      <c r="D32" s="1774" t="s">
        <v>3453</v>
      </c>
      <c r="E32" s="129"/>
      <c r="F32" s="129"/>
      <c r="G32" s="129"/>
      <c r="H32" s="129"/>
      <c r="I32" s="129"/>
    </row>
    <row r="33" spans="1:15" ht="15">
      <c r="A33" s="785" t="s">
        <v>1306</v>
      </c>
      <c r="B33" s="1775"/>
      <c r="C33" s="1776" t="s">
        <v>3454</v>
      </c>
      <c r="D33" s="1777" t="s">
        <v>3448</v>
      </c>
      <c r="E33" s="1778" t="s">
        <v>1307</v>
      </c>
      <c r="F33" s="1779" t="str">
        <f>IF(D32="楼面单价","取值（单价）","取值（总价）")</f>
        <v>取值（总价）</v>
      </c>
      <c r="G33" s="129"/>
      <c r="H33" s="129"/>
      <c r="I33" s="129"/>
    </row>
    <row r="34" spans="1:15" ht="15">
      <c r="A34" s="1780"/>
      <c r="B34" s="1781" t="s">
        <v>1308</v>
      </c>
      <c r="C34" s="148">
        <f ca="1">IF(C33="自定义",F34,C32-C35)</f>
        <v>18615</v>
      </c>
      <c r="D34" s="860">
        <f ca="1">IF(C33="自定义",ROUND(C34/C32,3),IF(C33="收益比率",SUMIF(INDIRECT("'"&amp;D33&amp;"'"&amp;"!b:b"),"土地收益比率",INDIRECT("'"&amp;D33&amp;"'"&amp;"!c:c")),SUMIF(INDIRECT("'"&amp;D33&amp;"'"&amp;"!b:b"),"土地成本比率",INDIRECT("'"&amp;D33&amp;"'"&amp;"!c:c"))))</f>
        <v>0.65100000000000002</v>
      </c>
      <c r="E34" s="1782" t="s">
        <v>1309</v>
      </c>
      <c r="F34" s="1329">
        <f ca="1">G19-F35</f>
        <v>14813</v>
      </c>
      <c r="G34" s="129"/>
      <c r="H34" s="129"/>
      <c r="I34" s="129"/>
      <c r="J34" s="724">
        <f ca="1">F34*10000/L18</f>
        <v>6617.6999460773395</v>
      </c>
    </row>
    <row r="35" spans="1:15" ht="15.75" thickBot="1">
      <c r="A35" s="1783"/>
      <c r="B35" s="1784" t="s">
        <v>1310</v>
      </c>
      <c r="C35" s="1169">
        <f ca="1">IF(C33="自定义",F35,ROUND(C32*D35,0))</f>
        <v>9980</v>
      </c>
      <c r="D35" s="1170">
        <f ca="1">IF(C33="自定义",ROUND(C35/C32,3),IF(C33="收益比率",SUMIF(INDIRECT("'"&amp;D33&amp;"'"&amp;"!b:b"),"建筑物收益比率",INDIRECT("'"&amp;D33&amp;"'"&amp;"!c:c")),SUMIF(INDIRECT("'"&amp;D33&amp;"'"&amp;"!b:b"),"建筑物成本比率",INDIRECT("'"&amp;D33&amp;"'"&amp;"!c:c"))))</f>
        <v>0.34899999999999998</v>
      </c>
      <c r="E35" s="1785" t="s">
        <v>1311</v>
      </c>
      <c r="F35" s="154">
        <f ca="1">成本法!C51</f>
        <v>13782</v>
      </c>
      <c r="G35" s="129"/>
      <c r="H35" s="129"/>
      <c r="I35" s="129"/>
      <c r="J35" s="724">
        <f ca="1">F35*10000/L18</f>
        <v>6157.1012392383645</v>
      </c>
    </row>
    <row r="36" spans="1:15" ht="15.75" thickBot="1">
      <c r="A36" s="3615" t="s">
        <v>1312</v>
      </c>
      <c r="B36" s="1786" t="s">
        <v>1313</v>
      </c>
      <c r="C36" s="145"/>
      <c r="D36" s="1787"/>
      <c r="E36" s="1788"/>
      <c r="F36" s="1789"/>
      <c r="G36" s="129"/>
      <c r="H36" s="129"/>
      <c r="I36" s="129"/>
    </row>
    <row r="37" spans="1:15" ht="15.75" thickBot="1">
      <c r="A37" s="3616"/>
      <c r="B37" s="1673" t="s">
        <v>1314</v>
      </c>
      <c r="C37" s="147"/>
      <c r="D37" s="1138"/>
      <c r="E37" s="1138"/>
      <c r="F37" s="1789"/>
      <c r="G37" s="129"/>
      <c r="H37" s="129"/>
      <c r="I37" s="129"/>
    </row>
    <row r="38" spans="1:15" ht="15.75" thickBot="1">
      <c r="A38" s="361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5" t="s">
        <v>1326</v>
      </c>
      <c r="B45" s="3636"/>
      <c r="C45" s="3637"/>
      <c r="D45" s="155">
        <f ca="1">ROUND(H101*F45,0)</f>
        <v>28595</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5"/>
      <c r="I46" s="159"/>
      <c r="J46" s="2521">
        <v>1</v>
      </c>
      <c r="K46" s="3556" t="s">
        <v>1331</v>
      </c>
      <c r="L46" s="3556"/>
      <c r="M46" s="3557"/>
      <c r="N46" s="3557"/>
      <c r="O46" s="3557"/>
    </row>
    <row r="47" spans="1:15" ht="12" customHeight="1">
      <c r="A47" s="160" t="s">
        <v>1332</v>
      </c>
      <c r="B47" s="161"/>
      <c r="C47" s="162"/>
      <c r="D47" s="1086" t="s">
        <v>1333</v>
      </c>
      <c r="E47" s="302" t="s">
        <v>1334</v>
      </c>
      <c r="F47" s="163" t="s">
        <v>1335</v>
      </c>
      <c r="G47" s="2544" t="s">
        <v>1336</v>
      </c>
      <c r="H47" s="2545"/>
      <c r="I47" s="159"/>
      <c r="J47" s="2521">
        <v>2</v>
      </c>
      <c r="K47" s="3556" t="s">
        <v>1337</v>
      </c>
      <c r="L47" s="3556"/>
      <c r="M47" s="3558">
        <f>'数据-取费表'!B2</f>
        <v>45429</v>
      </c>
      <c r="N47" s="3558"/>
      <c r="O47" s="3558"/>
    </row>
    <row r="48" spans="1:15" ht="25.5">
      <c r="A48" s="3618" t="s">
        <v>1338</v>
      </c>
      <c r="B48" s="3619"/>
      <c r="C48" s="3619"/>
      <c r="D48" s="2323">
        <f ca="1">IF(H48="情况1",0,IF(H48="情况2",D52,IF(H48="情况3",D53,IF(H48="情况4",D54))))</f>
        <v>1525</v>
      </c>
      <c r="E48" s="2333" t="str">
        <f>IF(H48="情况4","(销售额-原购置价)×税（费）率","销售额×税（费）率")</f>
        <v>销售额×税（费）率</v>
      </c>
      <c r="F48" s="2546">
        <f>IF(H48="情况1","免征",'数据-取费表'!B41)</f>
        <v>5.6000000000000001E-2</v>
      </c>
      <c r="G48" s="2547" t="s">
        <v>1339</v>
      </c>
      <c r="H48" s="2548" t="s">
        <v>3458</v>
      </c>
      <c r="I48" s="1805"/>
      <c r="J48" s="2521">
        <v>3</v>
      </c>
      <c r="K48" s="3556" t="s">
        <v>1340</v>
      </c>
      <c r="L48" s="3556"/>
      <c r="M48" s="3559">
        <f ca="1">H101</f>
        <v>28595</v>
      </c>
      <c r="N48" s="3559"/>
      <c r="O48" s="3559"/>
    </row>
    <row r="49" spans="1:35" ht="25.5" customHeight="1">
      <c r="A49" s="2332" t="s">
        <v>1341</v>
      </c>
      <c r="B49" s="3604" t="s">
        <v>1342</v>
      </c>
      <c r="C49" s="3604"/>
      <c r="D49" s="1589">
        <v>0</v>
      </c>
      <c r="E49" s="324" t="s">
        <v>1343</v>
      </c>
      <c r="F49" s="2422" t="s">
        <v>28</v>
      </c>
      <c r="G49" s="3587"/>
      <c r="H49" s="2309" t="s">
        <v>2134</v>
      </c>
      <c r="I49" s="2310"/>
      <c r="J49" s="2521">
        <v>4</v>
      </c>
      <c r="K49" s="3556" t="str">
        <f>IF(项目基本情况!E8="房地产抵押价值","房地产抵押价值","抵押担保权已注销时的房地产抵押价值")</f>
        <v>房地产抵押价值</v>
      </c>
      <c r="L49" s="3556"/>
      <c r="M49" s="3559">
        <f ca="1">IF(项目基本情况!E8="房地产抵押价值",H107,H109)</f>
        <v>28595</v>
      </c>
      <c r="N49" s="3559"/>
      <c r="O49" s="3559"/>
    </row>
    <row r="50" spans="1:35" ht="25.5" customHeight="1">
      <c r="A50" s="2549"/>
      <c r="B50" s="3604" t="s">
        <v>1344</v>
      </c>
      <c r="C50" s="3604"/>
      <c r="D50" s="2550"/>
      <c r="E50" s="332"/>
      <c r="F50" s="2422"/>
      <c r="G50" s="3588"/>
      <c r="H50" s="2311" t="s">
        <v>2135</v>
      </c>
      <c r="I50" s="2310"/>
      <c r="J50" s="3555" t="s">
        <v>1345</v>
      </c>
      <c r="K50" s="3555"/>
      <c r="L50" s="3555"/>
      <c r="M50" s="3555"/>
      <c r="N50" s="3555"/>
      <c r="O50" s="3555"/>
    </row>
    <row r="51" spans="1:35" ht="20.45" customHeight="1">
      <c r="A51" s="2551"/>
      <c r="B51" s="3604" t="s">
        <v>1346</v>
      </c>
      <c r="C51" s="3604"/>
      <c r="D51" s="1086"/>
      <c r="E51" s="327"/>
      <c r="F51" s="2422"/>
      <c r="G51" s="3589"/>
      <c r="H51" s="2311" t="s">
        <v>2136</v>
      </c>
      <c r="I51" s="2310"/>
      <c r="J51" s="2522" t="s">
        <v>1347</v>
      </c>
      <c r="K51" s="3556" t="s">
        <v>1348</v>
      </c>
      <c r="L51" s="3556"/>
      <c r="M51" s="2522" t="s">
        <v>1349</v>
      </c>
      <c r="N51" s="2522" t="s">
        <v>1350</v>
      </c>
      <c r="O51" s="2522" t="s">
        <v>1351</v>
      </c>
    </row>
    <row r="52" spans="1:35" ht="24" customHeight="1">
      <c r="A52" s="2334" t="s">
        <v>1352</v>
      </c>
      <c r="B52" s="3604" t="s">
        <v>1353</v>
      </c>
      <c r="C52" s="3604"/>
      <c r="D52" s="1086">
        <f ca="1">ROUND(D45*'数据-取费表'!B41/(1+'数据-取费表'!C42),0)</f>
        <v>1525</v>
      </c>
      <c r="E52" s="2333" t="s">
        <v>1354</v>
      </c>
      <c r="F52" s="2552">
        <f>'数据-取费表'!B41</f>
        <v>5.6000000000000001E-2</v>
      </c>
      <c r="G52" s="2553"/>
      <c r="H52" s="2542"/>
      <c r="I52" s="1806"/>
      <c r="J52" s="2521">
        <v>1</v>
      </c>
      <c r="K52" s="3581" t="s">
        <v>1355</v>
      </c>
      <c r="L52" s="3581"/>
      <c r="M52" s="2523">
        <f ca="1">D48</f>
        <v>1525</v>
      </c>
      <c r="N52" s="2521" t="str">
        <f>E48</f>
        <v>销售额×税（费）率</v>
      </c>
      <c r="O52" s="2524">
        <f>F48</f>
        <v>5.6000000000000001E-2</v>
      </c>
    </row>
    <row r="53" spans="1:35" ht="12" customHeight="1">
      <c r="A53" s="2334" t="s">
        <v>1356</v>
      </c>
      <c r="B53" s="3605" t="s">
        <v>2291</v>
      </c>
      <c r="C53" s="3606"/>
      <c r="D53" s="1086">
        <f ca="1">ROUND(D45*'数据-取费表'!B41/(1+'数据-取费表'!C42),0)</f>
        <v>1525</v>
      </c>
      <c r="E53" s="2333" t="s">
        <v>1354</v>
      </c>
      <c r="F53" s="2552">
        <f>'数据-取费表'!B41</f>
        <v>5.6000000000000001E-2</v>
      </c>
      <c r="G53" s="2553"/>
      <c r="H53" s="2542"/>
      <c r="I53" s="1806"/>
      <c r="J53" s="2521">
        <v>2</v>
      </c>
      <c r="K53" s="3581" t="s">
        <v>1357</v>
      </c>
      <c r="L53" s="3581"/>
      <c r="M53" s="2523">
        <f t="shared" ref="M53:O54" ca="1" si="0">D55</f>
        <v>14</v>
      </c>
      <c r="N53" s="2521" t="str">
        <f t="shared" si="0"/>
        <v>销售额×税（费）率</v>
      </c>
      <c r="O53" s="2524">
        <f t="shared" si="0"/>
        <v>5.0000000000000001E-4</v>
      </c>
    </row>
    <row r="54" spans="1:35" ht="12" customHeight="1">
      <c r="A54" s="2334" t="s">
        <v>1358</v>
      </c>
      <c r="B54" s="3605" t="s">
        <v>2292</v>
      </c>
      <c r="C54" s="3606"/>
      <c r="D54" s="1086">
        <f ca="1">C68</f>
        <v>1525</v>
      </c>
      <c r="E54" s="327" t="s">
        <v>1359</v>
      </c>
      <c r="F54" s="2552">
        <f>'数据-取费表'!B41</f>
        <v>5.6000000000000001E-2</v>
      </c>
      <c r="G54" s="2553"/>
      <c r="H54" s="2554"/>
      <c r="I54" s="1806"/>
      <c r="J54" s="2521">
        <v>3</v>
      </c>
      <c r="K54" s="3581" t="s">
        <v>1360</v>
      </c>
      <c r="L54" s="3581"/>
      <c r="M54" s="2523">
        <f t="shared" ca="1" si="0"/>
        <v>3982</v>
      </c>
      <c r="N54" s="2521" t="str">
        <f t="shared" si="0"/>
        <v>增值额×税（费）率</v>
      </c>
      <c r="O54" s="2525" t="str">
        <f t="shared" si="0"/>
        <v>——</v>
      </c>
    </row>
    <row r="55" spans="1:35" ht="24" customHeight="1">
      <c r="A55" s="3641" t="s">
        <v>1361</v>
      </c>
      <c r="B55" s="3619"/>
      <c r="C55" s="3619"/>
      <c r="D55" s="2323">
        <f ca="1">IF(H55="个人住宅",0,ROUND(D45*I55,0))</f>
        <v>14</v>
      </c>
      <c r="E55" s="2333" t="s">
        <v>1362</v>
      </c>
      <c r="F55" s="2552">
        <f>IF(H55="正常",I55,"免征")</f>
        <v>5.0000000000000001E-4</v>
      </c>
      <c r="G55" s="2553"/>
      <c r="H55" s="2548" t="s">
        <v>3398</v>
      </c>
      <c r="I55" s="165">
        <f>'数据-取费表'!B49</f>
        <v>5.0000000000000001E-4</v>
      </c>
      <c r="J55" s="2521" t="str">
        <f>IF(H59="非个人房产","",4)</f>
        <v/>
      </c>
      <c r="K55" s="3581" t="str">
        <f>IF(H59="非个人房产","——","个人所得税")</f>
        <v>——</v>
      </c>
      <c r="L55" s="3581"/>
      <c r="M55" s="2526" t="str">
        <f>D59</f>
        <v>——</v>
      </c>
      <c r="N55" s="2039" t="str">
        <f>E59</f>
        <v>——</v>
      </c>
      <c r="O55" s="2527" t="str">
        <f>F59</f>
        <v>——</v>
      </c>
    </row>
    <row r="56" spans="1:35" ht="24.75">
      <c r="A56" s="3641" t="s">
        <v>1363</v>
      </c>
      <c r="B56" s="3619"/>
      <c r="C56" s="3619"/>
      <c r="D56" s="2323">
        <f ca="1">IF(H56="个人住宅",D57,D58)</f>
        <v>3982</v>
      </c>
      <c r="E56" s="2333" t="s">
        <v>1364</v>
      </c>
      <c r="F56" s="2552" t="str">
        <f>IF(H56="正常",F58,"免征")</f>
        <v>——</v>
      </c>
      <c r="G56" s="2555" t="s">
        <v>1365</v>
      </c>
      <c r="H56" s="2556" t="s">
        <v>3398</v>
      </c>
      <c r="I56" s="1807"/>
      <c r="J56" s="2521" t="str">
        <f>IF(项目基本情况!K6="上海银行",IF(J55="",4,J55+1),"")</f>
        <v/>
      </c>
      <c r="K56" s="3562" t="str">
        <f>IF(项目基本情况!K6="上海银行","其他处置费用","")</f>
        <v/>
      </c>
      <c r="L56" s="3563"/>
      <c r="M56" s="2523" t="str">
        <f>IF(项目基本情况!K6="上海银行",M69,"")</f>
        <v/>
      </c>
      <c r="N56" s="3562" t="str">
        <f>IF(项目基本情况!K6="上海银行","包含处置中涉及的律师、诉讼、拍卖、评估等费用","")</f>
        <v/>
      </c>
      <c r="O56" s="3565"/>
    </row>
    <row r="57" spans="1:35" ht="12.75">
      <c r="A57" s="2334" t="s">
        <v>1341</v>
      </c>
      <c r="B57" s="3605" t="s">
        <v>1366</v>
      </c>
      <c r="C57" s="3606"/>
      <c r="D57" s="1589">
        <v>0</v>
      </c>
      <c r="E57" s="324" t="s">
        <v>1343</v>
      </c>
      <c r="F57" s="302"/>
      <c r="G57" s="2553"/>
      <c r="H57" s="2557"/>
      <c r="I57" s="1807"/>
      <c r="J57" s="3581">
        <f>IF(AND(J55="",J56=""),4,IF(项目基本情况!K6="上海银行",结果表!J56+1,结果表!J55+1))</f>
        <v>4</v>
      </c>
      <c r="K57" s="3581" t="s">
        <v>1367</v>
      </c>
      <c r="L57" s="2528" t="s">
        <v>1368</v>
      </c>
      <c r="M57" s="2529"/>
      <c r="N57" s="2530">
        <f ca="1">SUMIF(M52:M56,"&lt;9e307")</f>
        <v>5521</v>
      </c>
      <c r="O57" s="2531"/>
      <c r="P57" s="2688">
        <f ca="1">N57/M49</f>
        <v>0.19307571253715686</v>
      </c>
    </row>
    <row r="58" spans="1:35" ht="24.75">
      <c r="A58" s="2334" t="s">
        <v>1352</v>
      </c>
      <c r="B58" s="3605" t="s">
        <v>1369</v>
      </c>
      <c r="C58" s="3604"/>
      <c r="D58" s="2323">
        <f ca="1">IF(H58="转让取得",C81,C97)</f>
        <v>3982</v>
      </c>
      <c r="E58" s="2333" t="s">
        <v>1364</v>
      </c>
      <c r="F58" s="302" t="s">
        <v>28</v>
      </c>
      <c r="G58" s="2553"/>
      <c r="H58" s="2556" t="s">
        <v>3459</v>
      </c>
      <c r="I58" s="1807"/>
      <c r="J58" s="3581"/>
      <c r="K58" s="3581"/>
      <c r="L58" s="2528" t="s">
        <v>1370</v>
      </c>
      <c r="M58" s="2532"/>
      <c r="N58" s="2533" t="str">
        <f ca="1">NUMBERSTRING(INT(N57*10000),2)&amp;"元整"</f>
        <v>伍仟伍佰贰拾壹万元整</v>
      </c>
      <c r="O58" s="2534"/>
    </row>
    <row r="59" spans="1:35" ht="24.75" thickBot="1">
      <c r="A59" s="3585" t="s">
        <v>1371</v>
      </c>
      <c r="B59" s="3586"/>
      <c r="C59" s="358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3460</v>
      </c>
      <c r="I59" s="2312" t="s">
        <v>2137</v>
      </c>
      <c r="J59" s="3583">
        <f>J57+1</f>
        <v>5</v>
      </c>
      <c r="K59" s="3581" t="s">
        <v>1372</v>
      </c>
      <c r="L59" s="2521" t="s">
        <v>1368</v>
      </c>
      <c r="M59" s="2535"/>
      <c r="N59" s="2536">
        <f ca="1">M49-N57</f>
        <v>23074</v>
      </c>
      <c r="O59" s="2537"/>
    </row>
    <row r="60" spans="1:35" ht="12" customHeight="1">
      <c r="A60" s="1808"/>
      <c r="B60" s="1746"/>
      <c r="C60" s="1746"/>
      <c r="D60" s="1746"/>
      <c r="E60" s="1577"/>
      <c r="F60" s="1807"/>
      <c r="G60" s="1807"/>
      <c r="H60" s="1809"/>
      <c r="I60" s="129"/>
      <c r="J60" s="3584"/>
      <c r="K60" s="3581"/>
      <c r="L60" s="2528" t="s">
        <v>1370</v>
      </c>
      <c r="M60" s="2532"/>
      <c r="N60" s="2533" t="str">
        <f ca="1">NUMBERSTRING(INT(N59*10000),2)&amp;"元整"</f>
        <v>贰亿叁仟零柒拾肆万元整</v>
      </c>
      <c r="O60" s="2534"/>
    </row>
    <row r="61" spans="1:35" ht="13.5" thickBot="1">
      <c r="A61" s="3640" t="s">
        <v>1373</v>
      </c>
      <c r="B61" s="3640"/>
      <c r="C61" s="3640"/>
      <c r="D61" s="3640"/>
      <c r="E61" s="3640"/>
      <c r="F61" s="1807"/>
      <c r="G61" s="1807"/>
      <c r="H61" s="1809"/>
      <c r="I61" s="129"/>
      <c r="J61" s="2521">
        <f>J59+1</f>
        <v>6</v>
      </c>
      <c r="K61" s="3581" t="s">
        <v>1374</v>
      </c>
      <c r="L61" s="3581"/>
      <c r="M61" s="2538"/>
      <c r="N61" s="2539">
        <f ca="1">ROUND(N59*10000/'数据-汇总表'!E3,0)</f>
        <v>10308</v>
      </c>
      <c r="O61" s="2540"/>
    </row>
    <row r="62" spans="1:35" ht="12.75">
      <c r="A62" s="3600" t="s">
        <v>1375</v>
      </c>
      <c r="B62" s="3601"/>
      <c r="C62" s="2020"/>
      <c r="D62" s="2020" t="s">
        <v>1376</v>
      </c>
      <c r="E62" s="166" t="s">
        <v>1377</v>
      </c>
      <c r="F62" s="1807"/>
      <c r="G62" s="1807"/>
      <c r="H62" s="1809"/>
      <c r="I62" s="129"/>
    </row>
    <row r="63" spans="1:35" ht="12.75">
      <c r="A63" s="173" t="s">
        <v>330</v>
      </c>
      <c r="B63" s="167" t="s">
        <v>1378</v>
      </c>
      <c r="C63" s="2562">
        <f ca="1">ROUND((C64+C65)/(1+'数据-取费表'!C42),0)</f>
        <v>27233</v>
      </c>
      <c r="D63" s="167"/>
      <c r="E63" s="168"/>
      <c r="F63" s="1807"/>
      <c r="G63" s="1807"/>
      <c r="H63" s="1809"/>
      <c r="I63" s="129"/>
      <c r="J63" s="3564" t="s">
        <v>1379</v>
      </c>
      <c r="K63" s="1331" t="s">
        <v>1380</v>
      </c>
      <c r="L63" s="1331">
        <f ca="1">IF(M49&gt;10000,M49*0.5%,IF(AND(M49&gt;1000,M49&lt;=10000),M49*1%,IF(AND(M49&gt;100,M49&lt;=1000),M49*3%,IF(AND(M49&gt;10,M49&lt;=100),M49*5%,M49*8%))))</f>
        <v>142.97499999999999</v>
      </c>
      <c r="M63" s="302">
        <f ca="1">ROUND(L63,1)</f>
        <v>143</v>
      </c>
      <c r="N63" s="2541"/>
      <c r="Z63" s="1751"/>
      <c r="AI63" s="1752"/>
    </row>
    <row r="64" spans="1:35" ht="14.25" customHeight="1">
      <c r="A64" s="169" t="s">
        <v>325</v>
      </c>
      <c r="B64" s="170" t="s">
        <v>1381</v>
      </c>
      <c r="C64" s="2563">
        <f ca="1">D45</f>
        <v>28595</v>
      </c>
      <c r="D64" s="170" t="s">
        <v>26</v>
      </c>
      <c r="E64" s="172"/>
      <c r="F64" s="1807"/>
      <c r="G64" s="1807"/>
      <c r="H64" s="1809"/>
      <c r="I64" s="129"/>
      <c r="J64" s="3564"/>
      <c r="K64" s="1331" t="s">
        <v>1382</v>
      </c>
      <c r="L64" s="1331">
        <f ca="1">IF(M49&gt;2000,M49*0.5%,IF(AND(M49&gt;1000,M49&lt;=2000),M49*0.6%,IF(AND(M49&gt;500,M49&lt;=1000),M49*0.7%,IF(AND(M49&gt;200,M49&lt;=500),M49*0.8%,IF(AND(M49&gt;100,M49&lt;=200),M49*0.9%,IF(AND(M49&gt;50,M49&lt;=100),M49*1%,IF(AND(M49&gt;20,M49&lt;=50),M49*1.5%,IF(AND(M49&gt;10,M49&lt;=20),M49*2%,IF(AND(M49&gt;1,M49&lt;=10),M49*2.5%)))))))))</f>
        <v>142.97499999999999</v>
      </c>
      <c r="M64" s="302">
        <f t="shared" ref="M64:M65" ca="1" si="1">ROUND(L64,1)</f>
        <v>143</v>
      </c>
      <c r="N64" s="2542" t="s">
        <v>1383</v>
      </c>
      <c r="Z64" s="1751"/>
      <c r="AI64" s="1752"/>
    </row>
    <row r="65" spans="1:35" ht="14.25" customHeight="1">
      <c r="A65" s="169" t="s">
        <v>326</v>
      </c>
      <c r="B65" s="170" t="s">
        <v>1384</v>
      </c>
      <c r="C65" s="2564"/>
      <c r="D65" s="170"/>
      <c r="E65" s="172"/>
      <c r="F65" s="1807"/>
      <c r="G65" s="1807"/>
      <c r="H65" s="1809"/>
      <c r="I65" s="129"/>
      <c r="J65" s="3564"/>
      <c r="K65" s="1331" t="s">
        <v>1385</v>
      </c>
      <c r="L65" s="1331">
        <f ca="1">IF(M49&gt;1000,M49*0.1%,IF(AND(M49&gt;500,M49&lt;=1000),M49*0.5%,IF(AND(M49&gt;50,M49&lt;=500),M49*1%,IF(AND(M49&gt;1,M49&lt;=50),M49*1.5%))))</f>
        <v>28.594999999999999</v>
      </c>
      <c r="M65" s="302">
        <f t="shared" ca="1" si="1"/>
        <v>28.6</v>
      </c>
      <c r="N65" s="2542" t="s">
        <v>1383</v>
      </c>
      <c r="Z65" s="1751"/>
      <c r="AI65" s="1752"/>
    </row>
    <row r="66" spans="1:35" ht="14.25" customHeight="1">
      <c r="A66" s="173" t="s">
        <v>327</v>
      </c>
      <c r="B66" s="174" t="s">
        <v>1386</v>
      </c>
      <c r="C66" s="2565"/>
      <c r="D66" s="174" t="s">
        <v>26</v>
      </c>
      <c r="E66" s="1337" t="s">
        <v>671</v>
      </c>
      <c r="F66" s="1807"/>
      <c r="G66" s="1807"/>
      <c r="H66" s="1809"/>
      <c r="I66" s="129"/>
      <c r="J66" s="3564"/>
      <c r="K66" s="1331" t="s">
        <v>1387</v>
      </c>
      <c r="L66" s="1331">
        <f ca="1">M49*0.5%</f>
        <v>142.97499999999999</v>
      </c>
      <c r="M66" s="302">
        <f ca="1">IF(L66&gt;0.5,0.5,ROUND(L66,0))</f>
        <v>0.5</v>
      </c>
      <c r="N66" s="2542" t="s">
        <v>1388</v>
      </c>
      <c r="Z66" s="1751"/>
      <c r="AI66" s="1752"/>
    </row>
    <row r="67" spans="1:35" ht="14.25" customHeight="1">
      <c r="A67" s="173" t="s">
        <v>328</v>
      </c>
      <c r="B67" s="174" t="s">
        <v>1389</v>
      </c>
      <c r="C67" s="2566">
        <f ca="1">C63-C66</f>
        <v>27233</v>
      </c>
      <c r="D67" s="170" t="s">
        <v>26</v>
      </c>
      <c r="E67" s="172"/>
      <c r="F67" s="1807"/>
      <c r="G67" s="1807"/>
      <c r="H67" s="1809"/>
      <c r="I67" s="129"/>
      <c r="J67" s="3564"/>
      <c r="K67" s="1331" t="s">
        <v>1390</v>
      </c>
      <c r="L67" s="1331">
        <f ca="1">IF(M49&gt;=10000,(8.25+(M49-10000)*0.01%),IF(AND(M49&gt;=8000,M49&lt;10000),(7.85+(M49-8000)*0.02%),IF(AND(M49&gt;=5000,M49&lt;8000),(6.65+(M49-5000)*0.04%),IF(AND(M49&gt;=2000,M49&lt;5000),(4.25+(PM49-2000)*0.08%),IF(AND(M49&gt;=1000,M49&lt;2000),(2.75+(M49-1000)*0.15%),IF(AND(M49&gt;=100,M49&lt;1000),(0.5+(M49-100)*0.25%),IF(AND(M49&gt;0,M49&lt;100),M49*0.5%)))))))</f>
        <v>10.109500000000001</v>
      </c>
      <c r="M67" s="302">
        <f ca="1">ROUND(L67*0.9,1)</f>
        <v>9.1</v>
      </c>
      <c r="N67" s="2541"/>
      <c r="Z67" s="1751"/>
      <c r="AI67" s="1752"/>
    </row>
    <row r="68" spans="1:35" ht="14.25" customHeight="1" thickBot="1">
      <c r="A68" s="176" t="s">
        <v>329</v>
      </c>
      <c r="B68" s="177" t="s">
        <v>1391</v>
      </c>
      <c r="C68" s="2567">
        <f ca="1">IF(C67&lt;=0,0,ROUND(C67*D68,0))</f>
        <v>1525</v>
      </c>
      <c r="D68" s="2568">
        <f>'数据-取费表'!B41</f>
        <v>5.6000000000000001E-2</v>
      </c>
      <c r="E68" s="178"/>
      <c r="F68" s="1807"/>
      <c r="G68" s="1807"/>
      <c r="H68" s="1809"/>
      <c r="I68" s="129"/>
      <c r="J68" s="3564"/>
      <c r="K68" s="1331" t="s">
        <v>1392</v>
      </c>
      <c r="L68" s="1331">
        <f ca="1">IF(M49&gt;10000,M49*0.5%,IF(AND(M49&gt;5000,M49&lt;=10000),M49*1%,IF(AND(M49&gt;1000,M49&lt;=5000),M49*2%,IF(AND(M49&gt;200,M49&lt;=1000),M49*3%,M49*5%))))</f>
        <v>142.97499999999999</v>
      </c>
      <c r="M68" s="302">
        <f ca="1">ROUND(L68,1)</f>
        <v>143</v>
      </c>
      <c r="N68" s="2541"/>
      <c r="Z68" s="1751"/>
      <c r="AI68" s="1752"/>
    </row>
    <row r="69" spans="1:35" s="1771" customFormat="1" ht="16.5" customHeight="1">
      <c r="A69" s="1810"/>
      <c r="B69" s="1811"/>
      <c r="C69" s="1812"/>
      <c r="D69" s="1813"/>
      <c r="E69" s="1814"/>
      <c r="F69" s="1577"/>
      <c r="G69" s="1577"/>
      <c r="H69" s="1576"/>
      <c r="I69" s="1746"/>
      <c r="J69" s="3564"/>
      <c r="K69" s="1331" t="s">
        <v>1393</v>
      </c>
      <c r="L69" s="1331"/>
      <c r="M69" s="302">
        <f ca="1">ROUND(SUM(M63:M68),0)</f>
        <v>467</v>
      </c>
      <c r="N69" s="2543">
        <f ca="1">M69/M49</f>
        <v>1.6331526490645218E-2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0" t="s">
        <v>1375</v>
      </c>
      <c r="B71" s="3601"/>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27233</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163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5" t="s">
        <v>1402</v>
      </c>
      <c r="F76" s="3604"/>
      <c r="G76" s="3604"/>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163</v>
      </c>
      <c r="D78" s="2575">
        <f>'数据-取费表'!B43</f>
        <v>6.000000000000001E-3</v>
      </c>
      <c r="E78" s="3597" t="s">
        <v>1406</v>
      </c>
      <c r="F78" s="3598"/>
      <c r="G78" s="3598"/>
      <c r="H78" s="359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27070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166.07361963190183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16185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0" t="s">
        <v>1375</v>
      </c>
      <c r="B84" s="360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27233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15357.762444</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2785</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f>案例信息!E14</f>
        <v>2703</v>
      </c>
      <c r="D88" s="2575"/>
      <c r="E88" s="193" t="s">
        <v>1413</v>
      </c>
      <c r="F88" s="2326"/>
      <c r="G88" s="194" t="s">
        <v>1414</v>
      </c>
      <c r="H88" s="1823" t="s">
        <v>3470</v>
      </c>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82</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66" t="s">
        <v>2129</v>
      </c>
      <c r="H90" s="3567"/>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8902.762444</v>
      </c>
      <c r="D91" s="2575"/>
      <c r="E91" s="3597" t="s">
        <v>1419</v>
      </c>
      <c r="F91" s="3598"/>
      <c r="G91" s="3598"/>
      <c r="H91" s="1824" t="s">
        <v>3461</v>
      </c>
      <c r="I91" s="1825">
        <f>案例信息!I15/10000</f>
        <v>8902.762444</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1169</v>
      </c>
      <c r="D92" s="2581">
        <v>0.1</v>
      </c>
      <c r="E92" s="3597" t="s">
        <v>1422</v>
      </c>
      <c r="F92" s="3598"/>
      <c r="G92" s="3598"/>
      <c r="H92" s="3599"/>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163</v>
      </c>
      <c r="D93" s="2575">
        <f>'数据-取费表'!B43</f>
        <v>6.000000000000001E-3</v>
      </c>
      <c r="E93" s="3597" t="s">
        <v>1406</v>
      </c>
      <c r="F93" s="3598"/>
      <c r="G93" s="3598"/>
      <c r="H93" s="359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2338</v>
      </c>
      <c r="D94" s="2575">
        <v>0.2</v>
      </c>
      <c r="E94" s="3642" t="s">
        <v>1426</v>
      </c>
      <c r="F94" s="3643"/>
      <c r="G94" s="3643"/>
      <c r="H94" s="364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11875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0.7732246180588207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3982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3" t="str">
        <f>C4</f>
        <v>成本法</v>
      </c>
      <c r="D101" s="2584" t="str">
        <f>D4</f>
        <v>收益法</v>
      </c>
      <c r="E101" s="3560" t="s">
        <v>1431</v>
      </c>
      <c r="F101" s="3561"/>
      <c r="G101" s="1826" t="s">
        <v>1432</v>
      </c>
      <c r="H101" s="2593">
        <f ca="1">H118</f>
        <v>28595</v>
      </c>
      <c r="I101" s="129"/>
    </row>
    <row r="102" spans="1:35" ht="18.75" customHeight="1">
      <c r="A102" s="3592" t="s">
        <v>1433</v>
      </c>
      <c r="B102" s="2582" t="s">
        <v>1432</v>
      </c>
      <c r="C102" s="2583">
        <f ca="1">IF(D32="楼面单价",ROUND(C19,0),C19)</f>
        <v>39528</v>
      </c>
      <c r="D102" s="2584">
        <f ca="1">IF(D32="楼面单价",ROUND(D19,0),D19)</f>
        <v>15232</v>
      </c>
      <c r="E102" s="3560"/>
      <c r="F102" s="3561"/>
      <c r="G102" s="1826" t="s">
        <v>1434</v>
      </c>
      <c r="H102" s="2553">
        <f ca="1">I118</f>
        <v>12775</v>
      </c>
      <c r="I102" s="129"/>
    </row>
    <row r="103" spans="1:35" ht="42.75" customHeight="1">
      <c r="A103" s="3592"/>
      <c r="B103" s="2582" t="s">
        <v>1434</v>
      </c>
      <c r="C103" s="2585">
        <f ca="1">C20</f>
        <v>17659</v>
      </c>
      <c r="D103" s="2586">
        <f ca="1">D20</f>
        <v>6805</v>
      </c>
      <c r="E103" s="3553" t="s">
        <v>1435</v>
      </c>
      <c r="F103" s="3554"/>
      <c r="G103" s="1827" t="s">
        <v>1436</v>
      </c>
      <c r="H103" s="2593">
        <f>IF(D36="正常操作",H104+H105+H106,H105+H106)</f>
        <v>0</v>
      </c>
      <c r="I103" s="129"/>
    </row>
    <row r="104" spans="1:35" ht="18.75" customHeight="1">
      <c r="A104" s="3592" t="s">
        <v>1437</v>
      </c>
      <c r="B104" s="2587" t="s">
        <v>1432</v>
      </c>
      <c r="C104" s="2588">
        <f ca="1">H118</f>
        <v>28595</v>
      </c>
      <c r="D104" s="2589"/>
      <c r="E104" s="1673" t="s">
        <v>1438</v>
      </c>
      <c r="F104" s="1665"/>
      <c r="G104" s="1827" t="s">
        <v>1436</v>
      </c>
      <c r="H104" s="2594">
        <f>IF(D36="同一抵押权人同一抵押物续贷",C36&amp;"（续贷，未扣减，详见特别提示）",C36)</f>
        <v>0</v>
      </c>
      <c r="I104" s="129"/>
    </row>
    <row r="105" spans="1:35" ht="18.75" customHeight="1" thickBot="1">
      <c r="A105" s="3602"/>
      <c r="B105" s="2590" t="s">
        <v>1434</v>
      </c>
      <c r="C105" s="2591">
        <f ca="1">I118</f>
        <v>12775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3" t="str">
        <f>IF(项目基本情况!E8="已注销","——","3.房地产抵押价值")</f>
        <v>3.房地产抵押价值</v>
      </c>
      <c r="F107" s="3561"/>
      <c r="G107" s="1826" t="s">
        <v>1432</v>
      </c>
      <c r="H107" s="2593">
        <f ca="1">IF(E107="——","——",H101-H103)</f>
        <v>28595</v>
      </c>
      <c r="I107" s="129"/>
    </row>
    <row r="108" spans="1:35" ht="18.75" customHeight="1">
      <c r="A108" s="129"/>
      <c r="B108" s="129"/>
      <c r="C108" s="129"/>
      <c r="D108" s="129"/>
      <c r="E108" s="3593"/>
      <c r="F108" s="3561"/>
      <c r="G108" s="1826" t="s">
        <v>1434</v>
      </c>
      <c r="H108" s="2553">
        <f ca="1">IF(H107=H101,H102,ROUND(H107*10000/'数据-汇总表'!E3,0))</f>
        <v>12775</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6" t="s">
        <v>1432</v>
      </c>
      <c r="H109" s="2596" t="str">
        <f>IF(E109="——","——",H101-H105-H106)</f>
        <v>——</v>
      </c>
      <c r="I109" s="129"/>
    </row>
    <row r="110" spans="1:35" ht="18.75" customHeight="1">
      <c r="A110" s="129"/>
      <c r="B110" s="129"/>
      <c r="C110" s="129"/>
      <c r="D110" s="129"/>
      <c r="E110" s="3593"/>
      <c r="F110" s="3561"/>
      <c r="G110" s="1826" t="s">
        <v>1434</v>
      </c>
      <c r="H110" s="2553"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4.抵押净值</v>
      </c>
      <c r="F111" s="3580"/>
      <c r="G111" s="1826" t="s">
        <v>1432</v>
      </c>
      <c r="H111" s="2593">
        <f ca="1">IF(E111="——","——",N59)</f>
        <v>23074</v>
      </c>
      <c r="I111" s="129"/>
    </row>
    <row r="112" spans="1:35" ht="18.75" customHeight="1" thickBot="1">
      <c r="A112" s="129"/>
      <c r="B112" s="129"/>
      <c r="C112" s="129"/>
      <c r="D112" s="129"/>
      <c r="E112" s="3595"/>
      <c r="F112" s="3596"/>
      <c r="G112" s="1829" t="s">
        <v>1434</v>
      </c>
      <c r="H112" s="2597">
        <f ca="1">IF(E111="——","——",N61)</f>
        <v>10308</v>
      </c>
      <c r="I112" s="129"/>
    </row>
    <row r="113" spans="1:27" ht="18.75" customHeight="1">
      <c r="A113" s="129"/>
      <c r="B113" s="129"/>
      <c r="C113" s="129"/>
      <c r="D113" s="129"/>
      <c r="E113" s="3603" t="s">
        <v>1440</v>
      </c>
      <c r="F113" s="3603"/>
      <c r="G113" s="3603"/>
      <c r="H113" s="3603"/>
      <c r="I113" s="129"/>
    </row>
    <row r="114" spans="1:27" ht="3.75" customHeight="1">
      <c r="A114" s="1746"/>
      <c r="B114" s="1746"/>
      <c r="C114" s="1746"/>
      <c r="D114" s="1746"/>
      <c r="E114" s="1808"/>
      <c r="F114" s="1808"/>
      <c r="G114" s="1808"/>
      <c r="H114" s="1808"/>
      <c r="I114" s="1746"/>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22383.909999999996</v>
      </c>
      <c r="C118" s="2328">
        <f>M19</f>
        <v>12157.82</v>
      </c>
      <c r="D118" s="2328">
        <f ca="1">ROUND(IF(D32="总价",C34,E118*B118/10000),0)</f>
        <v>18615</v>
      </c>
      <c r="E118" s="2328">
        <f ca="1">ROUND(IF(C33="自定义",IF(D32="楼面单价",C34,D118*10000/B118),I118-G118),0)</f>
        <v>8316</v>
      </c>
      <c r="F118" s="2328">
        <f ca="1">ROUND(IF(D32="总价",C35,G118*B118/10000),0)</f>
        <v>9980</v>
      </c>
      <c r="G118" s="2328">
        <f ca="1">ROUND(IF(D32="楼面单价",C35,F118*10000/B118),0)</f>
        <v>4459</v>
      </c>
      <c r="H118" s="2328">
        <f ca="1">ROUND(IF(D32="总价",C32,I118*B118/10000),0)</f>
        <v>28595</v>
      </c>
      <c r="I118" s="2328">
        <f ca="1">ROUND(IF(D32="楼面单价",C32,H118*10000/B118),0)</f>
        <v>12775</v>
      </c>
    </row>
    <row r="119" spans="1:27" ht="18.75" customHeight="1">
      <c r="A119" s="3568" t="s">
        <v>1452</v>
      </c>
      <c r="B119" s="3568"/>
      <c r="C119" s="3568"/>
      <c r="D119" s="3574" t="str">
        <f ca="1">NUMBERSTRING(INT(D118*10000),2)&amp;"元整"</f>
        <v>壹亿捌仟陆佰壹拾伍万元整</v>
      </c>
      <c r="E119" s="3575"/>
      <c r="F119" s="3574" t="str">
        <f ca="1">NUMBERSTRING(INT(F118*10000),2)&amp;"元整"</f>
        <v>玖仟玖佰捌拾万元整</v>
      </c>
      <c r="G119" s="3575"/>
      <c r="H119" s="3574" t="str">
        <f ca="1">NUMBERSTRING(INT(H118*10000),2)&amp;"元整"</f>
        <v>贰亿捌仟伍佰玖拾伍万元整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4" t="s">
        <v>1452</v>
      </c>
      <c r="B121" s="3576"/>
      <c r="C121" s="3575"/>
      <c r="D121" s="3574" t="str">
        <f>IF(D120=0,"零元整",NUMBERSTRING(INT(D120*10000),2)&amp;"元整")</f>
        <v>零元整</v>
      </c>
      <c r="E121" s="3576"/>
      <c r="F121" s="3576"/>
      <c r="G121" s="3576"/>
      <c r="H121" s="3576"/>
      <c r="I121" s="3575"/>
      <c r="AA121" s="724"/>
    </row>
    <row r="122" spans="1:27" ht="18.75" customHeight="1">
      <c r="A122" s="3580" t="str">
        <f>IF(项目基本情况!B9="房地产市场价值","",MID(E107,3,LEN(E107)-2))</f>
        <v>房地产抵押价值</v>
      </c>
      <c r="B122" s="3580"/>
      <c r="C122" s="3580"/>
      <c r="D122" s="3569">
        <f ca="1">H107</f>
        <v>28595</v>
      </c>
      <c r="E122" s="3570"/>
      <c r="F122" s="3570"/>
      <c r="G122" s="3570"/>
      <c r="H122" s="3570"/>
      <c r="I122" s="3571"/>
      <c r="AA122" s="724"/>
    </row>
    <row r="123" spans="1:27" ht="18.75" customHeight="1">
      <c r="A123" s="3568" t="s">
        <v>1452</v>
      </c>
      <c r="B123" s="3568"/>
      <c r="C123" s="3568"/>
      <c r="D123" s="3574" t="str">
        <f ca="1">NUMBERSTRING(INT(D122*10000),2)&amp;"元整"</f>
        <v>贰亿捌仟伍佰玖拾伍万元整</v>
      </c>
      <c r="E123" s="3576"/>
      <c r="F123" s="3576"/>
      <c r="G123" s="3576"/>
      <c r="H123" s="3576"/>
      <c r="I123" s="3575"/>
      <c r="AA123" s="724"/>
    </row>
    <row r="124" spans="1:27" ht="18.75" customHeight="1">
      <c r="A124" s="3580" t="str">
        <f>IF(项目基本情况!B9="房地产市场价值","",MID(E109,3,LEN(E109)-2))</f>
        <v/>
      </c>
      <c r="B124" s="3580"/>
      <c r="C124" s="3580"/>
      <c r="D124" s="3569" t="str">
        <f>H109</f>
        <v>——</v>
      </c>
      <c r="E124" s="3570"/>
      <c r="F124" s="3570"/>
      <c r="G124" s="3570"/>
      <c r="H124" s="3570"/>
      <c r="I124" s="3571"/>
      <c r="AA124" s="724"/>
    </row>
    <row r="125" spans="1:27" ht="18.75" customHeight="1">
      <c r="A125" s="3568" t="s">
        <v>1452</v>
      </c>
      <c r="B125" s="3568"/>
      <c r="C125" s="3568"/>
      <c r="D125" s="3574" t="e">
        <f>NUMBERSTRING(INT(D124*10000),2)&amp;"元整"</f>
        <v>#VALUE!</v>
      </c>
      <c r="E125" s="3576"/>
      <c r="F125" s="3576"/>
      <c r="G125" s="3576"/>
      <c r="H125" s="3576"/>
      <c r="I125" s="3575"/>
      <c r="AA125" s="724"/>
    </row>
    <row r="126" spans="1:27" ht="18.75" customHeight="1">
      <c r="A126" s="3580" t="str">
        <f>IF(项目基本情况!B9="房地产市场价值","",MID(E111,3,LEN(E111)-2))</f>
        <v>抵押净值</v>
      </c>
      <c r="B126" s="3580"/>
      <c r="C126" s="3580"/>
      <c r="D126" s="3569">
        <f ca="1">H111</f>
        <v>23074</v>
      </c>
      <c r="E126" s="3570"/>
      <c r="F126" s="3570"/>
      <c r="G126" s="3570"/>
      <c r="H126" s="3570"/>
      <c r="I126" s="3571"/>
      <c r="AA126" s="724"/>
    </row>
    <row r="127" spans="1:27" ht="18.75" customHeight="1">
      <c r="A127" s="3568" t="s">
        <v>1452</v>
      </c>
      <c r="B127" s="3568"/>
      <c r="C127" s="3568"/>
      <c r="D127" s="3574" t="str">
        <f ca="1">NUMBERSTRING(INT(D126*10000),2)&amp;"元整"</f>
        <v>贰亿叁仟零柒拾肆万元整</v>
      </c>
      <c r="E127" s="3576"/>
      <c r="F127" s="3576"/>
      <c r="G127" s="3576"/>
      <c r="H127" s="3576"/>
      <c r="I127" s="3575"/>
      <c r="AA127" s="724"/>
    </row>
    <row r="128" spans="1:27" ht="21.75" customHeight="1">
      <c r="A128" s="3577" t="s">
        <v>1453</v>
      </c>
      <c r="B128" s="3577"/>
      <c r="C128" s="3577"/>
      <c r="D128" s="3577"/>
      <c r="E128" s="3577"/>
      <c r="F128" s="3577"/>
      <c r="G128" s="3577"/>
      <c r="H128" s="3577"/>
      <c r="I128" s="357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39528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17659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18633</v>
      </c>
      <c r="D5" s="211" t="s">
        <v>1469</v>
      </c>
      <c r="E5" s="212" t="s">
        <v>1470</v>
      </c>
      <c r="F5" s="212" t="s">
        <v>1471</v>
      </c>
      <c r="G5" s="213"/>
    </row>
    <row r="6" spans="1:9" s="214" customFormat="1" ht="13.5" customHeight="1">
      <c r="A6" s="777" t="s">
        <v>1472</v>
      </c>
      <c r="B6" s="215" t="s">
        <v>1473</v>
      </c>
      <c r="C6" s="216">
        <f>基准地价修正!E33+基准地价修正!E41+基准地价修正!E42</f>
        <v>17647</v>
      </c>
      <c r="D6" s="217"/>
      <c r="E6" s="218"/>
      <c r="F6" s="218"/>
      <c r="G6" s="219"/>
    </row>
    <row r="7" spans="1:9" s="214" customFormat="1" ht="13.5" customHeight="1">
      <c r="A7" s="777" t="s">
        <v>1474</v>
      </c>
      <c r="B7" s="215" t="s">
        <v>1475</v>
      </c>
      <c r="C7" s="220">
        <f>ROUND(C6*F7,0)</f>
        <v>538</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448</v>
      </c>
      <c r="D8" s="222"/>
      <c r="E8" s="220"/>
      <c r="F8" s="221"/>
      <c r="G8" s="1855"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3447</v>
      </c>
      <c r="H9" s="1136"/>
      <c r="I9" s="1857" t="s">
        <v>1479</v>
      </c>
    </row>
    <row r="10" spans="1:9" s="214" customFormat="1" ht="13.5" customHeight="1">
      <c r="A10" s="778" t="s">
        <v>356</v>
      </c>
      <c r="B10" s="224" t="s">
        <v>1480</v>
      </c>
      <c r="C10" s="225">
        <f ca="1">ROUND(D10*E10/10000,0)</f>
        <v>448</v>
      </c>
      <c r="D10" s="844">
        <f ca="1">IF(B1="",'数据-汇总表'!E6,IF(INDIRECT("'数据-取费表'!c"&amp;$G$1)="住宅",INDIRECT("'数据-取费表'!s"&amp;$G$1),INDIRECT("'数据-取费表'!k"&amp;$G$1)+INDIRECT("'数据-取费表'!s"&amp;$G$1)))</f>
        <v>22383.909999999996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22383.909999999996</v>
      </c>
      <c r="E19" s="211">
        <f>'数据-取费表'!B31</f>
        <v>200</v>
      </c>
      <c r="F19" s="231"/>
      <c r="G19" s="1855" t="s">
        <v>3440</v>
      </c>
    </row>
    <row r="20" spans="1:7" s="214" customFormat="1" ht="13.5" customHeight="1">
      <c r="A20" s="255" t="s">
        <v>1493</v>
      </c>
      <c r="B20" s="210" t="s">
        <v>1494</v>
      </c>
      <c r="C20" s="232">
        <f>ROUND((C5+C19)*F20,0)</f>
        <v>373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1308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13</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3421</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3421</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12670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11640</v>
      </c>
      <c r="D34" s="217"/>
      <c r="E34" s="220"/>
      <c r="F34" s="257">
        <f ca="1">IF('数据-取费表'!B24=0,1,IF(B1="",'数据-取费表'!N16,INDIRECT("'数据-取费表'!n"&amp;$G$1)))</f>
        <v>1</v>
      </c>
      <c r="G34" s="219" t="s">
        <v>1526</v>
      </c>
    </row>
    <row r="35" spans="1:7" ht="13.5" customHeight="1">
      <c r="A35" s="779" t="s">
        <v>351</v>
      </c>
      <c r="B35" s="215" t="s">
        <v>1527</v>
      </c>
      <c r="C35" s="220">
        <f ca="1">ROUND(C34*F35,0)</f>
        <v>349</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448</v>
      </c>
      <c r="D37" s="217">
        <f ca="1">D19</f>
        <v>22383.909999999996</v>
      </c>
      <c r="E37" s="249">
        <f>'数据-取费表'!B35</f>
        <v>200</v>
      </c>
      <c r="F37" s="259"/>
      <c r="G37" s="261" t="s">
        <v>1532</v>
      </c>
    </row>
    <row r="38" spans="1:7" ht="13.5" customHeight="1">
      <c r="A38" s="779" t="s">
        <v>354</v>
      </c>
      <c r="B38" s="215" t="s">
        <v>1533</v>
      </c>
      <c r="C38" s="220">
        <f ca="1">ROUND(C34*F38,0)</f>
        <v>233</v>
      </c>
      <c r="D38" s="220"/>
      <c r="E38" s="220"/>
      <c r="F38" s="259">
        <f>'数据-取费表'!B36</f>
        <v>0.02</v>
      </c>
      <c r="G38" s="219" t="s">
        <v>1528</v>
      </c>
    </row>
    <row r="39" spans="1:7" s="214" customFormat="1" ht="13.5" customHeight="1">
      <c r="A39" s="255" t="s">
        <v>1534</v>
      </c>
      <c r="B39" s="210" t="s">
        <v>1535</v>
      </c>
      <c r="C39" s="232">
        <f ca="1">ROUND(C33*F20,0)</f>
        <v>253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437</v>
      </c>
      <c r="D42" s="238"/>
      <c r="E42" s="238"/>
      <c r="F42" s="239"/>
      <c r="G42" s="3647" t="s">
        <v>1544</v>
      </c>
    </row>
    <row r="43" spans="1:7" ht="13.5" customHeight="1">
      <c r="A43" s="779" t="s">
        <v>347</v>
      </c>
      <c r="B43" s="215" t="s">
        <v>1545</v>
      </c>
      <c r="C43" s="238">
        <f ca="1">ROUND(IF('数据-取费表'!B22&lt;=1,C39*F22*'数据-取费表'!B21/2,C39*(POWER((1+F22),'数据-取费表'!B21/2)-1)),0)</f>
        <v>9</v>
      </c>
      <c r="D43" s="238"/>
      <c r="E43" s="238"/>
      <c r="F43" s="239"/>
      <c r="G43" s="3648"/>
    </row>
    <row r="44" spans="1:7" ht="13.5" customHeight="1">
      <c r="A44" s="779"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2326</v>
      </c>
      <c r="D45" s="235">
        <f ca="1">C47</f>
        <v>3.5999999999999999E-3</v>
      </c>
      <c r="E45" s="236" t="s">
        <v>1539</v>
      </c>
      <c r="F45" s="246">
        <f ca="1">F27</f>
        <v>0.18</v>
      </c>
      <c r="G45" s="247" t="s">
        <v>1548</v>
      </c>
    </row>
    <row r="46" spans="1:7" s="214" customFormat="1" ht="13.5" customHeight="1">
      <c r="A46" s="779" t="s">
        <v>346</v>
      </c>
      <c r="B46" s="248" t="s">
        <v>1549</v>
      </c>
      <c r="C46" s="249">
        <f ca="1">ROUND((C33+C39)*F27,0)</f>
        <v>2326</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17015</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13782</v>
      </c>
      <c r="D51" s="232"/>
      <c r="E51" s="232"/>
      <c r="F51" s="264"/>
      <c r="G51" s="234" t="s">
        <v>1560</v>
      </c>
    </row>
    <row r="52" spans="1:7" s="208" customFormat="1" ht="16.5" thickBot="1">
      <c r="A52" s="265" t="s">
        <v>1561</v>
      </c>
      <c r="B52" s="266"/>
      <c r="C52" s="267">
        <f ca="1">C31+C51</f>
        <v>39528</v>
      </c>
      <c r="D52" s="266"/>
      <c r="E52" s="266"/>
      <c r="F52" s="266"/>
      <c r="G52" s="268"/>
    </row>
    <row r="55" spans="1:7" ht="15">
      <c r="B55" s="270" t="s">
        <v>1562</v>
      </c>
      <c r="C55" s="271"/>
    </row>
    <row r="56" spans="1:7">
      <c r="B56" s="273" t="s">
        <v>802</v>
      </c>
      <c r="C56" s="275">
        <f ca="1">1-C57</f>
        <v>0.65100000000000002</v>
      </c>
    </row>
    <row r="57" spans="1:7">
      <c r="B57" s="273" t="s">
        <v>803</v>
      </c>
      <c r="C57" s="274">
        <f ca="1">ROUND(C51/C52,3)</f>
        <v>0.34899999999999998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北京市房地产抵押价值预评估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22383.909999999996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22383.909999999996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448</v>
      </c>
      <c r="D20" s="845">
        <f ca="1">IF(C1="",'数据-汇总表'!E6,IF(INDIRECT("'数据-取费表'!c"&amp;$K$1)="住宅",INDIRECT("'数据-取费表'!s"&amp;$K$1),INDIRECT("'数据-取费表'!k"&amp;$K$1)+INDIRECT("'数据-取费表'!s"&amp;$K$1)))</f>
        <v>22383.909999999996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3"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22.11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15232</v>
      </c>
      <c r="C2" s="1386" t="s">
        <v>805</v>
      </c>
      <c r="D2" s="1386"/>
      <c r="E2" s="1387"/>
      <c r="F2" s="1388"/>
      <c r="G2" s="2704"/>
      <c r="H2" s="2693"/>
      <c r="I2" s="2693"/>
      <c r="J2" s="2693"/>
      <c r="K2" s="2694"/>
      <c r="L2" s="2693"/>
      <c r="M2" s="2693"/>
    </row>
    <row r="3" spans="1:37" ht="18" customHeight="1" thickBot="1">
      <c r="A3" s="1389" t="s">
        <v>806</v>
      </c>
      <c r="B3" s="1390">
        <f ca="1">IF(ISERROR(B2*10000/F43),0,ROUND(B2*10000/F43,0))</f>
        <v>6805</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1400</v>
      </c>
      <c r="D5" s="1363" t="s">
        <v>693</v>
      </c>
      <c r="E5" s="1070"/>
      <c r="F5" s="1071"/>
      <c r="G5" s="1383"/>
      <c r="H5" s="299">
        <v>1</v>
      </c>
      <c r="I5" s="300" t="s">
        <v>692</v>
      </c>
      <c r="J5" s="1069">
        <f ca="1">J6+J10+J12</f>
        <v>1536</v>
      </c>
      <c r="K5" s="1363" t="s">
        <v>693</v>
      </c>
      <c r="L5" s="1070"/>
      <c r="M5" s="1071"/>
    </row>
    <row r="6" spans="1:37" ht="18" customHeight="1">
      <c r="A6" s="1068" t="s">
        <v>398</v>
      </c>
      <c r="B6" s="3652" t="s">
        <v>694</v>
      </c>
      <c r="C6" s="1073">
        <f ca="1">ROUND(F6*F8*F7*(1-F9)/10000,0)</f>
        <v>1400</v>
      </c>
      <c r="D6" s="155" t="s">
        <v>2109</v>
      </c>
      <c r="E6" s="302" t="s">
        <v>696</v>
      </c>
      <c r="F6" s="303">
        <f ca="1">INDIRECT("'数据-取费表'!u"&amp;$G$1)</f>
        <v>1.7135596231204309</v>
      </c>
      <c r="G6" s="1383"/>
      <c r="H6" s="1068" t="s">
        <v>398</v>
      </c>
      <c r="I6" s="3652" t="s">
        <v>694</v>
      </c>
      <c r="J6" s="301">
        <f ca="1">ROUND(M6*M8*M7*(1-M9)/10000,0)</f>
        <v>1536</v>
      </c>
      <c r="K6" s="155" t="s">
        <v>2108</v>
      </c>
      <c r="L6" s="302" t="s">
        <v>696</v>
      </c>
      <c r="M6" s="303">
        <f ca="1">INDIRECT("'数据-取费表'!z"&amp;$G$1)</f>
        <v>1.88</v>
      </c>
    </row>
    <row r="7" spans="1:37" ht="18" customHeight="1">
      <c r="A7" s="1072"/>
      <c r="B7" s="3653"/>
      <c r="C7" s="1074"/>
      <c r="D7" s="307"/>
      <c r="E7" s="1075" t="s">
        <v>697</v>
      </c>
      <c r="F7" s="303">
        <f ca="1">IF(INDIRECT("'数据-取费表'!ah"&amp;$G$1)="",INDIRECT("'数据-取费表'!k"&amp;$G$1),INDIRECT("'数据-取费表'!ah"&amp;$G$1))</f>
        <v>22383.91</v>
      </c>
      <c r="G7" s="1383"/>
      <c r="H7" s="304"/>
      <c r="I7" s="3653"/>
      <c r="J7" s="306"/>
      <c r="K7" s="307"/>
      <c r="L7" s="302" t="s">
        <v>697</v>
      </c>
      <c r="M7" s="303">
        <f ca="1">F7</f>
        <v>22383.91</v>
      </c>
    </row>
    <row r="8" spans="1:37" ht="18" customHeight="1">
      <c r="A8" s="304"/>
      <c r="B8" s="3653"/>
      <c r="C8" s="306"/>
      <c r="D8" s="307"/>
      <c r="E8" s="302" t="s">
        <v>698</v>
      </c>
      <c r="F8" s="303">
        <f ca="1">INDIRECT("'数据-取费表'!ai"&amp;$G$1)</f>
        <v>365</v>
      </c>
      <c r="G8" s="1383"/>
      <c r="H8" s="304"/>
      <c r="I8" s="3653"/>
      <c r="J8" s="306"/>
      <c r="K8" s="307"/>
      <c r="L8" s="302" t="s">
        <v>698</v>
      </c>
      <c r="M8" s="303">
        <f ca="1">INDIRECT("'数据-取费表'!ai"&amp;$G$1)</f>
        <v>365</v>
      </c>
    </row>
    <row r="9" spans="1:37" ht="18" customHeight="1">
      <c r="A9" s="304"/>
      <c r="B9" s="3654"/>
      <c r="C9" s="306"/>
      <c r="D9" s="307"/>
      <c r="E9" s="302" t="s">
        <v>699</v>
      </c>
      <c r="F9" s="312">
        <f ca="1">INDIRECT("'数据-取费表'!w"&amp;$G$1)</f>
        <v>0</v>
      </c>
      <c r="G9" s="1383"/>
      <c r="H9" s="304"/>
      <c r="I9" s="365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13782</v>
      </c>
      <c r="D13" s="1080" t="s">
        <v>705</v>
      </c>
      <c r="E13" s="1080" t="s">
        <v>706</v>
      </c>
      <c r="F13" s="1081">
        <f ca="1">INDIRECT("'数据-取费表'!y"&amp;$G$1)</f>
        <v>0.81</v>
      </c>
      <c r="G13" s="1383"/>
      <c r="H13" s="1078">
        <v>2</v>
      </c>
      <c r="I13" s="1079" t="s">
        <v>704</v>
      </c>
      <c r="J13" s="1067">
        <f ca="1">ROUND(J14*J15,0)</f>
        <v>11911</v>
      </c>
      <c r="K13" s="1086" t="s">
        <v>705</v>
      </c>
      <c r="L13" s="1391"/>
      <c r="M13" s="1392"/>
    </row>
    <row r="14" spans="1:37" ht="18" customHeight="1">
      <c r="A14" s="981" t="s">
        <v>397</v>
      </c>
      <c r="B14" s="302" t="s">
        <v>707</v>
      </c>
      <c r="C14" s="318">
        <f ca="1">INDIRECT("'数据-取费表'!m"&amp;$G$1)+INDIRECT("'数据-取费表'!t"&amp;$G$1)</f>
        <v>11640</v>
      </c>
      <c r="D14" s="1344" t="s">
        <v>708</v>
      </c>
      <c r="E14" s="1341"/>
      <c r="F14" s="319"/>
      <c r="G14" s="1383"/>
      <c r="H14" s="981" t="s">
        <v>398</v>
      </c>
      <c r="I14" s="302" t="s">
        <v>709</v>
      </c>
      <c r="J14" s="21">
        <f ca="1">C29</f>
        <v>17015</v>
      </c>
      <c r="K14" s="12"/>
      <c r="L14" s="806"/>
      <c r="M14" s="807"/>
    </row>
    <row r="15" spans="1:37" s="1396" customFormat="1" ht="18" customHeight="1" thickBot="1">
      <c r="A15" s="981" t="s">
        <v>399</v>
      </c>
      <c r="B15" s="302" t="s">
        <v>710</v>
      </c>
      <c r="C15" s="21">
        <f ca="1">ROUND(C14*F15,0)</f>
        <v>349</v>
      </c>
      <c r="D15" s="320" t="s">
        <v>711</v>
      </c>
      <c r="E15" s="320" t="s">
        <v>712</v>
      </c>
      <c r="F15" s="321">
        <f>'数据-取费表'!B33</f>
        <v>0.03</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321</v>
      </c>
      <c r="K16" s="1086" t="s">
        <v>715</v>
      </c>
      <c r="L16" s="1087"/>
      <c r="M16" s="1071"/>
    </row>
    <row r="17" spans="1:37" s="1396" customFormat="1" ht="18" customHeight="1">
      <c r="A17" s="981" t="s">
        <v>681</v>
      </c>
      <c r="B17" s="302" t="s">
        <v>716</v>
      </c>
      <c r="C17" s="21">
        <f ca="1">ROUND(F17*(F43+INDIRECT("'数据-取费表'!S"&amp;$G$1))/10000,0)</f>
        <v>448</v>
      </c>
      <c r="D17" s="302" t="s">
        <v>717</v>
      </c>
      <c r="E17" s="302" t="s">
        <v>718</v>
      </c>
      <c r="F17" s="23">
        <f>'数据-取费表'!B35</f>
        <v>200</v>
      </c>
      <c r="G17" s="1395"/>
      <c r="H17" s="981" t="s">
        <v>398</v>
      </c>
      <c r="I17" s="302" t="s">
        <v>719</v>
      </c>
      <c r="J17" s="2315">
        <f ca="1">ROUND(IF(AND(项目基本情况!B11="自然人",项目基本情况!B10="北京市"),J6*M17/(1+'数据-取费表'!C42),J18+J19+J20),2)</f>
        <v>259.27999999999997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233</v>
      </c>
      <c r="D18" s="302" t="s">
        <v>711</v>
      </c>
      <c r="E18" s="302" t="s">
        <v>712</v>
      </c>
      <c r="F18" s="322">
        <f>'数据-取费表'!B36</f>
        <v>0.02</v>
      </c>
      <c r="G18" s="1395"/>
      <c r="H18" s="981" t="s">
        <v>397</v>
      </c>
      <c r="I18" s="302" t="s">
        <v>723</v>
      </c>
      <c r="J18" s="21">
        <f ca="1">ROUND(J6*M18/(1+'数据-取费表'!C42),2)</f>
        <v>81.92</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12670</v>
      </c>
      <c r="D19" s="131" t="s">
        <v>726</v>
      </c>
      <c r="E19" s="1359"/>
      <c r="F19" s="23"/>
      <c r="G19" s="1383"/>
      <c r="H19" s="981" t="s">
        <v>399</v>
      </c>
      <c r="I19" s="302" t="s">
        <v>727</v>
      </c>
      <c r="J19" s="21">
        <f ca="1">IF(K19="按租金收入计税",ROUND(J6*M19/(1+'数据-取费表'!C42),2),ROUND(C29*M19*0.7,2))</f>
        <v>175.54</v>
      </c>
      <c r="K19" s="1369" t="s">
        <v>3339</v>
      </c>
      <c r="L19" s="302" t="s">
        <v>712</v>
      </c>
      <c r="M19" s="322">
        <f>IF(K19="按租金收入计税",'数据-取费表'!B51,'数据-取费表'!B50)</f>
        <v>0.12</v>
      </c>
    </row>
    <row r="20" spans="1:37" s="1396" customFormat="1" ht="18" customHeight="1">
      <c r="A20" s="981" t="s">
        <v>402</v>
      </c>
      <c r="B20" s="302" t="s">
        <v>728</v>
      </c>
      <c r="C20" s="21">
        <f ca="1">ROUND(C19*F20,0)</f>
        <v>253</v>
      </c>
      <c r="D20" s="323" t="s">
        <v>729</v>
      </c>
      <c r="E20" s="302" t="s">
        <v>712</v>
      </c>
      <c r="F20" s="322">
        <f>'数据-取费表'!B37</f>
        <v>0.02</v>
      </c>
      <c r="G20" s="1395"/>
      <c r="H20" s="981" t="s">
        <v>680</v>
      </c>
      <c r="I20" s="155" t="s">
        <v>730</v>
      </c>
      <c r="J20" s="22">
        <f ca="1">ROUND(M20*M21/10000,2)</f>
        <v>1.82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34.03</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446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11.91</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15.36</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1215</v>
      </c>
      <c r="K25" s="1094" t="s">
        <v>753</v>
      </c>
      <c r="L25" s="1095"/>
      <c r="M25" s="1096"/>
    </row>
    <row r="26" spans="1:37">
      <c r="A26" s="981" t="s">
        <v>397</v>
      </c>
      <c r="B26" s="302" t="s">
        <v>754</v>
      </c>
      <c r="C26" s="21">
        <f ca="1">ROUND((C19+C20)*F26,0)</f>
        <v>2326</v>
      </c>
      <c r="D26" s="323" t="s">
        <v>755</v>
      </c>
      <c r="E26" s="313" t="s">
        <v>756</v>
      </c>
      <c r="F26" s="312">
        <f ca="1">INDIRECT("'数据-取费表'!q"&amp;$G$1)</f>
        <v>0.18</v>
      </c>
      <c r="G26" s="1383"/>
      <c r="H26" s="299" t="s">
        <v>395</v>
      </c>
      <c r="I26" s="300" t="s">
        <v>757</v>
      </c>
      <c r="J26" s="301">
        <f ca="1">IF(J5&lt;&gt;0,ROUND(J25*(1-((1+M28)/(1+M26))^M27)/(M26-M28),0),0)</f>
        <v>10464</v>
      </c>
      <c r="K26" s="324" t="s">
        <v>758</v>
      </c>
      <c r="L26" s="302" t="s">
        <v>759</v>
      </c>
      <c r="M26" s="312">
        <f ca="1">INDIRECT("'数据-取费表'!I"&amp;$G$1)</f>
        <v>0.06</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12.479999999999999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17015</v>
      </c>
      <c r="D29" s="1091"/>
      <c r="E29" s="1089"/>
      <c r="F29" s="1092"/>
      <c r="G29" s="1395"/>
      <c r="H29" s="334" t="s">
        <v>396</v>
      </c>
      <c r="I29" s="335" t="s">
        <v>768</v>
      </c>
      <c r="J29" s="336">
        <f ca="1">ROUND(J26/(1+F40)^F41,0)</f>
        <v>5970</v>
      </c>
      <c r="K29" s="337" t="s">
        <v>769</v>
      </c>
      <c r="L29" s="338"/>
      <c r="M29" s="339">
        <f ca="1">INDIRECT("'数据-取费表'!k"&amp;$G$1)</f>
        <v>22383.91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298</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236.49</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IF(项目基本情况!B11="自然人","——",ROUND(C6*F32/(1+'数据-取费表'!C42),2))</f>
        <v>74.67</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160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1.82</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ROUND(C29*F36,2)</f>
        <v>34.03</v>
      </c>
      <c r="D36" s="1343" t="s">
        <v>771</v>
      </c>
      <c r="E36" s="302" t="s">
        <v>712</v>
      </c>
      <c r="F36" s="328">
        <f ca="1">INDIRECT("'数据-取费表'!Ak"&amp;$G$1)</f>
        <v>2E-3</v>
      </c>
      <c r="G36" s="1383"/>
      <c r="H36" s="2698"/>
      <c r="I36" s="1397"/>
      <c r="J36" s="1398"/>
      <c r="K36" s="2542"/>
      <c r="L36" s="2698"/>
      <c r="M36" s="2698"/>
    </row>
    <row r="37" spans="1:18" ht="18" customHeight="1">
      <c r="A37" s="981" t="s">
        <v>437</v>
      </c>
      <c r="B37" s="302" t="s">
        <v>742</v>
      </c>
      <c r="C37" s="21">
        <f ca="1">ROUND(C13*F37,2)</f>
        <v>13.78</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ROUND(C5*F38,2)</f>
        <v>14</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1102</v>
      </c>
      <c r="D39" s="1094" t="s">
        <v>773</v>
      </c>
      <c r="E39" s="1095"/>
      <c r="F39" s="1096"/>
      <c r="G39" s="1383"/>
      <c r="H39" s="2698"/>
      <c r="I39" s="1397">
        <f ca="1">C39/C6</f>
        <v>0.78714285714285714</v>
      </c>
      <c r="J39" s="1398"/>
      <c r="K39" s="2702"/>
      <c r="L39" s="2698"/>
      <c r="M39" s="2698"/>
    </row>
    <row r="40" spans="1:18" ht="18" customHeight="1">
      <c r="A40" s="299" t="s">
        <v>395</v>
      </c>
      <c r="B40" s="300" t="s">
        <v>774</v>
      </c>
      <c r="C40" s="301">
        <f ca="1">ROUND(C39*(1-((1+F42)/(1+F40))^F41)/(F40-F42),0)</f>
        <v>7887</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9.6300000000000008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3524</v>
      </c>
      <c r="D43" s="337" t="s">
        <v>777</v>
      </c>
      <c r="E43" s="338" t="s">
        <v>778</v>
      </c>
      <c r="F43" s="339">
        <f ca="1">INDIRECT("'数据-取费表'!k"&amp;$G$1)</f>
        <v>22383.91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-8245</v>
      </c>
      <c r="D46" s="1405" t="str">
        <f>C2</f>
        <v>万元</v>
      </c>
      <c r="E46" s="1399"/>
      <c r="F46" s="1399"/>
      <c r="I46" s="1406" t="s">
        <v>810</v>
      </c>
      <c r="J46" s="1407"/>
      <c r="K46" s="1408"/>
      <c r="L46" s="1409">
        <f ca="1">IF(M47="住宅",0,IF(L48&gt;J51,L60,J60))</f>
        <v>1375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13857</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22.11</v>
      </c>
      <c r="O48" s="1417" t="s">
        <v>404</v>
      </c>
      <c r="P48" s="1418" t="s">
        <v>821</v>
      </c>
      <c r="Q48" s="1419">
        <f ca="1">J60</f>
        <v>1375</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2010</v>
      </c>
      <c r="K49" s="1422" t="s">
        <v>824</v>
      </c>
      <c r="L49" s="1426"/>
      <c r="O49" s="1427" t="s">
        <v>405</v>
      </c>
      <c r="P49" s="1418" t="s">
        <v>825</v>
      </c>
      <c r="Q49" s="1419">
        <f ca="1">C29</f>
        <v>17015</v>
      </c>
      <c r="R49" s="1419" t="s">
        <v>818</v>
      </c>
    </row>
    <row r="50" spans="1:18" s="1383" customFormat="1" ht="13.5" thickBot="1">
      <c r="A50" s="975"/>
      <c r="B50" s="978"/>
      <c r="C50" s="1117"/>
      <c r="D50" s="952"/>
      <c r="E50" s="1055" t="s">
        <v>697</v>
      </c>
      <c r="F50" s="1056">
        <f ca="1">F7</f>
        <v>22383.91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2454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22.11</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22.11</v>
      </c>
      <c r="K53" s="3650" t="s">
        <v>837</v>
      </c>
      <c r="L53" s="3651"/>
      <c r="O53" s="1417" t="s">
        <v>409</v>
      </c>
      <c r="P53" s="1418" t="s">
        <v>838</v>
      </c>
      <c r="Q53" s="1419">
        <f ca="1">Q47+Q48</f>
        <v>15232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0.39800000000000002</v>
      </c>
      <c r="K55" s="1444" t="s">
        <v>841</v>
      </c>
      <c r="L55" s="1445"/>
      <c r="O55" s="1410" t="s">
        <v>811</v>
      </c>
      <c r="P55" s="1411" t="s">
        <v>812</v>
      </c>
      <c r="Q55" s="1412" t="s">
        <v>813</v>
      </c>
      <c r="R55" s="1412" t="s">
        <v>814</v>
      </c>
    </row>
    <row r="56" spans="1:18" s="1383" customFormat="1" ht="25.5" thickTop="1" thickBot="1">
      <c r="A56" s="956">
        <v>2</v>
      </c>
      <c r="B56" s="957" t="s">
        <v>704</v>
      </c>
      <c r="C56" s="232">
        <f ca="1">C13</f>
        <v>13782</v>
      </c>
      <c r="D56" s="1446"/>
      <c r="E56" s="1447"/>
      <c r="F56" s="1439"/>
      <c r="I56" s="1448" t="s">
        <v>842</v>
      </c>
      <c r="J56" s="1449" t="s">
        <v>3386</v>
      </c>
      <c r="K56" s="1420" t="s">
        <v>843</v>
      </c>
      <c r="L56" s="1423" t="str">
        <f ca="1">IF(L48&lt;J51,"——",L48-J53)</f>
        <v>——</v>
      </c>
      <c r="O56" s="1417" t="s">
        <v>403</v>
      </c>
      <c r="P56" s="1418" t="s">
        <v>817</v>
      </c>
      <c r="Q56" s="1419">
        <f ca="1">C40+J29</f>
        <v>13857</v>
      </c>
      <c r="R56" s="1419" t="s">
        <v>818</v>
      </c>
    </row>
    <row r="57" spans="1:18" s="1383" customFormat="1" ht="24.75" thickBot="1">
      <c r="A57" s="1450"/>
      <c r="B57" s="949" t="s">
        <v>767</v>
      </c>
      <c r="C57" s="238">
        <f ca="1">C29</f>
        <v>17015</v>
      </c>
      <c r="D57" s="1451"/>
      <c r="E57" s="1452"/>
      <c r="F57" s="1453"/>
      <c r="I57" s="1454" t="s">
        <v>844</v>
      </c>
      <c r="J57" s="1455">
        <f ca="1">IF(OR(M47="住宅",J51&lt;L48,J56="是"),"——",J51-L48)</f>
        <v>23.89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50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6806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1375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1.82</v>
      </c>
      <c r="D62" s="964" t="s">
        <v>786</v>
      </c>
      <c r="E62" s="949" t="s">
        <v>787</v>
      </c>
      <c r="F62" s="325">
        <f t="shared" si="0"/>
        <v>1.5</v>
      </c>
      <c r="I62" s="1461" t="s">
        <v>858</v>
      </c>
      <c r="J62" s="1462" t="s">
        <v>859</v>
      </c>
      <c r="K62" s="1462" t="s">
        <v>860</v>
      </c>
      <c r="L62" s="1462" t="s">
        <v>861</v>
      </c>
      <c r="M62" s="1463" t="s">
        <v>862</v>
      </c>
      <c r="O62" s="1417" t="s">
        <v>409</v>
      </c>
      <c r="P62" s="1418" t="s">
        <v>863</v>
      </c>
      <c r="Q62" s="1419">
        <f ca="1">Q56+Q57</f>
        <v>13857</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34.03</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13.78</v>
      </c>
      <c r="D65" s="963" t="s">
        <v>743</v>
      </c>
      <c r="E65" s="949" t="s">
        <v>744</v>
      </c>
      <c r="F65" s="330">
        <f t="shared" ca="1" si="0"/>
        <v>1E-3</v>
      </c>
      <c r="I65" s="1461" t="s">
        <v>867</v>
      </c>
      <c r="J65" s="1462">
        <v>40</v>
      </c>
      <c r="K65" s="1462">
        <v>30</v>
      </c>
      <c r="L65" s="1462">
        <v>50</v>
      </c>
      <c r="M65" s="1464">
        <v>0.02</v>
      </c>
      <c r="O65" s="1417" t="s">
        <v>403</v>
      </c>
      <c r="P65" s="1418" t="s">
        <v>868</v>
      </c>
      <c r="Q65" s="1419">
        <f ca="1">C40+J29</f>
        <v>13857</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-50</v>
      </c>
      <c r="D67" s="962" t="s">
        <v>753</v>
      </c>
      <c r="E67" s="967"/>
      <c r="F67" s="968"/>
      <c r="O67" s="1427" t="s">
        <v>405</v>
      </c>
      <c r="P67" s="1418" t="s">
        <v>850</v>
      </c>
      <c r="Q67" s="1465">
        <f ca="1">L51</f>
        <v>2454</v>
      </c>
      <c r="R67" s="1419" t="s">
        <v>870</v>
      </c>
    </row>
    <row r="68" spans="1:18" s="1383" customFormat="1" ht="16.5" thickBot="1">
      <c r="A68" s="946" t="s">
        <v>395</v>
      </c>
      <c r="B68" s="947" t="s">
        <v>774</v>
      </c>
      <c r="C68" s="301">
        <f ca="1">ROUND(C67*(1-((1+F70)/(1+F68))^F69)/(F68-F70),0)</f>
        <v>-358</v>
      </c>
      <c r="D68" s="964" t="s">
        <v>758</v>
      </c>
      <c r="E68" s="949" t="s">
        <v>759</v>
      </c>
      <c r="F68" s="312">
        <f ca="1">F40</f>
        <v>0.06</v>
      </c>
      <c r="O68" s="1427" t="s">
        <v>406</v>
      </c>
      <c r="P68" s="1466" t="s">
        <v>871</v>
      </c>
      <c r="Q68" s="1419">
        <f ca="1">ROUND(Q69-Q70*Q71,0)</f>
        <v>137</v>
      </c>
      <c r="R68" s="1419" t="s">
        <v>414</v>
      </c>
    </row>
    <row r="69" spans="1:18" s="1383" customFormat="1" ht="13.5" thickBot="1">
      <c r="A69" s="950"/>
      <c r="B69" s="951"/>
      <c r="C69" s="306"/>
      <c r="D69" s="969" t="s">
        <v>762</v>
      </c>
      <c r="E69" s="949" t="s">
        <v>763</v>
      </c>
      <c r="F69" s="333">
        <f ca="1">F41</f>
        <v>9.6300000000000008</v>
      </c>
      <c r="O69" s="1427" t="s">
        <v>411</v>
      </c>
      <c r="P69" s="1466" t="s">
        <v>872</v>
      </c>
      <c r="Q69" s="1419">
        <f ca="1">C39</f>
        <v>1102</v>
      </c>
      <c r="R69" s="1419" t="s">
        <v>818</v>
      </c>
    </row>
    <row r="70" spans="1:18" s="1383" customFormat="1" ht="13.5" thickBot="1">
      <c r="A70" s="953"/>
      <c r="B70" s="954"/>
      <c r="C70" s="310"/>
      <c r="D70" s="965"/>
      <c r="E70" s="949" t="s">
        <v>766</v>
      </c>
      <c r="F70" s="1053"/>
      <c r="O70" s="1427" t="s">
        <v>412</v>
      </c>
      <c r="P70" s="1466" t="s">
        <v>873</v>
      </c>
      <c r="Q70" s="1419">
        <f ca="1">C13</f>
        <v>13782</v>
      </c>
      <c r="R70" s="1419" t="s">
        <v>818</v>
      </c>
    </row>
    <row r="71" spans="1:18" s="1383" customFormat="1" ht="13.5" thickBot="1">
      <c r="A71" s="970" t="s">
        <v>396</v>
      </c>
      <c r="B71" s="971" t="s">
        <v>776</v>
      </c>
      <c r="C71" s="336">
        <f ca="1">ROUND(C68*10000/F71,0)</f>
        <v>-160</v>
      </c>
      <c r="D71" s="972" t="s">
        <v>777</v>
      </c>
      <c r="E71" s="973" t="s">
        <v>778</v>
      </c>
      <c r="F71" s="339">
        <f ca="1">F43</f>
        <v>22383.91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965</v>
      </c>
      <c r="D75" s="1383"/>
      <c r="E75" s="1383"/>
      <c r="F75" s="1383"/>
      <c r="K75" s="1401"/>
      <c r="L75" s="1383"/>
      <c r="O75" s="1417" t="s">
        <v>409</v>
      </c>
      <c r="P75" s="1418" t="s">
        <v>838</v>
      </c>
      <c r="Q75" s="1419">
        <f ca="1">Q65+Q66</f>
        <v>13857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0.124</v>
      </c>
    </row>
    <row r="80" spans="1:18">
      <c r="B80" s="340" t="s">
        <v>800</v>
      </c>
      <c r="C80" s="274">
        <f ca="1">ROUND(C75/C39,3)</f>
        <v>0.876</v>
      </c>
    </row>
    <row r="81" spans="2:3">
      <c r="B81" s="270" t="s">
        <v>801</v>
      </c>
      <c r="C81" s="238"/>
    </row>
    <row r="82" spans="2:3">
      <c r="B82" s="273" t="s">
        <v>802</v>
      </c>
      <c r="C82" s="275">
        <f ca="1">1-C83</f>
        <v>-0.74700000000000011</v>
      </c>
    </row>
    <row r="83" spans="2:3">
      <c r="B83" s="273" t="s">
        <v>803</v>
      </c>
      <c r="C83" s="274">
        <f ca="1">ROUND(C13/C40,3)</f>
        <v>1.7470000000000001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3"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58" t="s">
        <v>1773</v>
      </c>
      <c r="W4" s="3658"/>
      <c r="X4" s="1354"/>
      <c r="Y4" s="3661" t="s">
        <v>1775</v>
      </c>
      <c r="Z4" s="3662"/>
      <c r="AA4" s="3655" t="s">
        <v>1771</v>
      </c>
      <c r="AB4" s="3658" t="s">
        <v>1772</v>
      </c>
      <c r="AC4" s="3655" t="s">
        <v>1773</v>
      </c>
    </row>
    <row r="5" spans="1:29" ht="15">
      <c r="A5" s="358"/>
      <c r="B5" s="359"/>
      <c r="C5" s="3667" t="s">
        <v>1673</v>
      </c>
      <c r="D5" s="3668"/>
      <c r="E5" s="3665" t="s">
        <v>1674</v>
      </c>
      <c r="F5" s="3666"/>
      <c r="G5" s="3667" t="s">
        <v>1675</v>
      </c>
      <c r="H5" s="3668"/>
      <c r="I5" s="3667" t="s">
        <v>1676</v>
      </c>
      <c r="J5" s="3668"/>
      <c r="K5" s="559"/>
      <c r="L5" s="2713"/>
      <c r="M5" s="2714"/>
      <c r="N5" s="2714"/>
      <c r="O5" s="2714"/>
      <c r="P5" s="3680"/>
      <c r="Q5" s="3681"/>
      <c r="R5" s="3663"/>
      <c r="S5" s="3664"/>
      <c r="T5" s="3663"/>
      <c r="U5" s="3664"/>
      <c r="V5" s="3658"/>
      <c r="W5" s="3658"/>
      <c r="X5" s="1354"/>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58"/>
      <c r="W6" s="3658"/>
      <c r="X6" s="1354"/>
      <c r="Y6" s="3684"/>
      <c r="Z6" s="3685"/>
      <c r="AA6" s="3657"/>
      <c r="AB6" s="3658"/>
      <c r="AC6" s="3657"/>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560"/>
      <c r="L8" s="2715"/>
      <c r="M8" s="2716"/>
      <c r="N8" s="2716"/>
      <c r="O8" s="2716"/>
      <c r="P8" s="3659" t="s">
        <v>1683</v>
      </c>
      <c r="Q8" s="3660"/>
      <c r="R8" s="700" t="s">
        <v>14</v>
      </c>
      <c r="S8" s="701">
        <f t="shared" si="0"/>
        <v>100</v>
      </c>
      <c r="T8" s="700" t="s">
        <v>14</v>
      </c>
      <c r="U8" s="701">
        <f t="shared" si="1"/>
        <v>100</v>
      </c>
      <c r="V8" s="700" t="s">
        <v>14</v>
      </c>
      <c r="W8" s="701">
        <f t="shared" si="2"/>
        <v>100</v>
      </c>
      <c r="X8" s="702"/>
      <c r="Y8" s="3659" t="s">
        <v>1683</v>
      </c>
      <c r="Z8" s="3660"/>
      <c r="AA8" s="703">
        <f t="shared" ref="AA8:AA46" si="3">D8/F8</f>
        <v>1</v>
      </c>
      <c r="AB8" s="703">
        <f t="shared" ref="AB8:AB46" si="4">D8/H8</f>
        <v>1</v>
      </c>
      <c r="AC8" s="703">
        <f t="shared" ref="AC8:AC46" si="5">D8/J8</f>
        <v>1</v>
      </c>
    </row>
    <row r="9" spans="1:29" s="108" customFormat="1">
      <c r="A9" s="369" t="s">
        <v>1684</v>
      </c>
      <c r="B9" s="63" t="s">
        <v>1685</v>
      </c>
      <c r="C9" s="3446"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3"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73"/>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3"/>
      <c r="Q11" s="1342" t="str">
        <f t="shared" si="6"/>
        <v>容积率</v>
      </c>
      <c r="R11" s="700" t="s">
        <v>14</v>
      </c>
      <c r="S11" s="701">
        <f t="shared" si="0"/>
        <v>100</v>
      </c>
      <c r="T11" s="700" t="s">
        <v>14</v>
      </c>
      <c r="U11" s="701">
        <f t="shared" si="1"/>
        <v>100</v>
      </c>
      <c r="V11" s="700" t="s">
        <v>14</v>
      </c>
      <c r="W11" s="701">
        <f t="shared" si="2"/>
        <v>100</v>
      </c>
      <c r="X11" s="702"/>
      <c r="Y11" s="362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2">
        <f t="shared" si="6"/>
        <v>111</v>
      </c>
      <c r="R14" s="700" t="s">
        <v>14</v>
      </c>
      <c r="S14" s="701">
        <f t="shared" si="0"/>
        <v>100</v>
      </c>
      <c r="T14" s="700" t="s">
        <v>14</v>
      </c>
      <c r="U14" s="701">
        <f t="shared" si="1"/>
        <v>100</v>
      </c>
      <c r="V14" s="700" t="s">
        <v>14</v>
      </c>
      <c r="W14" s="701">
        <f t="shared" si="2"/>
        <v>100</v>
      </c>
      <c r="X14" s="702"/>
      <c r="Y14" s="362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87" t="s">
        <v>1691</v>
      </c>
      <c r="Q15" s="1351" t="str">
        <f t="shared" si="6"/>
        <v>商业繁华度</v>
      </c>
      <c r="R15" s="704" t="s">
        <v>14</v>
      </c>
      <c r="S15" s="705">
        <f t="shared" si="0"/>
        <v>100</v>
      </c>
      <c r="T15" s="704" t="s">
        <v>14</v>
      </c>
      <c r="U15" s="705">
        <f t="shared" si="1"/>
        <v>100</v>
      </c>
      <c r="V15" s="704" t="s">
        <v>14</v>
      </c>
      <c r="W15" s="705">
        <f t="shared" si="2"/>
        <v>100</v>
      </c>
      <c r="X15" s="1354"/>
      <c r="Y15" s="3689"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0"/>
      <c r="M16" s="2714"/>
      <c r="N16" s="2714"/>
      <c r="O16" s="2714"/>
      <c r="P16" s="3688"/>
      <c r="Q16" s="1351"/>
      <c r="R16" s="704"/>
      <c r="S16" s="705"/>
      <c r="T16" s="704"/>
      <c r="U16" s="705"/>
      <c r="V16" s="704"/>
      <c r="W16" s="705"/>
      <c r="X16" s="1354"/>
      <c r="Y16" s="369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0"/>
      <c r="M18" s="2714"/>
      <c r="N18" s="2714"/>
      <c r="O18" s="2714"/>
      <c r="P18" s="3688"/>
      <c r="Q18" s="1351"/>
      <c r="R18" s="704"/>
      <c r="S18" s="705"/>
      <c r="T18" s="704"/>
      <c r="U18" s="705"/>
      <c r="V18" s="704"/>
      <c r="W18" s="705"/>
      <c r="X18" s="1354"/>
      <c r="Y18" s="369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0"/>
      <c r="M20" s="2714"/>
      <c r="N20" s="2714"/>
      <c r="O20" s="2714"/>
      <c r="P20" s="3688"/>
      <c r="Q20" s="1351"/>
      <c r="R20" s="704"/>
      <c r="S20" s="705"/>
      <c r="T20" s="704"/>
      <c r="U20" s="705"/>
      <c r="V20" s="704"/>
      <c r="W20" s="705"/>
      <c r="X20" s="1354"/>
      <c r="Y20" s="369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0"/>
      <c r="M22" s="2714"/>
      <c r="N22" s="2714"/>
      <c r="O22" s="2714"/>
      <c r="P22" s="3688"/>
      <c r="Q22" s="1351"/>
      <c r="R22" s="704"/>
      <c r="S22" s="705"/>
      <c r="T22" s="704"/>
      <c r="U22" s="705"/>
      <c r="V22" s="704"/>
      <c r="W22" s="705"/>
      <c r="X22" s="1354"/>
      <c r="Y22" s="369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8"/>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0"/>
      <c r="M24" s="2714"/>
      <c r="N24" s="2714"/>
      <c r="O24" s="2714"/>
      <c r="P24" s="3688"/>
      <c r="Q24" s="1351"/>
      <c r="R24" s="704"/>
      <c r="S24" s="705"/>
      <c r="T24" s="704"/>
      <c r="U24" s="705"/>
      <c r="V24" s="704"/>
      <c r="W24" s="705"/>
      <c r="X24" s="1354"/>
      <c r="Y24" s="3690"/>
      <c r="Z24" s="1355"/>
      <c r="AA24" s="1352">
        <v>1</v>
      </c>
      <c r="AB24" s="1352">
        <v>1</v>
      </c>
      <c r="AC24" s="1352">
        <v>1</v>
      </c>
    </row>
    <row r="25" spans="1:29" ht="15">
      <c r="A25" s="379"/>
      <c r="B25" s="375" t="s">
        <v>1780</v>
      </c>
      <c r="C25" s="565" t="s">
        <v>3442</v>
      </c>
      <c r="D25" s="386">
        <v>100</v>
      </c>
      <c r="E25" s="565" t="s">
        <v>3401</v>
      </c>
      <c r="F25" s="412">
        <f>SUMIF(86:86,E25,87:87)-SUMIF(86:86,C25,87:87)+100</f>
        <v>100</v>
      </c>
      <c r="G25" s="565" t="s">
        <v>3401</v>
      </c>
      <c r="H25" s="386">
        <f>SUMIF(86:86,G25,87:87)-SUMIF(86:86,C25,87:87)+100</f>
        <v>100</v>
      </c>
      <c r="I25" s="565" t="s">
        <v>3401</v>
      </c>
      <c r="J25" s="386">
        <f>SUMIF(86:86,I25,87:87)-SUMIF(86:86,C25,87:87)+100</f>
        <v>100</v>
      </c>
      <c r="K25" s="3451">
        <v>0</v>
      </c>
      <c r="L25" s="2720"/>
      <c r="M25" s="2714"/>
      <c r="N25" s="2714"/>
      <c r="O25" s="2714"/>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t="s">
        <v>3405</v>
      </c>
      <c r="D27" s="413">
        <v>100</v>
      </c>
      <c r="E27" s="1955" t="s">
        <v>3405</v>
      </c>
      <c r="F27" s="415">
        <f>SUMIF(90:90,E27,91:91)-SUMIF(90:90,C27,91:91)+100</f>
        <v>100</v>
      </c>
      <c r="G27" s="1955" t="s">
        <v>3405</v>
      </c>
      <c r="H27" s="413">
        <f>SUMIF(90:90,G27,91:91)-SUMIF(90:90,C27,91:91)+100</f>
        <v>100</v>
      </c>
      <c r="I27" s="1955" t="s">
        <v>3405</v>
      </c>
      <c r="J27" s="413">
        <f>SUMIF(90:90,I27,91:91)-SUMIF(90:90,C27,91:91)+100</f>
        <v>100</v>
      </c>
      <c r="K27" s="3451">
        <v>0</v>
      </c>
      <c r="L27" s="2715"/>
      <c r="M27" s="2716"/>
      <c r="N27" s="2716"/>
      <c r="O27" s="2716"/>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1783</v>
      </c>
      <c r="C28" s="565" t="s">
        <v>3434</v>
      </c>
      <c r="D28" s="386">
        <v>100</v>
      </c>
      <c r="E28" s="565" t="s">
        <v>3434</v>
      </c>
      <c r="F28" s="412">
        <f>SUMIF(92:92,E28,93:93)-SUMIF(92:92,C28,93:93)+100</f>
        <v>100</v>
      </c>
      <c r="G28" s="565" t="s">
        <v>3434</v>
      </c>
      <c r="H28" s="386">
        <f>SUMIF(92:92,G28,93:93)-SUMIF(92:92,C28,93:93)+100</f>
        <v>100</v>
      </c>
      <c r="I28" s="565" t="s">
        <v>3434</v>
      </c>
      <c r="J28" s="386">
        <f>SUMIF(92:92,I28,93:93)-SUMIF(92:92,C28,93:93)+100</f>
        <v>100</v>
      </c>
      <c r="K28" s="562"/>
      <c r="L28" s="2720"/>
      <c r="M28" s="2714"/>
      <c r="N28" s="2714"/>
      <c r="O28" s="2714"/>
      <c r="P28" s="368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1">
        <f t="shared" si="11"/>
        <v>111</v>
      </c>
      <c r="R29" s="704" t="s">
        <v>14</v>
      </c>
      <c r="S29" s="705">
        <f t="shared" si="12"/>
        <v>100</v>
      </c>
      <c r="T29" s="704" t="s">
        <v>14</v>
      </c>
      <c r="U29" s="705">
        <f t="shared" si="13"/>
        <v>100</v>
      </c>
      <c r="V29" s="704" t="s">
        <v>14</v>
      </c>
      <c r="W29" s="705">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t="s">
        <v>3422</v>
      </c>
      <c r="D32" s="418">
        <v>100</v>
      </c>
      <c r="E32" s="1909" t="s">
        <v>3437</v>
      </c>
      <c r="F32" s="412">
        <f>SUMIF(100:100,E32,101:101)-SUMIF(100:100,C32,101:101)+100</f>
        <v>100</v>
      </c>
      <c r="G32" s="1909" t="s">
        <v>3437</v>
      </c>
      <c r="H32" s="386">
        <f>SUMIF(100:100,G32,101:101)-SUMIF(100:100,C32,101:101)+100</f>
        <v>100</v>
      </c>
      <c r="I32" s="1909" t="s">
        <v>3422</v>
      </c>
      <c r="J32" s="418">
        <f>SUMIF(100:100,I32,101:101)-SUMIF(100:100,C32,101:101)+100</f>
        <v>100</v>
      </c>
      <c r="K32" s="561">
        <v>0</v>
      </c>
      <c r="L32" s="2720"/>
      <c r="M32" s="2714"/>
      <c r="N32" s="2714"/>
      <c r="O32" s="2714"/>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92"/>
      <c r="Q33" s="706" t="str">
        <f t="shared" si="11"/>
        <v>项目建筑规模</v>
      </c>
      <c r="R33" s="707" t="s">
        <v>14</v>
      </c>
      <c r="S33" s="708">
        <f t="shared" si="12"/>
        <v>100</v>
      </c>
      <c r="T33" s="707" t="s">
        <v>14</v>
      </c>
      <c r="U33" s="708">
        <f t="shared" si="13"/>
        <v>100</v>
      </c>
      <c r="V33" s="707" t="s">
        <v>14</v>
      </c>
      <c r="W33" s="708">
        <f t="shared" si="14"/>
        <v>100</v>
      </c>
      <c r="X33" s="709"/>
      <c r="Y33" s="3694"/>
      <c r="Z33" s="710" t="str">
        <f t="shared" si="15"/>
        <v>项目建筑规模</v>
      </c>
      <c r="AA33" s="1352">
        <f t="shared" si="3"/>
        <v>1</v>
      </c>
      <c r="AB33" s="1352">
        <f t="shared" si="4"/>
        <v>1</v>
      </c>
      <c r="AC33" s="1352">
        <f t="shared" si="5"/>
        <v>1</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0"/>
      <c r="M34" s="2714"/>
      <c r="N34" s="2714"/>
      <c r="O34" s="2714"/>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f>'数据-取费表'!N6</f>
        <v>0.81</v>
      </c>
      <c r="D36" s="386">
        <v>100</v>
      </c>
      <c r="E36" s="425">
        <f>C36</f>
        <v>0.81</v>
      </c>
      <c r="F36" s="412">
        <f>LOOKUP(E36,110:110,111:111)-LOOKUP(C36,110:110,111:111)+100</f>
        <v>100</v>
      </c>
      <c r="G36" s="425">
        <f>E36</f>
        <v>0.81</v>
      </c>
      <c r="H36" s="412">
        <f>LOOKUP(G36,110:110,111:111)-LOOKUP(C36,110:110,111:111)+100</f>
        <v>100</v>
      </c>
      <c r="I36" s="425">
        <f>G36</f>
        <v>0.81</v>
      </c>
      <c r="J36" s="386">
        <f>LOOKUP(I36,110:110,111:111)-LOOKUP(C36,110:110,111:111)+100</f>
        <v>100</v>
      </c>
      <c r="K36" s="561">
        <v>1</v>
      </c>
      <c r="L36" s="2720"/>
      <c r="M36" s="2714"/>
      <c r="N36" s="2714"/>
      <c r="O36" s="2714"/>
      <c r="P36" s="3692"/>
      <c r="Q36" s="1351" t="str">
        <f t="shared" si="11"/>
        <v>成新度</v>
      </c>
      <c r="R36" s="704" t="s">
        <v>14</v>
      </c>
      <c r="S36" s="705">
        <f t="shared" si="12"/>
        <v>100</v>
      </c>
      <c r="T36" s="704" t="s">
        <v>14</v>
      </c>
      <c r="U36" s="705">
        <f t="shared" si="13"/>
        <v>100</v>
      </c>
      <c r="V36" s="704" t="s">
        <v>14</v>
      </c>
      <c r="W36" s="705">
        <f t="shared" si="14"/>
        <v>100</v>
      </c>
      <c r="X36" s="1354"/>
      <c r="Y36" s="3694"/>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3413</v>
      </c>
      <c r="F37" s="412">
        <f>SUMIF(112:112,E37,113:113)-SUMIF(112:112,C37,113:113)+100</f>
        <v>100</v>
      </c>
      <c r="G37" s="1905" t="s">
        <v>3414</v>
      </c>
      <c r="H37" s="386">
        <f>SUMIF(112:112,G37,113:113)-SUMIF(112:112,C37,113:113)+100</f>
        <v>100</v>
      </c>
      <c r="I37" s="1905" t="s">
        <v>3413</v>
      </c>
      <c r="J37" s="386">
        <f>SUMIF(112:112,I37,113:113)-SUMIF(112:112,C37,113:113)+100</f>
        <v>100</v>
      </c>
      <c r="K37" s="561">
        <v>0</v>
      </c>
      <c r="L37" s="2715"/>
      <c r="M37" s="2716"/>
      <c r="N37" s="2716"/>
      <c r="O37" s="2716"/>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3418</v>
      </c>
      <c r="F38" s="412">
        <f>SUMIF(114:114,E38,115:115)-SUMIF(114:114,C38,115:115)+100</f>
        <v>100</v>
      </c>
      <c r="G38" s="1905" t="s">
        <v>3420</v>
      </c>
      <c r="H38" s="386">
        <f>SUMIF(114:114,G38,115:115)-SUMIF(114:114,C38,115:115)+100</f>
        <v>100</v>
      </c>
      <c r="I38" s="1905" t="s">
        <v>3418</v>
      </c>
      <c r="J38" s="386">
        <f>SUMIF(114:114,I38,115:115)-SUMIF(114:114,C38,115:115)+100</f>
        <v>100</v>
      </c>
      <c r="K38" s="561">
        <v>0</v>
      </c>
      <c r="L38" s="2720"/>
      <c r="M38" s="2714"/>
      <c r="N38" s="2714"/>
      <c r="O38" s="2714"/>
      <c r="P38" s="3692" t="s">
        <v>1696</v>
      </c>
      <c r="Q38" s="1351" t="str">
        <f t="shared" si="11"/>
        <v>业态</v>
      </c>
      <c r="R38" s="704" t="s">
        <v>14</v>
      </c>
      <c r="S38" s="705">
        <f t="shared" si="12"/>
        <v>100</v>
      </c>
      <c r="T38" s="704" t="s">
        <v>14</v>
      </c>
      <c r="U38" s="705">
        <f t="shared" si="13"/>
        <v>100</v>
      </c>
      <c r="V38" s="704" t="s">
        <v>14</v>
      </c>
      <c r="W38" s="705">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t="s">
        <v>3425</v>
      </c>
      <c r="D39" s="386">
        <v>100</v>
      </c>
      <c r="E39" s="1905" t="s">
        <v>3425</v>
      </c>
      <c r="F39" s="412">
        <f>SUMIF(116:116,E39,117:117)-SUMIF(116:116,C39,117:117)+100</f>
        <v>100</v>
      </c>
      <c r="G39" s="1905" t="s">
        <v>3425</v>
      </c>
      <c r="H39" s="386">
        <f>SUMIF(116:116,G39,117:117)-SUMIF(116:116,C39,117:117)+100</f>
        <v>100</v>
      </c>
      <c r="I39" s="1905" t="s">
        <v>3425</v>
      </c>
      <c r="J39" s="386">
        <f>SUMIF(116:116,I39,117:117)-SUMIF(116:116,C39,117:117)+100</f>
        <v>100</v>
      </c>
      <c r="K39" s="561">
        <v>2</v>
      </c>
      <c r="L39" s="2720"/>
      <c r="M39" s="2714"/>
      <c r="N39" s="2714"/>
      <c r="O39" s="2714"/>
      <c r="P39" s="3692"/>
      <c r="Q39" s="1351" t="str">
        <f t="shared" si="11"/>
        <v>层高</v>
      </c>
      <c r="R39" s="704" t="s">
        <v>14</v>
      </c>
      <c r="S39" s="705">
        <f t="shared" si="12"/>
        <v>100</v>
      </c>
      <c r="T39" s="704" t="s">
        <v>14</v>
      </c>
      <c r="U39" s="705">
        <f t="shared" si="13"/>
        <v>100</v>
      </c>
      <c r="V39" s="704" t="s">
        <v>14</v>
      </c>
      <c r="W39" s="705">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2</v>
      </c>
      <c r="L42" s="2720"/>
      <c r="M42" s="2714"/>
      <c r="N42" s="2714"/>
      <c r="O42" s="2714"/>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0"/>
      <c r="M43" s="2714"/>
      <c r="N43" s="2714"/>
      <c r="O43" s="2714"/>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2">
        <f t="shared" si="11"/>
        <v>111</v>
      </c>
      <c r="R44" s="700" t="s">
        <v>14</v>
      </c>
      <c r="S44" s="701">
        <f t="shared" si="12"/>
        <v>100</v>
      </c>
      <c r="T44" s="700" t="s">
        <v>14</v>
      </c>
      <c r="U44" s="701">
        <f t="shared" si="13"/>
        <v>100</v>
      </c>
      <c r="V44" s="700" t="s">
        <v>14</v>
      </c>
      <c r="W44" s="701">
        <f t="shared" si="14"/>
        <v>100</v>
      </c>
      <c r="X44" s="702"/>
      <c r="Y44" s="369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96" t="str">
        <f>A47</f>
        <v>成交单价（元/平方米）</v>
      </c>
      <c r="Q47" s="3696"/>
      <c r="R47" s="3658">
        <f>E47</f>
        <v>30000</v>
      </c>
      <c r="S47" s="3658"/>
      <c r="T47" s="3658">
        <f>G47</f>
        <v>30000</v>
      </c>
      <c r="U47" s="3658"/>
      <c r="V47" s="3658">
        <f>I47</f>
        <v>30000</v>
      </c>
      <c r="W47" s="3658"/>
      <c r="X47" s="689"/>
      <c r="Y47" s="711"/>
      <c r="Z47" s="689"/>
      <c r="AA47" s="689"/>
      <c r="AB47" s="689"/>
      <c r="AC47" s="689"/>
    </row>
    <row r="48" spans="1:29" ht="15.75" thickBot="1">
      <c r="A48" s="437" t="s">
        <v>1793</v>
      </c>
      <c r="B48" s="438"/>
      <c r="C48" s="1159">
        <f>R49</f>
        <v>30000</v>
      </c>
      <c r="D48" s="2316" t="s">
        <v>2138</v>
      </c>
      <c r="E48" s="1160">
        <f>R48</f>
        <v>30000</v>
      </c>
      <c r="F48" s="2317"/>
      <c r="G48" s="1159">
        <f>T48</f>
        <v>30000</v>
      </c>
      <c r="H48" s="2317"/>
      <c r="I48" s="1160">
        <f>V48</f>
        <v>30000</v>
      </c>
      <c r="J48" s="2317"/>
      <c r="K48" s="2319">
        <f>F48+H48+J48</f>
        <v>0</v>
      </c>
      <c r="L48" s="2722"/>
      <c r="M48" s="2723"/>
      <c r="N48" s="2714"/>
      <c r="O48" s="2723"/>
      <c r="P48" s="3696" t="str">
        <f>A48</f>
        <v>比较价值（元/平方米）</v>
      </c>
      <c r="Q48" s="3696"/>
      <c r="R48" s="3697">
        <f>IF(F1="售价",ROUND(PRODUCT(R47,AA7:AA46),0),ROUND(PRODUCT(R47,AA7:AA46),1))</f>
        <v>30000</v>
      </c>
      <c r="S48" s="3697"/>
      <c r="T48" s="3697">
        <f>IF(F1="售价",ROUND(PRODUCT(T47,AB7:AB46),0),ROUND(PRODUCT(T47,AB7:AB46),1))</f>
        <v>30000</v>
      </c>
      <c r="U48" s="3697"/>
      <c r="V48" s="3697">
        <f>IF(F1="售价",ROUND(PRODUCT(V47,AC7:AC46),0),ROUND(PRODUCT(V47,AC7:AC46),1))</f>
        <v>30000</v>
      </c>
      <c r="W48" s="3697"/>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2"/>
      <c r="M49" s="2723"/>
      <c r="N49" s="2714"/>
      <c r="O49" s="2723"/>
      <c r="P49" s="3698" t="str">
        <f>A49</f>
        <v>估价对象XX用房的比较价值（楼面单价，元/平方米）</v>
      </c>
      <c r="Q49" s="3699"/>
      <c r="R49" s="3700">
        <f>IF(F1="售价",ROUND(IF(D48="简单平均",AVERAGE(R48:V48),R48*F48+T48*H48+V48*J48),0),ROUND(IF(D48="简单平均",AVERAGE(R48:V48),R48*F48+T48*H48+V48*J48),1))</f>
        <v>30000</v>
      </c>
      <c r="S49" s="3700"/>
      <c r="T49" s="3700"/>
      <c r="U49" s="3700"/>
      <c r="V49" s="3700"/>
      <c r="W49" s="370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9"/>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7" t="s">
        <v>3400</v>
      </c>
      <c r="D86" s="3447" t="s">
        <v>3402</v>
      </c>
      <c r="E86" s="3447" t="s">
        <v>3403</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3431</v>
      </c>
      <c r="D92" s="503" t="s">
        <v>3432</v>
      </c>
      <c r="E92" s="503" t="s">
        <v>3433</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3409</v>
      </c>
      <c r="D100" s="3448" t="s">
        <v>3410</v>
      </c>
      <c r="E100" s="3448" t="s">
        <v>3423</v>
      </c>
      <c r="F100" s="3448" t="s">
        <v>3438</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7" t="s">
        <v>3412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7" t="s">
        <v>3419</v>
      </c>
      <c r="D114" s="3447" t="s">
        <v>3421</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7" t="s">
        <v>3424</v>
      </c>
      <c r="D116" s="3447" t="s">
        <v>3426</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7" t="s">
        <v>3428</v>
      </c>
      <c r="D122" s="3447" t="s">
        <v>3429</v>
      </c>
      <c r="E122" s="3447" t="s">
        <v>3430</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39189.387900000002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17508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183884141</v>
      </c>
      <c r="D5" s="211" t="s">
        <v>1469</v>
      </c>
      <c r="E5" s="212" t="s">
        <v>1470</v>
      </c>
      <c r="F5" s="212" t="s">
        <v>1471</v>
      </c>
      <c r="G5" s="213"/>
    </row>
    <row r="6" spans="1:8" s="214" customFormat="1" ht="13.5" customHeight="1">
      <c r="A6" s="777" t="s">
        <v>1472</v>
      </c>
      <c r="B6" s="215" t="s">
        <v>1473</v>
      </c>
      <c r="C6" s="216">
        <f>ROUND(基准地价修正!C33*基准地价修正!D33,0)</f>
        <v>174097389</v>
      </c>
      <c r="D6" s="217"/>
      <c r="E6" s="218"/>
      <c r="F6" s="218"/>
      <c r="G6" s="219"/>
    </row>
    <row r="7" spans="1:8" s="214" customFormat="1" ht="13.5" customHeight="1">
      <c r="A7" s="777" t="s">
        <v>1474</v>
      </c>
      <c r="B7" s="215" t="s">
        <v>1475</v>
      </c>
      <c r="C7" s="220">
        <f>ROUND(C6*F7,0)</f>
        <v>5309970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4476782</v>
      </c>
      <c r="D8" s="222"/>
      <c r="E8" s="220"/>
      <c r="F8" s="221"/>
      <c r="G8" s="1855"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4476782</v>
      </c>
      <c r="D10" s="844">
        <f ca="1">IF(B1="",'数据-汇总表'!E6,IF(INDIRECT("'数据-取费表'!c"&amp;$G$1)="住宅",INDIRECT("'数据-取费表'!s"&amp;$G$1),INDIRECT("'数据-取费表'!k"&amp;$G$1)+INDIRECT("'数据-取费表'!s"&amp;$G$1)))</f>
        <v>22383.909999999996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22383.909999999996</v>
      </c>
      <c r="E19" s="211">
        <f>'数据-取费表'!B31</f>
        <v>200</v>
      </c>
      <c r="F19" s="231"/>
      <c r="G19" s="1855" t="s">
        <v>3440</v>
      </c>
    </row>
    <row r="20" spans="1:7" s="214" customFormat="1" ht="13.5" customHeight="1">
      <c r="A20" s="255" t="s">
        <v>1574</v>
      </c>
      <c r="B20" s="210" t="s">
        <v>1575</v>
      </c>
      <c r="C20" s="232">
        <f ca="1">ROUND((C5+C19)*F20,0)</f>
        <v>3677683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13033754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12906874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126880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33761128</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33761128</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254072752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126692931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116396332</v>
      </c>
      <c r="D34" s="217"/>
      <c r="E34" s="220"/>
      <c r="F34" s="257"/>
      <c r="G34" s="219"/>
    </row>
    <row r="35" spans="1:7" ht="13.5" customHeight="1">
      <c r="A35" s="779" t="s">
        <v>351</v>
      </c>
      <c r="B35" s="215" t="s">
        <v>1527</v>
      </c>
      <c r="C35" s="220">
        <f ca="1">ROUND(C34*F35,0)</f>
        <v>3491890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4476782</v>
      </c>
      <c r="D37" s="217">
        <f ca="1">D19</f>
        <v>22383.909999999996</v>
      </c>
      <c r="E37" s="249">
        <f>'数据-取费表'!B35</f>
        <v>200</v>
      </c>
      <c r="F37" s="259"/>
      <c r="G37" s="261"/>
    </row>
    <row r="38" spans="1:7" ht="13.5" customHeight="1">
      <c r="A38" s="779" t="s">
        <v>354</v>
      </c>
      <c r="B38" s="215" t="s">
        <v>1533</v>
      </c>
      <c r="C38" s="220">
        <f ca="1">ROUND(C34*F38,0)</f>
        <v>2327927</v>
      </c>
      <c r="D38" s="220"/>
      <c r="E38" s="220"/>
      <c r="F38" s="259">
        <f>'数据-取费表'!B36</f>
        <v>0.02</v>
      </c>
      <c r="G38" s="219" t="s">
        <v>1528</v>
      </c>
    </row>
    <row r="39" spans="1:7" s="214" customFormat="1" ht="13.5" customHeight="1">
      <c r="A39" s="255" t="s">
        <v>1534</v>
      </c>
      <c r="B39" s="210" t="s">
        <v>1535</v>
      </c>
      <c r="C39" s="232">
        <f ca="1">ROUND(C33*F20,0)</f>
        <v>2533859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4458324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4370906</v>
      </c>
      <c r="D42" s="238"/>
      <c r="E42" s="238"/>
      <c r="F42" s="239"/>
      <c r="G42" s="3647" t="s">
        <v>1591</v>
      </c>
    </row>
    <row r="43" spans="1:7" ht="13.5" customHeight="1">
      <c r="A43" s="779" t="s">
        <v>347</v>
      </c>
      <c r="B43" s="215" t="s">
        <v>1545</v>
      </c>
      <c r="C43" s="238">
        <f ca="1">ROUND(IF('数据-取费表'!B22&lt;=1,C39*F22*'数据-取费表'!B20/2,C39*(POWER((1+F22),'数据-取费表'!B20/2)-1)),0)</f>
        <v>87418</v>
      </c>
      <c r="D43" s="238"/>
      <c r="E43" s="238"/>
      <c r="F43" s="239"/>
      <c r="G43" s="3648"/>
    </row>
    <row r="44" spans="1:7" ht="13.5" customHeight="1">
      <c r="A44" s="779"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23260822</v>
      </c>
      <c r="D45" s="235">
        <f ca="1">C47</f>
        <v>3.5999999999999999E-3</v>
      </c>
      <c r="E45" s="236" t="s">
        <v>1539</v>
      </c>
      <c r="F45" s="246">
        <f ca="1">F27</f>
        <v>0.18</v>
      </c>
      <c r="G45" s="247" t="s">
        <v>1548</v>
      </c>
    </row>
    <row r="46" spans="1:7" s="214" customFormat="1" ht="13.5" customHeight="1">
      <c r="A46" s="779" t="s">
        <v>346</v>
      </c>
      <c r="B46" s="248" t="s">
        <v>1549</v>
      </c>
      <c r="C46" s="249">
        <f ca="1">ROUND((C33+C39)*F27,0)</f>
        <v>23260822</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170149540</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137821127</v>
      </c>
      <c r="D51" s="232"/>
      <c r="E51" s="232"/>
      <c r="F51" s="264"/>
      <c r="G51" s="234" t="s">
        <v>1560</v>
      </c>
    </row>
    <row r="52" spans="1:7" s="208" customFormat="1" ht="16.5" thickBot="1">
      <c r="A52" s="265" t="s">
        <v>1561</v>
      </c>
      <c r="B52" s="266"/>
      <c r="C52" s="267">
        <f ca="1">C31+C51</f>
        <v>391893879</v>
      </c>
      <c r="D52" s="266"/>
      <c r="E52" s="266"/>
      <c r="F52" s="266"/>
      <c r="G52" s="268"/>
    </row>
    <row r="55" spans="1:7" ht="15">
      <c r="B55" s="270" t="s">
        <v>1562</v>
      </c>
      <c r="C55" s="271"/>
    </row>
    <row r="56" spans="1:7">
      <c r="B56" s="273" t="s">
        <v>802</v>
      </c>
      <c r="C56" s="275">
        <f ca="1">1-C57</f>
        <v>0.64800000000000002</v>
      </c>
    </row>
    <row r="57" spans="1:7">
      <c r="B57" s="273" t="s">
        <v>803</v>
      </c>
      <c r="C57" s="274">
        <f ca="1">ROUND(C51/C52,3)</f>
        <v>0.35199999999999998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22.11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15245.320299999999</v>
      </c>
      <c r="C2" s="1386" t="s">
        <v>879</v>
      </c>
      <c r="D2" s="1470">
        <f ca="1">C40+J29+L46</f>
        <v>152453203</v>
      </c>
      <c r="E2" s="1387" t="s">
        <v>880</v>
      </c>
      <c r="F2" s="1388"/>
      <c r="G2" s="2704"/>
      <c r="H2" s="2693"/>
      <c r="I2" s="2693"/>
      <c r="J2" s="2693"/>
      <c r="K2" s="2694"/>
      <c r="L2" s="2693"/>
      <c r="M2" s="2693"/>
    </row>
    <row r="3" spans="1:37" ht="18" customHeight="1" thickBot="1">
      <c r="A3" s="1389" t="s">
        <v>881</v>
      </c>
      <c r="B3" s="1390">
        <f ca="1">IF(ISERROR(D2/F43),0,ROUND(D2/F43,0))</f>
        <v>6811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14017500</v>
      </c>
      <c r="D5" s="1363" t="s">
        <v>889</v>
      </c>
      <c r="E5" s="1070"/>
      <c r="F5" s="1071"/>
      <c r="G5" s="1383"/>
      <c r="H5" s="299">
        <v>1</v>
      </c>
      <c r="I5" s="300" t="s">
        <v>888</v>
      </c>
      <c r="J5" s="1069">
        <f ca="1">J6+J10+J12</f>
        <v>15359839</v>
      </c>
      <c r="K5" s="1363" t="s">
        <v>889</v>
      </c>
      <c r="L5" s="1070"/>
      <c r="M5" s="1071"/>
    </row>
    <row r="6" spans="1:37" ht="18" customHeight="1">
      <c r="A6" s="1068" t="s">
        <v>398</v>
      </c>
      <c r="B6" s="3652" t="s">
        <v>694</v>
      </c>
      <c r="C6" s="1073">
        <f ca="1">ROUND(F6*F8*F7*(1-F9),0)</f>
        <v>14000000</v>
      </c>
      <c r="D6" s="155" t="s">
        <v>2106</v>
      </c>
      <c r="E6" s="302" t="s">
        <v>696</v>
      </c>
      <c r="F6" s="303">
        <f ca="1">INDIRECT("'数据-取费表'!u"&amp;$G$1)</f>
        <v>1.7135596231204309</v>
      </c>
      <c r="G6" s="1383"/>
      <c r="H6" s="1068" t="s">
        <v>398</v>
      </c>
      <c r="I6" s="3652" t="s">
        <v>694</v>
      </c>
      <c r="J6" s="301">
        <f ca="1">ROUND(M6*M8*M7*(1-M9),0)</f>
        <v>15359839</v>
      </c>
      <c r="K6" s="1375" t="s">
        <v>2107</v>
      </c>
      <c r="L6" s="302" t="s">
        <v>696</v>
      </c>
      <c r="M6" s="303">
        <f ca="1">INDIRECT("'数据-取费表'!z"&amp;$G$1)</f>
        <v>1.88</v>
      </c>
    </row>
    <row r="7" spans="1:37" ht="18" customHeight="1">
      <c r="A7" s="1072"/>
      <c r="B7" s="3653"/>
      <c r="C7" s="1074"/>
      <c r="D7" s="307"/>
      <c r="E7" s="1075" t="s">
        <v>697</v>
      </c>
      <c r="F7" s="303">
        <f ca="1">IF(INDIRECT("'数据-取费表'!ah"&amp;$G$1)="",INDIRECT("'数据-取费表'!k"&amp;$G$1),INDIRECT("'数据-取费表'!ah"&amp;$G$1))</f>
        <v>22383.91</v>
      </c>
      <c r="G7" s="1383"/>
      <c r="H7" s="304"/>
      <c r="I7" s="3653"/>
      <c r="J7" s="306"/>
      <c r="K7" s="307"/>
      <c r="L7" s="302" t="s">
        <v>697</v>
      </c>
      <c r="M7" s="303">
        <f ca="1">F7</f>
        <v>22383.91</v>
      </c>
    </row>
    <row r="8" spans="1:37" ht="18" customHeight="1">
      <c r="A8" s="304"/>
      <c r="B8" s="3653"/>
      <c r="C8" s="306"/>
      <c r="D8" s="307"/>
      <c r="E8" s="302" t="s">
        <v>698</v>
      </c>
      <c r="F8" s="303">
        <f ca="1">INDIRECT("'数据-取费表'!ai"&amp;$G$1)</f>
        <v>365</v>
      </c>
      <c r="G8" s="1383"/>
      <c r="H8" s="304"/>
      <c r="I8" s="3653"/>
      <c r="J8" s="306"/>
      <c r="K8" s="307"/>
      <c r="L8" s="302" t="s">
        <v>698</v>
      </c>
      <c r="M8" s="303">
        <f ca="1">INDIRECT("'数据-取费表'!ai"&amp;$G$1)</f>
        <v>365</v>
      </c>
    </row>
    <row r="9" spans="1:37" ht="18" customHeight="1">
      <c r="A9" s="304"/>
      <c r="B9" s="3654"/>
      <c r="C9" s="306"/>
      <c r="D9" s="307"/>
      <c r="E9" s="302" t="s">
        <v>699</v>
      </c>
      <c r="F9" s="312">
        <f ca="1">INDIRECT("'数据-取费表'!w"&amp;$G$1)</f>
        <v>0</v>
      </c>
      <c r="G9" s="1383"/>
      <c r="H9" s="304"/>
      <c r="I9" s="3654"/>
      <c r="J9" s="306"/>
      <c r="K9" s="307"/>
      <c r="L9" s="313" t="s">
        <v>699</v>
      </c>
      <c r="M9" s="314">
        <f ca="1">INDIRECT("'数据-取费表'!ab"&amp;$G$1)</f>
        <v>0</v>
      </c>
    </row>
    <row r="10" spans="1:37" ht="18" customHeight="1">
      <c r="A10" s="1068" t="s">
        <v>402</v>
      </c>
      <c r="B10" s="1364" t="s">
        <v>700</v>
      </c>
      <c r="C10" s="316">
        <f ca="1">ROUND(IF(F10="押一",C6/12*F11,IF(F10="押二",C6/12*2*F11,IF(F10="押三",C6/12*3*F11,C11*F11))),0)</f>
        <v>17500</v>
      </c>
      <c r="D10" s="1365" t="s">
        <v>2116</v>
      </c>
      <c r="E10" s="313" t="s">
        <v>701</v>
      </c>
      <c r="F10" s="1115" t="s">
        <v>3435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137821127</v>
      </c>
      <c r="D13" s="1080" t="s">
        <v>705</v>
      </c>
      <c r="E13" s="1080" t="s">
        <v>706</v>
      </c>
      <c r="F13" s="1081">
        <f ca="1">INDIRECT("'数据-取费表'!y"&amp;$G$1)</f>
        <v>0.81</v>
      </c>
      <c r="G13" s="1383"/>
      <c r="H13" s="1078">
        <v>2</v>
      </c>
      <c r="I13" s="1079" t="s">
        <v>704</v>
      </c>
      <c r="J13" s="1067">
        <f ca="1">ROUND(J14*J15,0)</f>
        <v>119104678</v>
      </c>
      <c r="K13" s="1086" t="s">
        <v>705</v>
      </c>
      <c r="L13" s="1391"/>
      <c r="M13" s="1392"/>
    </row>
    <row r="14" spans="1:37" ht="18" customHeight="1">
      <c r="A14" s="981" t="s">
        <v>397</v>
      </c>
      <c r="B14" s="302" t="s">
        <v>707</v>
      </c>
      <c r="C14" s="318">
        <f ca="1">ROUND(INDIRECT("'数据-取费表'!l"&amp;$G$1)*F43+'数据-取费表'!L14*INDIRECT("'数据-取费表'!S"&amp;$G$1),0)</f>
        <v>116396332</v>
      </c>
      <c r="D14" s="1344" t="s">
        <v>708</v>
      </c>
      <c r="E14" s="1341"/>
      <c r="F14" s="319"/>
      <c r="G14" s="1383"/>
      <c r="H14" s="981" t="s">
        <v>398</v>
      </c>
      <c r="I14" s="302" t="s">
        <v>709</v>
      </c>
      <c r="J14" s="21">
        <f ca="1">C29</f>
        <v>170149540</v>
      </c>
      <c r="K14" s="12"/>
      <c r="L14" s="806"/>
      <c r="M14" s="807"/>
    </row>
    <row r="15" spans="1:37" s="1396" customFormat="1" ht="18" customHeight="1" thickBot="1">
      <c r="A15" s="981" t="s">
        <v>399</v>
      </c>
      <c r="B15" s="302" t="s">
        <v>710</v>
      </c>
      <c r="C15" s="21">
        <f ca="1">ROUND(C14*F15,0)</f>
        <v>3491890</v>
      </c>
      <c r="D15" s="320" t="s">
        <v>711</v>
      </c>
      <c r="E15" s="320" t="s">
        <v>712</v>
      </c>
      <c r="F15" s="321">
        <f>'数据-取费表'!B33</f>
        <v>0.03</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3205840</v>
      </c>
      <c r="K16" s="1086" t="s">
        <v>715</v>
      </c>
      <c r="L16" s="1087"/>
      <c r="M16" s="1071"/>
    </row>
    <row r="17" spans="1:37" s="1396" customFormat="1" ht="18" customHeight="1">
      <c r="A17" s="981" t="s">
        <v>681</v>
      </c>
      <c r="B17" s="302" t="s">
        <v>716</v>
      </c>
      <c r="C17" s="21">
        <f ca="1">ROUND(F17*(F43+INDIRECT("'数据-取费表'!S"&amp;$G$1)),0)</f>
        <v>4476782</v>
      </c>
      <c r="D17" s="302" t="s">
        <v>717</v>
      </c>
      <c r="E17" s="302" t="s">
        <v>718</v>
      </c>
      <c r="F17" s="23">
        <f>'数据-取费表'!B35</f>
        <v>200</v>
      </c>
      <c r="G17" s="1395"/>
      <c r="H17" s="981" t="s">
        <v>398</v>
      </c>
      <c r="I17" s="302" t="s">
        <v>719</v>
      </c>
      <c r="J17" s="2315">
        <f ca="1">ROUND(IF(AND(项目基本情况!B11="自然人",项目基本情况!B10="北京市"),J6*M17/(1+'数据-取费表'!C42),J18+J19+J20),0)</f>
        <v>2592838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2327927</v>
      </c>
      <c r="D18" s="302" t="s">
        <v>711</v>
      </c>
      <c r="E18" s="302" t="s">
        <v>712</v>
      </c>
      <c r="F18" s="322">
        <f>'数据-取费表'!B36</f>
        <v>0.02</v>
      </c>
      <c r="G18" s="1395"/>
      <c r="H18" s="981" t="s">
        <v>397</v>
      </c>
      <c r="I18" s="302" t="s">
        <v>723</v>
      </c>
      <c r="J18" s="21">
        <f ca="1">ROUND(J6*M18/(1+'数据-取费表'!C42),0)</f>
        <v>819191</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126692931</v>
      </c>
      <c r="D19" s="131" t="s">
        <v>726</v>
      </c>
      <c r="E19" s="1359"/>
      <c r="F19" s="23"/>
      <c r="G19" s="1383"/>
      <c r="H19" s="981" t="s">
        <v>399</v>
      </c>
      <c r="I19" s="302" t="s">
        <v>727</v>
      </c>
      <c r="J19" s="21">
        <f ca="1">IF(K19="按租金收入计税",ROUND(J6*M19/(1+'数据-取费表'!C42),0),ROUND(C29*M19*0.7,0))</f>
        <v>1755410</v>
      </c>
      <c r="K19" s="1369" t="s">
        <v>3339</v>
      </c>
      <c r="L19" s="302" t="s">
        <v>712</v>
      </c>
      <c r="M19" s="322">
        <f>IF(K19="按租金收入计税",'数据-取费表'!B51,'数据-取费表'!B50)</f>
        <v>0.12</v>
      </c>
    </row>
    <row r="20" spans="1:37" s="1396" customFormat="1" ht="18" customHeight="1">
      <c r="A20" s="981" t="s">
        <v>402</v>
      </c>
      <c r="B20" s="302" t="s">
        <v>728</v>
      </c>
      <c r="C20" s="21">
        <f ca="1">ROUND(C19*F20,0)</f>
        <v>2533859</v>
      </c>
      <c r="D20" s="323" t="s">
        <v>729</v>
      </c>
      <c r="E20" s="302" t="s">
        <v>712</v>
      </c>
      <c r="F20" s="322">
        <f>'数据-取费表'!B37</f>
        <v>0.02</v>
      </c>
      <c r="G20" s="1395"/>
      <c r="H20" s="981" t="s">
        <v>680</v>
      </c>
      <c r="I20" s="155" t="s">
        <v>730</v>
      </c>
      <c r="J20" s="22">
        <f ca="1">ROUND(M20*M21,0)</f>
        <v>18237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340299</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4458324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119105</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153598</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12153999</v>
      </c>
      <c r="K25" s="1094" t="s">
        <v>753</v>
      </c>
      <c r="L25" s="1095"/>
      <c r="M25" s="1096"/>
    </row>
    <row r="26" spans="1:37" ht="18" customHeight="1">
      <c r="A26" s="981" t="s">
        <v>397</v>
      </c>
      <c r="B26" s="302" t="s">
        <v>754</v>
      </c>
      <c r="C26" s="21">
        <f ca="1">ROUND((C19+C20)*F26,0)</f>
        <v>23260822</v>
      </c>
      <c r="D26" s="323" t="s">
        <v>755</v>
      </c>
      <c r="E26" s="313" t="s">
        <v>756</v>
      </c>
      <c r="F26" s="312">
        <f ca="1">INDIRECT("'数据-取费表'!q"&amp;$G$1)</f>
        <v>0.18</v>
      </c>
      <c r="G26" s="1383"/>
      <c r="H26" s="299" t="s">
        <v>395</v>
      </c>
      <c r="I26" s="300" t="s">
        <v>757</v>
      </c>
      <c r="J26" s="301">
        <f ca="1">IF(J5&lt;&gt;0,ROUND(J25*(1-((1+M28)/(1+M26))^M27)/(M26-M28),0),0)</f>
        <v>104673851</v>
      </c>
      <c r="K26" s="324" t="s">
        <v>758</v>
      </c>
      <c r="L26" s="302" t="s">
        <v>759</v>
      </c>
      <c r="M26" s="312">
        <f ca="1">INDIRECT("'数据-取费表'!I"&amp;$G$1)</f>
        <v>0.06</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12.479999999999999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170149540</v>
      </c>
      <c r="D29" s="1091"/>
      <c r="E29" s="1089"/>
      <c r="F29" s="1092"/>
      <c r="G29" s="1395"/>
      <c r="H29" s="334" t="s">
        <v>396</v>
      </c>
      <c r="I29" s="335" t="s">
        <v>768</v>
      </c>
      <c r="J29" s="336">
        <f ca="1">ROUND(J26/(1+F40)^F41,0)</f>
        <v>59723152</v>
      </c>
      <c r="K29" s="337" t="s">
        <v>769</v>
      </c>
      <c r="L29" s="338"/>
      <c r="M29" s="339">
        <f ca="1">INDIRECT("'数据-取费表'!k"&amp;$G$1)</f>
        <v>22383.91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2983199</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2364904</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IF(项目基本情况!B11="自然人","——",ROUND(C6*F32/(1+'数据-取费表'!C42),0))</f>
        <v>746667</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1600000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18237</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ROUND(C29*F36,0)</f>
        <v>340299</v>
      </c>
      <c r="D36" s="1343" t="s">
        <v>771</v>
      </c>
      <c r="E36" s="302" t="s">
        <v>712</v>
      </c>
      <c r="F36" s="328">
        <f ca="1">INDIRECT("'数据-取费表'!Ak"&amp;$G$1)</f>
        <v>2E-3</v>
      </c>
      <c r="G36" s="1383"/>
      <c r="H36" s="2698"/>
      <c r="I36" s="1397"/>
      <c r="J36" s="1398"/>
      <c r="K36" s="2542"/>
      <c r="L36" s="2698"/>
      <c r="M36" s="2698"/>
    </row>
    <row r="37" spans="1:18" ht="18" customHeight="1">
      <c r="A37" s="981" t="s">
        <v>437</v>
      </c>
      <c r="B37" s="302" t="s">
        <v>742</v>
      </c>
      <c r="C37" s="21">
        <f ca="1">ROUND(C13*F37,0)</f>
        <v>137821</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140175</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11034301</v>
      </c>
      <c r="D39" s="1094" t="s">
        <v>773</v>
      </c>
      <c r="E39" s="1095"/>
      <c r="F39" s="1096"/>
      <c r="G39" s="1383"/>
      <c r="H39" s="2698"/>
      <c r="I39" s="1397"/>
      <c r="J39" s="1398"/>
      <c r="K39" s="2702"/>
      <c r="L39" s="2698"/>
      <c r="M39" s="2698"/>
    </row>
    <row r="40" spans="1:18" ht="18" customHeight="1">
      <c r="A40" s="299" t="s">
        <v>395</v>
      </c>
      <c r="B40" s="300" t="s">
        <v>774</v>
      </c>
      <c r="C40" s="301">
        <f ca="1">ROUND(C39*(1-((1+F42)/(1+F40))^F41)/(F40-F42),0)</f>
        <v>78975398</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9.6300000000000008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ROUND(C40/F43,0)</f>
        <v>3528</v>
      </c>
      <c r="D43" s="337" t="s">
        <v>777</v>
      </c>
      <c r="E43" s="338" t="s">
        <v>778</v>
      </c>
      <c r="F43" s="339">
        <f ca="1">INDIRECT("'数据-取费表'!k"&amp;$G$1)</f>
        <v>22383.91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-8252.7955999999995</v>
      </c>
      <c r="D45" s="3429" t="s">
        <v>3356</v>
      </c>
      <c r="E45" s="1399"/>
      <c r="F45" s="1399"/>
      <c r="O45" s="1402" t="s">
        <v>808</v>
      </c>
      <c r="P45" s="1460"/>
      <c r="Q45" s="1460"/>
      <c r="R45" s="1460"/>
    </row>
    <row r="46" spans="1:18" s="1383" customFormat="1" ht="13.5" thickBot="1">
      <c r="A46" s="1403" t="s">
        <v>809</v>
      </c>
      <c r="C46" s="1404">
        <f ca="1">ROUND(C45,0)</f>
        <v>-8253</v>
      </c>
      <c r="D46" s="1405" t="str">
        <f>C2</f>
        <v>万元</v>
      </c>
      <c r="I46" s="1406" t="s">
        <v>810</v>
      </c>
      <c r="J46" s="1407"/>
      <c r="K46" s="1408"/>
      <c r="L46" s="1409">
        <f ca="1">IF(M47="住宅",0,IF(L48&gt;J51,L60,J60))</f>
        <v>13754653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138698550</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22.11</v>
      </c>
      <c r="O48" s="1417" t="s">
        <v>404</v>
      </c>
      <c r="P48" s="1418" t="s">
        <v>821</v>
      </c>
      <c r="Q48" s="1419">
        <f ca="1">J60</f>
        <v>13754653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2010</v>
      </c>
      <c r="K49" s="1422" t="s">
        <v>824</v>
      </c>
      <c r="L49" s="1426"/>
      <c r="O49" s="1427" t="s">
        <v>405</v>
      </c>
      <c r="P49" s="1418" t="s">
        <v>825</v>
      </c>
      <c r="Q49" s="1419">
        <f ca="1">C29</f>
        <v>170149540</v>
      </c>
      <c r="R49" s="1419" t="s">
        <v>818</v>
      </c>
    </row>
    <row r="50" spans="1:18" s="1383" customFormat="1" ht="13.5" thickBot="1">
      <c r="A50" s="975"/>
      <c r="B50" s="978"/>
      <c r="C50" s="979"/>
      <c r="D50" s="952"/>
      <c r="E50" s="1055" t="s">
        <v>697</v>
      </c>
      <c r="F50" s="1056">
        <f ca="1">F7</f>
        <v>22383.91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24796472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22.11</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22.11</v>
      </c>
      <c r="K53" s="3650" t="s">
        <v>837</v>
      </c>
      <c r="L53" s="3651"/>
      <c r="O53" s="1417" t="s">
        <v>409</v>
      </c>
      <c r="P53" s="1418" t="s">
        <v>838</v>
      </c>
      <c r="Q53" s="1419">
        <f ca="1">Q47+Q48</f>
        <v>152453203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0.39800000000000002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137821127</v>
      </c>
      <c r="D56" s="1446"/>
      <c r="E56" s="1447"/>
      <c r="F56" s="1439"/>
      <c r="I56" s="1448" t="s">
        <v>842</v>
      </c>
      <c r="J56" s="1449" t="s">
        <v>3386</v>
      </c>
      <c r="K56" s="1420" t="s">
        <v>843</v>
      </c>
      <c r="L56" s="1423" t="str">
        <f ca="1">IF(L48&lt;J51,"——",L48-J51)</f>
        <v>——</v>
      </c>
      <c r="O56" s="1417" t="s">
        <v>403</v>
      </c>
      <c r="P56" s="1418" t="s">
        <v>817</v>
      </c>
      <c r="Q56" s="1419">
        <f ca="1">C40+J29</f>
        <v>138698550</v>
      </c>
      <c r="R56" s="1419" t="s">
        <v>818</v>
      </c>
    </row>
    <row r="57" spans="1:18" s="1383" customFormat="1" ht="24.75" thickBot="1">
      <c r="A57" s="1450"/>
      <c r="B57" s="949" t="s">
        <v>767</v>
      </c>
      <c r="C57" s="238">
        <f ca="1">C29</f>
        <v>170149540</v>
      </c>
      <c r="D57" s="1451"/>
      <c r="E57" s="1452"/>
      <c r="F57" s="1453"/>
      <c r="I57" s="1454" t="s">
        <v>844</v>
      </c>
      <c r="J57" s="1455">
        <f ca="1">IF(OR(M47="住宅",J51&lt;L48,J56="是"),"——",J51-L48)</f>
        <v>23.89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496357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18237</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68059816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13754653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18237</v>
      </c>
      <c r="D62" s="964" t="s">
        <v>786</v>
      </c>
      <c r="E62" s="949" t="s">
        <v>787</v>
      </c>
      <c r="F62" s="325">
        <f t="shared" si="0"/>
        <v>1.5</v>
      </c>
      <c r="I62" s="1461" t="s">
        <v>858</v>
      </c>
      <c r="J62" s="1462" t="s">
        <v>859</v>
      </c>
      <c r="K62" s="1462" t="s">
        <v>860</v>
      </c>
      <c r="L62" s="1462" t="s">
        <v>861</v>
      </c>
      <c r="M62" s="1463" t="s">
        <v>862</v>
      </c>
      <c r="O62" s="1417" t="s">
        <v>409</v>
      </c>
      <c r="P62" s="1418" t="s">
        <v>863</v>
      </c>
      <c r="Q62" s="1419">
        <f ca="1">Q56+Q57</f>
        <v>138698550</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340299</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137821</v>
      </c>
      <c r="D65" s="963" t="s">
        <v>743</v>
      </c>
      <c r="E65" s="949" t="s">
        <v>744</v>
      </c>
      <c r="F65" s="330">
        <f t="shared" ca="1" si="0"/>
        <v>1E-3</v>
      </c>
      <c r="I65" s="1461" t="s">
        <v>867</v>
      </c>
      <c r="J65" s="1462">
        <v>40</v>
      </c>
      <c r="K65" s="1462">
        <v>30</v>
      </c>
      <c r="L65" s="1462">
        <v>50</v>
      </c>
      <c r="M65" s="1464">
        <v>0.02</v>
      </c>
      <c r="O65" s="1417" t="s">
        <v>403</v>
      </c>
      <c r="P65" s="1418" t="s">
        <v>868</v>
      </c>
      <c r="Q65" s="1419">
        <f ca="1">C40+J29</f>
        <v>138698550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-496357</v>
      </c>
      <c r="D67" s="962" t="s">
        <v>753</v>
      </c>
      <c r="E67" s="967"/>
      <c r="F67" s="968"/>
      <c r="O67" s="1427" t="s">
        <v>405</v>
      </c>
      <c r="P67" s="1418" t="s">
        <v>850</v>
      </c>
      <c r="Q67" s="1465">
        <f ca="1">L51</f>
        <v>24796472</v>
      </c>
      <c r="R67" s="1419" t="s">
        <v>870</v>
      </c>
    </row>
    <row r="68" spans="1:18" s="1383" customFormat="1" ht="16.5" thickBot="1">
      <c r="A68" s="946" t="s">
        <v>395</v>
      </c>
      <c r="B68" s="947" t="s">
        <v>774</v>
      </c>
      <c r="C68" s="301">
        <f ca="1">ROUND(C67*(1-((1+F70)/(1+F68))^F69)/(F68-F70),0)</f>
        <v>-3552558</v>
      </c>
      <c r="D68" s="964" t="s">
        <v>758</v>
      </c>
      <c r="E68" s="949" t="s">
        <v>759</v>
      </c>
      <c r="F68" s="312">
        <f ca="1">F40</f>
        <v>0.06</v>
      </c>
      <c r="O68" s="1427" t="s">
        <v>406</v>
      </c>
      <c r="P68" s="1466" t="s">
        <v>871</v>
      </c>
      <c r="Q68" s="1419">
        <f ca="1">ROUND(Q69-Q70*Q71,0)</f>
        <v>1386822</v>
      </c>
      <c r="R68" s="1419" t="s">
        <v>414</v>
      </c>
    </row>
    <row r="69" spans="1:18" s="1383" customFormat="1" ht="13.5" thickBot="1">
      <c r="A69" s="950"/>
      <c r="B69" s="951"/>
      <c r="C69" s="306"/>
      <c r="D69" s="969" t="s">
        <v>762</v>
      </c>
      <c r="E69" s="949" t="s">
        <v>763</v>
      </c>
      <c r="F69" s="333">
        <f ca="1">F41</f>
        <v>9.6300000000000008</v>
      </c>
      <c r="O69" s="1427" t="s">
        <v>411</v>
      </c>
      <c r="P69" s="1466" t="s">
        <v>872</v>
      </c>
      <c r="Q69" s="1419">
        <f ca="1">C39</f>
        <v>11034301</v>
      </c>
      <c r="R69" s="1419" t="s">
        <v>818</v>
      </c>
    </row>
    <row r="70" spans="1:18" s="1383" customFormat="1" ht="13.5" thickBot="1">
      <c r="A70" s="953"/>
      <c r="B70" s="954"/>
      <c r="C70" s="310"/>
      <c r="D70" s="965"/>
      <c r="E70" s="949" t="s">
        <v>766</v>
      </c>
      <c r="F70" s="1053"/>
      <c r="O70" s="1427" t="s">
        <v>412</v>
      </c>
      <c r="P70" s="1466" t="s">
        <v>873</v>
      </c>
      <c r="Q70" s="1419">
        <f ca="1">C13</f>
        <v>137821127</v>
      </c>
      <c r="R70" s="1419" t="s">
        <v>818</v>
      </c>
    </row>
    <row r="71" spans="1:18" s="1383" customFormat="1" ht="13.5" thickBot="1">
      <c r="A71" s="970" t="s">
        <v>396</v>
      </c>
      <c r="B71" s="971" t="s">
        <v>776</v>
      </c>
      <c r="C71" s="336">
        <f ca="1">ROUND(C68/F71,0)</f>
        <v>-159</v>
      </c>
      <c r="D71" s="972" t="s">
        <v>777</v>
      </c>
      <c r="E71" s="973" t="s">
        <v>778</v>
      </c>
      <c r="F71" s="339">
        <f ca="1">F43</f>
        <v>22383.91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9647479</v>
      </c>
      <c r="D75" s="1383"/>
      <c r="E75" s="1383"/>
      <c r="F75" s="1383"/>
      <c r="K75" s="1401"/>
      <c r="L75" s="1383"/>
      <c r="O75" s="1417" t="s">
        <v>409</v>
      </c>
      <c r="P75" s="1418" t="s">
        <v>838</v>
      </c>
      <c r="Q75" s="1419">
        <f ca="1">Q65+Q66</f>
        <v>138698550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0.126</v>
      </c>
    </row>
    <row r="80" spans="1:18">
      <c r="B80" s="340" t="s">
        <v>800</v>
      </c>
      <c r="C80" s="274">
        <f ca="1">ROUND(C75/C39,3)</f>
        <v>0.874</v>
      </c>
    </row>
    <row r="81" spans="2:3">
      <c r="B81" s="270" t="s">
        <v>801</v>
      </c>
      <c r="C81" s="238"/>
    </row>
    <row r="82" spans="2:3">
      <c r="B82" s="273" t="s">
        <v>802</v>
      </c>
      <c r="C82" s="275">
        <f ca="1">1-C83</f>
        <v>-0.74500000000000011</v>
      </c>
    </row>
    <row r="83" spans="2:3">
      <c r="B83" s="273" t="s">
        <v>803</v>
      </c>
      <c r="C83" s="274">
        <f ca="1">ROUND(C13/C40,3)</f>
        <v>1.7450000000000001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701" t="s">
        <v>2321</v>
      </c>
      <c r="K2" s="3702"/>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03" t="s">
        <v>2331</v>
      </c>
      <c r="K3" s="3704"/>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03" t="s">
        <v>2333</v>
      </c>
      <c r="K4" s="3704"/>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05" t="s">
        <v>2337</v>
      </c>
      <c r="B6" s="3706"/>
      <c r="C6" s="3707"/>
      <c r="D6" s="2868"/>
      <c r="E6" s="2869"/>
      <c r="F6" s="2870"/>
      <c r="G6" s="2871"/>
      <c r="H6" s="2846"/>
      <c r="I6" s="2847"/>
      <c r="J6" s="3708">
        <v>1</v>
      </c>
      <c r="K6" s="3709"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08"/>
      <c r="K7" s="3710"/>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12" t="s">
        <v>2351</v>
      </c>
      <c r="C8" s="3713"/>
      <c r="D8" s="2887" t="s">
        <v>2352</v>
      </c>
      <c r="E8" s="2888" t="s">
        <v>2353</v>
      </c>
      <c r="F8" s="2889" t="s">
        <v>2354</v>
      </c>
      <c r="G8" s="2890"/>
      <c r="H8" s="2846"/>
      <c r="I8" s="2847"/>
      <c r="J8" s="3708"/>
      <c r="K8" s="3710"/>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12" t="s">
        <v>2357</v>
      </c>
      <c r="C9" s="3713"/>
      <c r="D9" s="2887">
        <f>ROUND(D6*E9,0)</f>
        <v>0</v>
      </c>
      <c r="E9" s="2891"/>
      <c r="F9" s="2892" t="s">
        <v>2358</v>
      </c>
      <c r="G9" s="2871"/>
      <c r="H9" s="2846"/>
      <c r="I9" s="2847"/>
      <c r="J9" s="3708"/>
      <c r="K9" s="3710"/>
      <c r="L9" s="2881" t="s">
        <v>2359</v>
      </c>
      <c r="M9" s="2882"/>
      <c r="N9" s="2858"/>
      <c r="O9" s="2883"/>
      <c r="P9" s="2883"/>
      <c r="Q9" s="2884">
        <v>365</v>
      </c>
      <c r="R9" s="2885">
        <f t="shared" si="0"/>
        <v>0</v>
      </c>
      <c r="S9" s="2839"/>
      <c r="T9" s="2839"/>
      <c r="U9" s="2839"/>
      <c r="V9" s="2847"/>
    </row>
    <row r="10" spans="1:22" s="2851" customFormat="1" ht="13.15" customHeight="1">
      <c r="A10" s="2886">
        <v>2</v>
      </c>
      <c r="B10" s="3712" t="s">
        <v>2360</v>
      </c>
      <c r="C10" s="3713"/>
      <c r="D10" s="2887">
        <f>ROUND(D6*E10,0)</f>
        <v>0</v>
      </c>
      <c r="E10" s="2891"/>
      <c r="F10" s="2892" t="s">
        <v>2361</v>
      </c>
      <c r="G10" s="2871"/>
      <c r="H10" s="2846"/>
      <c r="I10" s="2847"/>
      <c r="J10" s="3708"/>
      <c r="K10" s="3710"/>
      <c r="L10" s="2881" t="s">
        <v>2362</v>
      </c>
      <c r="M10" s="2882"/>
      <c r="N10" s="2858"/>
      <c r="O10" s="2883"/>
      <c r="P10" s="2883"/>
      <c r="Q10" s="2884">
        <v>365</v>
      </c>
      <c r="R10" s="2885">
        <f t="shared" si="0"/>
        <v>0</v>
      </c>
      <c r="S10" s="2839"/>
      <c r="T10" s="2839"/>
      <c r="U10" s="2839"/>
      <c r="V10" s="2847"/>
    </row>
    <row r="11" spans="1:22" s="2851" customFormat="1" ht="13.15" customHeight="1">
      <c r="A11" s="2886">
        <v>3</v>
      </c>
      <c r="B11" s="3712" t="s">
        <v>2363</v>
      </c>
      <c r="C11" s="3713"/>
      <c r="D11" s="2887">
        <f>D12+D14+D15+D16</f>
        <v>0</v>
      </c>
      <c r="E11" s="2893" t="e">
        <f>D11/D6</f>
        <v>#DIV/0!</v>
      </c>
      <c r="F11" s="2889"/>
      <c r="G11" s="2890"/>
      <c r="H11" s="2846"/>
      <c r="I11" s="2847"/>
      <c r="J11" s="3708"/>
      <c r="K11" s="3710"/>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14" t="s">
        <v>2366</v>
      </c>
      <c r="C12" s="3715"/>
      <c r="D12" s="2895">
        <f>ROUND(D13*1.2%*(1-30%),0)</f>
        <v>0</v>
      </c>
      <c r="E12" s="2896">
        <v>1.2E-2</v>
      </c>
      <c r="F12" s="2889" t="s">
        <v>2367</v>
      </c>
      <c r="G12" s="2890"/>
      <c r="H12" s="2846"/>
      <c r="I12" s="2847"/>
      <c r="J12" s="3708"/>
      <c r="K12" s="3710"/>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08"/>
      <c r="K13" s="3710"/>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14" t="s">
        <v>2372</v>
      </c>
      <c r="C14" s="3715"/>
      <c r="D14" s="2895">
        <f>ROUND(E14*B5/10000,0)</f>
        <v>0</v>
      </c>
      <c r="E14" s="2884"/>
      <c r="F14" s="2889" t="s">
        <v>2373</v>
      </c>
      <c r="G14" s="2890"/>
      <c r="H14" s="2846"/>
      <c r="I14" s="2847"/>
      <c r="J14" s="3708"/>
      <c r="K14" s="3711"/>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14" t="s">
        <v>2376</v>
      </c>
      <c r="C15" s="3715"/>
      <c r="D15" s="2895">
        <f>ROUND(D6*E15,0)</f>
        <v>0</v>
      </c>
      <c r="E15" s="2896">
        <v>5.5E-2</v>
      </c>
      <c r="F15" s="2889" t="s">
        <v>2377</v>
      </c>
      <c r="G15" s="2871"/>
      <c r="H15" s="2846"/>
      <c r="I15" s="2847"/>
      <c r="J15" s="3708">
        <v>2</v>
      </c>
      <c r="K15" s="3709"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14" t="s">
        <v>2385</v>
      </c>
      <c r="C16" s="3715"/>
      <c r="D16" s="2906">
        <f>D6*E16</f>
        <v>0</v>
      </c>
      <c r="E16" s="2907"/>
      <c r="F16" s="2892" t="s">
        <v>2386</v>
      </c>
      <c r="G16" s="2871"/>
      <c r="H16" s="2846"/>
      <c r="I16" s="2847"/>
      <c r="J16" s="3708"/>
      <c r="K16" s="3710"/>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2388</v>
      </c>
      <c r="C17" s="3717"/>
      <c r="D17" s="2909">
        <f>ROUND(D6*E17,0)</f>
        <v>0</v>
      </c>
      <c r="E17" s="2910"/>
      <c r="F17" s="2911" t="s">
        <v>2389</v>
      </c>
      <c r="G17" s="2871"/>
      <c r="H17" s="2846"/>
      <c r="I17" s="2847"/>
      <c r="J17" s="3708"/>
      <c r="K17" s="3710"/>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08"/>
      <c r="K18" s="3710"/>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08"/>
      <c r="K19" s="3711"/>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08"/>
      <c r="K21" s="3710"/>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08"/>
      <c r="K22" s="3710"/>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08"/>
      <c r="K23" s="3710"/>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08"/>
      <c r="K24" s="3711"/>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18">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01" t="s">
        <v>2321</v>
      </c>
      <c r="K32" s="3702"/>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03" t="s">
        <v>2331</v>
      </c>
      <c r="K33" s="3704"/>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03" t="s">
        <v>2333</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08">
        <v>1</v>
      </c>
      <c r="K36" s="3709"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08"/>
      <c r="K40" s="3711"/>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15232</v>
      </c>
      <c r="C2" s="1871" t="s">
        <v>1651</v>
      </c>
      <c r="D2" s="1872" t="s">
        <v>1652</v>
      </c>
      <c r="E2" s="2605">
        <f>SUM(E6:E13)</f>
        <v>22383.91</v>
      </c>
      <c r="F2" s="2705"/>
      <c r="G2" s="1488"/>
      <c r="H2" s="1488"/>
      <c r="I2" s="1488"/>
      <c r="J2" s="1488"/>
      <c r="K2" s="1488"/>
      <c r="L2" s="1488"/>
      <c r="M2" s="1488"/>
      <c r="N2" s="1488"/>
      <c r="O2" s="1488"/>
      <c r="P2" s="1488"/>
      <c r="Q2" s="1488"/>
      <c r="R2" s="1488"/>
      <c r="S2" s="1488"/>
    </row>
    <row r="3" spans="1:22" ht="15.75">
      <c r="A3" s="1869" t="s">
        <v>686</v>
      </c>
      <c r="B3" s="2599">
        <f ca="1">ROUND(B2*10000/E2,0)</f>
        <v>6805</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0" t="s">
        <v>1654</v>
      </c>
      <c r="C5" s="3721"/>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15232</v>
      </c>
      <c r="C6" s="1871" t="s">
        <v>1651</v>
      </c>
      <c r="D6" s="2707"/>
      <c r="E6" s="2604">
        <f>IF(OR(A6=0,F6="否"),0,'数据-取费表'!K6+'数据-取费表'!S6)</f>
        <v>22383.91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22383.909999999996</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4" t="s">
        <v>1667</v>
      </c>
      <c r="D4" s="3675"/>
      <c r="E4" s="3676" t="s">
        <v>1668</v>
      </c>
      <c r="F4" s="3677"/>
      <c r="G4" s="3674" t="s">
        <v>1669</v>
      </c>
      <c r="H4" s="3675"/>
      <c r="I4" s="3674" t="s">
        <v>1670</v>
      </c>
      <c r="J4" s="3675"/>
      <c r="K4" s="1888" t="s">
        <v>1671</v>
      </c>
      <c r="L4" s="2713"/>
      <c r="M4" s="2714"/>
      <c r="N4" s="2714"/>
      <c r="O4" s="2714"/>
      <c r="P4" s="3678" t="s">
        <v>1672</v>
      </c>
      <c r="Q4" s="3679"/>
      <c r="R4" s="3661" t="s">
        <v>1668</v>
      </c>
      <c r="S4" s="3662"/>
      <c r="T4" s="3661" t="s">
        <v>1669</v>
      </c>
      <c r="U4" s="3662"/>
      <c r="V4" s="3658" t="s">
        <v>1670</v>
      </c>
      <c r="W4" s="3658"/>
      <c r="X4" s="1354"/>
      <c r="Y4" s="3661" t="s">
        <v>1672</v>
      </c>
      <c r="Z4" s="3662"/>
      <c r="AA4" s="3655" t="s">
        <v>1668</v>
      </c>
      <c r="AB4" s="3655" t="s">
        <v>1669</v>
      </c>
      <c r="AC4" s="3655" t="s">
        <v>1670</v>
      </c>
    </row>
    <row r="5" spans="1:29" ht="15">
      <c r="A5" s="358"/>
      <c r="B5" s="359"/>
      <c r="C5" s="3667" t="s">
        <v>1673</v>
      </c>
      <c r="D5" s="3668"/>
      <c r="E5" s="3665" t="s">
        <v>1674</v>
      </c>
      <c r="F5" s="3666"/>
      <c r="G5" s="3667" t="s">
        <v>1675</v>
      </c>
      <c r="H5" s="3668"/>
      <c r="I5" s="3667" t="s">
        <v>1676</v>
      </c>
      <c r="J5" s="3668"/>
      <c r="K5" s="1889"/>
      <c r="L5" s="2713"/>
      <c r="M5" s="2714"/>
      <c r="N5" s="2714"/>
      <c r="O5" s="2714"/>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1889" t="s">
        <v>1678</v>
      </c>
      <c r="L6" s="2713"/>
      <c r="M6" s="2714"/>
      <c r="N6" s="2714"/>
      <c r="O6" s="2714"/>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9" t="s">
        <v>1680</v>
      </c>
      <c r="Q7" s="3686"/>
      <c r="R7" s="700" t="s">
        <v>20</v>
      </c>
      <c r="S7" s="701">
        <f t="shared" ref="S7:S15" si="0">F7</f>
        <v>0</v>
      </c>
      <c r="T7" s="700" t="s">
        <v>20</v>
      </c>
      <c r="U7" s="701">
        <f t="shared" ref="U7:U15" si="1">H7</f>
        <v>0</v>
      </c>
      <c r="V7" s="700" t="s">
        <v>20</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9" t="s">
        <v>1683</v>
      </c>
      <c r="Q8" s="3660"/>
      <c r="R8" s="700" t="s">
        <v>20</v>
      </c>
      <c r="S8" s="701">
        <f t="shared" si="0"/>
        <v>100</v>
      </c>
      <c r="T8" s="700" t="s">
        <v>20</v>
      </c>
      <c r="U8" s="701">
        <f t="shared" si="1"/>
        <v>100</v>
      </c>
      <c r="V8" s="700" t="s">
        <v>20</v>
      </c>
      <c r="W8" s="701">
        <f t="shared" si="2"/>
        <v>100</v>
      </c>
      <c r="X8" s="702"/>
      <c r="Y8" s="3659" t="s">
        <v>1683</v>
      </c>
      <c r="Z8" s="366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3"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7"/>
      <c r="M10" s="2718"/>
      <c r="N10" s="2718"/>
      <c r="O10" s="2718"/>
      <c r="P10" s="3673"/>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2" t="str">
        <f t="shared" si="6"/>
        <v>容积率</v>
      </c>
      <c r="R11" s="700" t="s">
        <v>18</v>
      </c>
      <c r="S11" s="701" t="e">
        <f t="shared" si="0"/>
        <v>#N/A</v>
      </c>
      <c r="T11" s="700" t="s">
        <v>18</v>
      </c>
      <c r="U11" s="701" t="e">
        <f t="shared" si="1"/>
        <v>#N/A</v>
      </c>
      <c r="V11" s="700" t="s">
        <v>18</v>
      </c>
      <c r="W11" s="701" t="e">
        <f t="shared" si="2"/>
        <v>#N/A</v>
      </c>
      <c r="X11" s="702"/>
      <c r="Y11" s="362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3"/>
      <c r="Q12" s="1342">
        <f t="shared" si="6"/>
        <v>111</v>
      </c>
      <c r="R12" s="700" t="s">
        <v>18</v>
      </c>
      <c r="S12" s="701">
        <f t="shared" si="0"/>
        <v>100</v>
      </c>
      <c r="T12" s="700" t="s">
        <v>18</v>
      </c>
      <c r="U12" s="701">
        <f t="shared" si="1"/>
        <v>100</v>
      </c>
      <c r="V12" s="700" t="s">
        <v>18</v>
      </c>
      <c r="W12" s="701">
        <f t="shared" si="2"/>
        <v>100</v>
      </c>
      <c r="X12" s="702"/>
      <c r="Y12" s="362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3"/>
      <c r="Q13" s="1342">
        <f t="shared" si="6"/>
        <v>111</v>
      </c>
      <c r="R13" s="700" t="s">
        <v>18</v>
      </c>
      <c r="S13" s="701">
        <f t="shared" si="0"/>
        <v>100</v>
      </c>
      <c r="T13" s="700" t="s">
        <v>18</v>
      </c>
      <c r="U13" s="701">
        <f t="shared" si="1"/>
        <v>100</v>
      </c>
      <c r="V13" s="700" t="s">
        <v>18</v>
      </c>
      <c r="W13" s="701">
        <f t="shared" si="2"/>
        <v>100</v>
      </c>
      <c r="X13" s="702"/>
      <c r="Y13" s="362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3"/>
      <c r="Q14" s="1342">
        <f t="shared" si="6"/>
        <v>111</v>
      </c>
      <c r="R14" s="700" t="s">
        <v>18</v>
      </c>
      <c r="S14" s="701">
        <f t="shared" si="0"/>
        <v>100</v>
      </c>
      <c r="T14" s="700" t="s">
        <v>18</v>
      </c>
      <c r="U14" s="701">
        <f t="shared" si="1"/>
        <v>100</v>
      </c>
      <c r="V14" s="700" t="s">
        <v>18</v>
      </c>
      <c r="W14" s="701">
        <f t="shared" si="2"/>
        <v>100</v>
      </c>
      <c r="X14" s="702"/>
      <c r="Y14" s="362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8"/>
      <c r="Q16" s="1351"/>
      <c r="R16" s="704"/>
      <c r="S16" s="705"/>
      <c r="T16" s="704"/>
      <c r="U16" s="705"/>
      <c r="V16" s="704"/>
      <c r="W16" s="705"/>
      <c r="X16" s="1354"/>
      <c r="Y16" s="369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8"/>
      <c r="Q18" s="1351"/>
      <c r="R18" s="704"/>
      <c r="S18" s="705"/>
      <c r="T18" s="704"/>
      <c r="U18" s="705"/>
      <c r="V18" s="704"/>
      <c r="W18" s="705"/>
      <c r="X18" s="1354"/>
      <c r="Y18" s="369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8"/>
      <c r="Q20" s="1351"/>
      <c r="R20" s="704"/>
      <c r="S20" s="705"/>
      <c r="T20" s="704"/>
      <c r="U20" s="705"/>
      <c r="V20" s="704"/>
      <c r="W20" s="705"/>
      <c r="X20" s="1354"/>
      <c r="Y20" s="369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8"/>
      <c r="Q22" s="1351"/>
      <c r="R22" s="704"/>
      <c r="S22" s="705"/>
      <c r="T22" s="704"/>
      <c r="U22" s="705"/>
      <c r="V22" s="704"/>
      <c r="W22" s="705"/>
      <c r="X22" s="1354"/>
      <c r="Y22" s="369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8"/>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22383.909999999996</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28" t="s">
        <v>1775</v>
      </c>
      <c r="Q4" s="3729"/>
      <c r="R4" s="3723" t="s">
        <v>1771</v>
      </c>
      <c r="S4" s="3724"/>
      <c r="T4" s="3723" t="s">
        <v>1772</v>
      </c>
      <c r="U4" s="3724"/>
      <c r="V4" s="3732" t="s">
        <v>1773</v>
      </c>
      <c r="W4" s="3732"/>
      <c r="X4" s="1957"/>
      <c r="Y4" s="3723" t="s">
        <v>1775</v>
      </c>
      <c r="Z4" s="3724"/>
      <c r="AA4" s="3722" t="s">
        <v>1771</v>
      </c>
      <c r="AB4" s="3722" t="s">
        <v>1772</v>
      </c>
      <c r="AC4" s="3725" t="s">
        <v>1773</v>
      </c>
    </row>
    <row r="5" spans="1:29" ht="15">
      <c r="A5" s="358"/>
      <c r="B5" s="359"/>
      <c r="C5" s="3667" t="s">
        <v>1673</v>
      </c>
      <c r="D5" s="3668"/>
      <c r="E5" s="3665" t="s">
        <v>1674</v>
      </c>
      <c r="F5" s="3666"/>
      <c r="G5" s="3667" t="s">
        <v>1675</v>
      </c>
      <c r="H5" s="3668"/>
      <c r="I5" s="3667" t="s">
        <v>1676</v>
      </c>
      <c r="J5" s="3668"/>
      <c r="K5" s="559"/>
      <c r="L5" s="2713"/>
      <c r="M5" s="2714"/>
      <c r="N5" s="2714"/>
      <c r="O5" s="2714"/>
      <c r="P5" s="3730"/>
      <c r="Q5" s="3681"/>
      <c r="R5" s="3663"/>
      <c r="S5" s="3664"/>
      <c r="T5" s="3663"/>
      <c r="U5" s="3664"/>
      <c r="V5" s="3658"/>
      <c r="W5" s="3658"/>
      <c r="X5" s="1354"/>
      <c r="Y5" s="3663"/>
      <c r="Z5" s="3664"/>
      <c r="AA5" s="3656"/>
      <c r="AB5" s="3656"/>
      <c r="AC5" s="3726"/>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1"/>
      <c r="Q6" s="3683"/>
      <c r="R6" s="3663"/>
      <c r="S6" s="3664"/>
      <c r="T6" s="3684"/>
      <c r="U6" s="3685"/>
      <c r="V6" s="3658"/>
      <c r="W6" s="3658"/>
      <c r="X6" s="1354"/>
      <c r="Y6" s="3684"/>
      <c r="Z6" s="3685"/>
      <c r="AA6" s="3657"/>
      <c r="AB6" s="3657"/>
      <c r="AC6" s="3727"/>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3"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3" t="s">
        <v>1683</v>
      </c>
      <c r="Q8" s="3660"/>
      <c r="R8" s="700" t="s">
        <v>14</v>
      </c>
      <c r="S8" s="701">
        <f t="shared" si="0"/>
        <v>100</v>
      </c>
      <c r="T8" s="700" t="s">
        <v>14</v>
      </c>
      <c r="U8" s="701">
        <f t="shared" si="1"/>
        <v>100</v>
      </c>
      <c r="V8" s="700" t="s">
        <v>14</v>
      </c>
      <c r="W8" s="701">
        <f t="shared" si="2"/>
        <v>100</v>
      </c>
      <c r="X8" s="702"/>
      <c r="Y8" s="3659" t="s">
        <v>1683</v>
      </c>
      <c r="Z8" s="366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3"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673"/>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2" t="str">
        <f t="shared" si="6"/>
        <v>容积率</v>
      </c>
      <c r="R11" s="700" t="s">
        <v>14</v>
      </c>
      <c r="S11" s="701">
        <f t="shared" si="0"/>
        <v>100</v>
      </c>
      <c r="T11" s="700" t="s">
        <v>14</v>
      </c>
      <c r="U11" s="701">
        <f t="shared" si="1"/>
        <v>100</v>
      </c>
      <c r="V11" s="700" t="s">
        <v>14</v>
      </c>
      <c r="W11" s="701">
        <f t="shared" si="2"/>
        <v>100</v>
      </c>
      <c r="X11" s="702"/>
      <c r="Y11" s="362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3"/>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3"/>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73"/>
      <c r="Q14" s="1342">
        <f t="shared" si="6"/>
        <v>111</v>
      </c>
      <c r="R14" s="700" t="s">
        <v>14</v>
      </c>
      <c r="S14" s="701">
        <f t="shared" si="0"/>
        <v>100</v>
      </c>
      <c r="T14" s="700" t="s">
        <v>14</v>
      </c>
      <c r="U14" s="701">
        <f t="shared" si="1"/>
        <v>100</v>
      </c>
      <c r="V14" s="700" t="s">
        <v>14</v>
      </c>
      <c r="W14" s="701">
        <f t="shared" si="2"/>
        <v>100</v>
      </c>
      <c r="X14" s="702"/>
      <c r="Y14" s="362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7" t="s">
        <v>1691</v>
      </c>
      <c r="Q15" s="1351" t="str">
        <f t="shared" si="6"/>
        <v>办公集聚程度</v>
      </c>
      <c r="R15" s="704" t="s">
        <v>14</v>
      </c>
      <c r="S15" s="705">
        <f t="shared" si="0"/>
        <v>100</v>
      </c>
      <c r="T15" s="704" t="s">
        <v>14</v>
      </c>
      <c r="U15" s="705">
        <f t="shared" si="1"/>
        <v>100</v>
      </c>
      <c r="V15" s="704" t="s">
        <v>14</v>
      </c>
      <c r="W15" s="705">
        <f t="shared" si="2"/>
        <v>100</v>
      </c>
      <c r="X15" s="1354"/>
      <c r="Y15" s="368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8"/>
      <c r="Q16" s="1351"/>
      <c r="R16" s="704"/>
      <c r="S16" s="705"/>
      <c r="T16" s="704"/>
      <c r="U16" s="705"/>
      <c r="V16" s="704"/>
      <c r="W16" s="705"/>
      <c r="X16" s="1354"/>
      <c r="Y16" s="3690"/>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8"/>
      <c r="Q18" s="1351"/>
      <c r="R18" s="704"/>
      <c r="S18" s="705"/>
      <c r="T18" s="704"/>
      <c r="U18" s="705"/>
      <c r="V18" s="704"/>
      <c r="W18" s="705"/>
      <c r="X18" s="1354"/>
      <c r="Y18" s="3690"/>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8"/>
      <c r="Q20" s="1351"/>
      <c r="R20" s="704"/>
      <c r="S20" s="705"/>
      <c r="T20" s="704"/>
      <c r="U20" s="705"/>
      <c r="V20" s="704"/>
      <c r="W20" s="705"/>
      <c r="X20" s="1354"/>
      <c r="Y20" s="3690"/>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8"/>
      <c r="Q22" s="1351"/>
      <c r="R22" s="704"/>
      <c r="S22" s="705"/>
      <c r="T22" s="704"/>
      <c r="U22" s="705"/>
      <c r="V22" s="704"/>
      <c r="W22" s="705"/>
      <c r="X22" s="1354"/>
      <c r="Y22" s="3690"/>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8"/>
      <c r="Q24" s="1351"/>
      <c r="R24" s="704"/>
      <c r="S24" s="705"/>
      <c r="T24" s="704"/>
      <c r="U24" s="705"/>
      <c r="V24" s="704"/>
      <c r="W24" s="705"/>
      <c r="X24" s="1354"/>
      <c r="Y24" s="369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8"/>
      <c r="Q26" s="1351"/>
      <c r="R26" s="704"/>
      <c r="S26" s="705"/>
      <c r="T26" s="704"/>
      <c r="U26" s="705"/>
      <c r="V26" s="704"/>
      <c r="W26" s="705"/>
      <c r="X26" s="1354"/>
      <c r="Y26" s="369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73"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22383.909999999996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667" t="s">
        <v>1673</v>
      </c>
      <c r="D5" s="3668"/>
      <c r="E5" s="3665" t="s">
        <v>1674</v>
      </c>
      <c r="F5" s="3666"/>
      <c r="G5" s="3667" t="s">
        <v>1675</v>
      </c>
      <c r="H5" s="3668"/>
      <c r="I5" s="3667" t="s">
        <v>1676</v>
      </c>
      <c r="J5" s="3668"/>
      <c r="K5" s="559"/>
      <c r="L5" s="912"/>
      <c r="M5" s="913"/>
      <c r="N5" s="913"/>
      <c r="O5" s="913"/>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912"/>
      <c r="M6" s="913"/>
      <c r="N6" s="913"/>
      <c r="O6" s="913"/>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9" t="s">
        <v>1683</v>
      </c>
      <c r="Q8" s="3660"/>
      <c r="R8" s="700" t="s">
        <v>14</v>
      </c>
      <c r="S8" s="701">
        <f t="shared" si="0"/>
        <v>100</v>
      </c>
      <c r="T8" s="700" t="s">
        <v>14</v>
      </c>
      <c r="U8" s="701">
        <f t="shared" si="1"/>
        <v>100</v>
      </c>
      <c r="V8" s="700" t="s">
        <v>14</v>
      </c>
      <c r="W8" s="701">
        <f t="shared" si="2"/>
        <v>100</v>
      </c>
      <c r="X8" s="702"/>
      <c r="Y8" s="3659" t="s">
        <v>1683</v>
      </c>
      <c r="Z8" s="366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2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2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估价对象为北京市房地产，为所有。根据《国有土地使用证》[]，估价对象（分摊）出让国有建设用地使用权面积为12157.82平方米，建筑面积为22383.91平方米。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估价对象为北京市房地产,属开发建设的商业项目，该项目尚在开发建设中。根据《国有土地使用证》[]，估价对象（分摊）出让国有建设用地使用权面积为12157.82平方米，规划建筑面积为22383.91平方米。</v>
      </c>
    </row>
    <row r="11" spans="1:1" ht="76.5">
      <c r="A11" s="1482" t="s">
        <v>903</v>
      </c>
    </row>
    <row r="12" spans="1:1" ht="18.75">
      <c r="A12" s="1480" t="s">
        <v>904</v>
      </c>
    </row>
    <row r="13" spans="1:1" ht="38.25" customHeight="1">
      <c r="A13" s="1483" t="str">
        <f>IF(项目基本情况!B8="抵押",IF(项目基本情况!B5=项目基本情况!B6,定义!C51,定义!B51),定义!D51)</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667" t="s">
        <v>1673</v>
      </c>
      <c r="D5" s="3668"/>
      <c r="E5" s="3665" t="s">
        <v>1674</v>
      </c>
      <c r="F5" s="3666"/>
      <c r="G5" s="3667" t="s">
        <v>1675</v>
      </c>
      <c r="H5" s="3668"/>
      <c r="I5" s="3667" t="s">
        <v>1676</v>
      </c>
      <c r="J5" s="3668"/>
      <c r="K5" s="559"/>
      <c r="L5" s="2713"/>
      <c r="M5" s="2714"/>
      <c r="N5" s="2714"/>
      <c r="O5" s="2714"/>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9" t="s">
        <v>1683</v>
      </c>
      <c r="Q8" s="3660"/>
      <c r="R8" s="700" t="s">
        <v>14</v>
      </c>
      <c r="S8" s="701">
        <f t="shared" si="0"/>
        <v>100</v>
      </c>
      <c r="T8" s="700" t="s">
        <v>14</v>
      </c>
      <c r="U8" s="701">
        <f t="shared" si="1"/>
        <v>100</v>
      </c>
      <c r="V8" s="700" t="s">
        <v>14</v>
      </c>
      <c r="W8" s="701">
        <f t="shared" si="2"/>
        <v>100</v>
      </c>
      <c r="X8" s="702"/>
      <c r="Y8" s="3659" t="s">
        <v>1683</v>
      </c>
      <c r="Z8" s="366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2" t="str">
        <f t="shared" ref="Q9:Q14" si="6">B9</f>
        <v>用途</v>
      </c>
      <c r="R9" s="700" t="s">
        <v>14</v>
      </c>
      <c r="S9" s="701">
        <f t="shared" si="0"/>
        <v>100</v>
      </c>
      <c r="T9" s="700" t="s">
        <v>14</v>
      </c>
      <c r="U9" s="701">
        <f t="shared" si="1"/>
        <v>100</v>
      </c>
      <c r="V9" s="700" t="s">
        <v>14</v>
      </c>
      <c r="W9" s="701">
        <f t="shared" si="2"/>
        <v>100</v>
      </c>
      <c r="X9" s="702"/>
      <c r="Y9" s="3623"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96"/>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2">
        <f t="shared" si="6"/>
        <v>111</v>
      </c>
      <c r="R11" s="700" t="s">
        <v>14</v>
      </c>
      <c r="S11" s="701">
        <f t="shared" si="0"/>
        <v>100</v>
      </c>
      <c r="T11" s="700" t="s">
        <v>14</v>
      </c>
      <c r="U11" s="701">
        <f t="shared" si="1"/>
        <v>100</v>
      </c>
      <c r="V11" s="700" t="s">
        <v>14</v>
      </c>
      <c r="W11" s="701">
        <f t="shared" si="2"/>
        <v>100</v>
      </c>
      <c r="X11" s="702"/>
      <c r="Y11" s="362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90"/>
      <c r="Q15" s="1351"/>
      <c r="R15" s="704"/>
      <c r="S15" s="705"/>
      <c r="T15" s="704"/>
      <c r="U15" s="705"/>
      <c r="V15" s="704"/>
      <c r="W15" s="705"/>
      <c r="X15" s="1354"/>
      <c r="Y15" s="3690"/>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90"/>
      <c r="Q17" s="1351"/>
      <c r="R17" s="704"/>
      <c r="S17" s="705"/>
      <c r="T17" s="704"/>
      <c r="U17" s="705"/>
      <c r="V17" s="704"/>
      <c r="W17" s="705"/>
      <c r="X17" s="1354"/>
      <c r="Y17" s="3690"/>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90"/>
      <c r="Q19" s="1351"/>
      <c r="R19" s="704"/>
      <c r="S19" s="705"/>
      <c r="T19" s="704"/>
      <c r="U19" s="705"/>
      <c r="V19" s="704"/>
      <c r="W19" s="705"/>
      <c r="X19" s="1354"/>
      <c r="Y19" s="3690"/>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90"/>
      <c r="Q21" s="1351"/>
      <c r="R21" s="704"/>
      <c r="S21" s="705"/>
      <c r="T21" s="704"/>
      <c r="U21" s="705"/>
      <c r="V21" s="704"/>
      <c r="W21" s="705"/>
      <c r="X21" s="1354"/>
      <c r="Y21" s="369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98" t="str">
        <f>A39</f>
        <v>估价对象XX用房的比较价值（楼面单价，元/平方米）</v>
      </c>
      <c r="Q39" s="3699"/>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667" t="s">
        <v>1673</v>
      </c>
      <c r="D5" s="3668"/>
      <c r="E5" s="3665" t="s">
        <v>1674</v>
      </c>
      <c r="F5" s="3666"/>
      <c r="G5" s="3667" t="s">
        <v>1675</v>
      </c>
      <c r="H5" s="3668"/>
      <c r="I5" s="3667" t="s">
        <v>1676</v>
      </c>
      <c r="J5" s="3668"/>
      <c r="K5" s="559"/>
      <c r="L5" s="2713"/>
      <c r="M5" s="2714"/>
      <c r="N5" s="2714"/>
      <c r="O5" s="2714"/>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0" t="s">
        <v>14</v>
      </c>
      <c r="S8" s="701">
        <f t="shared" si="0"/>
        <v>100</v>
      </c>
      <c r="T8" s="700" t="s">
        <v>14</v>
      </c>
      <c r="U8" s="701">
        <f t="shared" si="1"/>
        <v>100</v>
      </c>
      <c r="V8" s="700" t="s">
        <v>14</v>
      </c>
      <c r="W8" s="701">
        <f t="shared" si="2"/>
        <v>100</v>
      </c>
      <c r="X8" s="702"/>
      <c r="Y8" s="3659" t="s">
        <v>1683</v>
      </c>
      <c r="Z8" s="366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2" t="str">
        <f t="shared" ref="Q9:Q14" si="6">B9</f>
        <v>用途</v>
      </c>
      <c r="R9" s="700" t="s">
        <v>14</v>
      </c>
      <c r="S9" s="701">
        <f t="shared" si="0"/>
        <v>100</v>
      </c>
      <c r="T9" s="700" t="s">
        <v>14</v>
      </c>
      <c r="U9" s="701">
        <f t="shared" si="1"/>
        <v>100</v>
      </c>
      <c r="V9" s="700" t="s">
        <v>14</v>
      </c>
      <c r="W9" s="701">
        <f t="shared" si="2"/>
        <v>100</v>
      </c>
      <c r="X9" s="702"/>
      <c r="Y9" s="3623"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96"/>
      <c r="Q10" s="1342" t="str">
        <f t="shared" si="6"/>
        <v>土地使用年限（年）</v>
      </c>
      <c r="R10" s="700" t="s">
        <v>14</v>
      </c>
      <c r="S10" s="701">
        <f t="shared" si="0"/>
        <v>100</v>
      </c>
      <c r="T10" s="700" t="s">
        <v>14</v>
      </c>
      <c r="U10" s="701">
        <f t="shared" si="1"/>
        <v>100</v>
      </c>
      <c r="V10" s="700" t="s">
        <v>14</v>
      </c>
      <c r="W10" s="701">
        <f t="shared" si="2"/>
        <v>100</v>
      </c>
      <c r="X10" s="702"/>
      <c r="Y10" s="362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2">
        <f t="shared" si="6"/>
        <v>111</v>
      </c>
      <c r="R11" s="700" t="s">
        <v>14</v>
      </c>
      <c r="S11" s="701">
        <f t="shared" si="0"/>
        <v>100</v>
      </c>
      <c r="T11" s="700" t="s">
        <v>14</v>
      </c>
      <c r="U11" s="701">
        <f t="shared" si="1"/>
        <v>100</v>
      </c>
      <c r="V11" s="700" t="s">
        <v>14</v>
      </c>
      <c r="W11" s="701">
        <f t="shared" si="2"/>
        <v>100</v>
      </c>
      <c r="X11" s="702"/>
      <c r="Y11" s="362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6"/>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0"/>
      <c r="Q15" s="1351"/>
      <c r="R15" s="704"/>
      <c r="S15" s="705"/>
      <c r="T15" s="704"/>
      <c r="U15" s="705"/>
      <c r="V15" s="704"/>
      <c r="W15" s="705"/>
      <c r="X15" s="1354"/>
      <c r="Y15" s="369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0"/>
      <c r="Q17" s="1351"/>
      <c r="R17" s="704"/>
      <c r="S17" s="705"/>
      <c r="T17" s="704"/>
      <c r="U17" s="705"/>
      <c r="V17" s="704"/>
      <c r="W17" s="705"/>
      <c r="X17" s="1354"/>
      <c r="Y17" s="369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0"/>
      <c r="Q19" s="1351"/>
      <c r="R19" s="704"/>
      <c r="S19" s="705"/>
      <c r="T19" s="704"/>
      <c r="U19" s="705"/>
      <c r="V19" s="704"/>
      <c r="W19" s="705"/>
      <c r="X19" s="1354"/>
      <c r="Y19" s="369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8" t="str">
        <f>A37</f>
        <v>估价对象XX用房的比较价值（楼面单价，元/平方米）</v>
      </c>
      <c r="Q37" s="3699"/>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30" ht="15">
      <c r="A5" s="358"/>
      <c r="B5" s="359"/>
      <c r="C5" s="3667" t="s">
        <v>1673</v>
      </c>
      <c r="D5" s="3668"/>
      <c r="E5" s="3665" t="s">
        <v>1674</v>
      </c>
      <c r="F5" s="3666"/>
      <c r="G5" s="3667" t="s">
        <v>1675</v>
      </c>
      <c r="H5" s="3668"/>
      <c r="I5" s="3667" t="s">
        <v>1676</v>
      </c>
      <c r="J5" s="3668"/>
      <c r="K5" s="559"/>
      <c r="L5" s="2713"/>
      <c r="M5" s="2714"/>
      <c r="N5" s="2714"/>
      <c r="O5" s="2714"/>
      <c r="P5" s="3680"/>
      <c r="Q5" s="3681"/>
      <c r="R5" s="3663"/>
      <c r="S5" s="3664"/>
      <c r="T5" s="3663"/>
      <c r="U5" s="3664"/>
      <c r="V5" s="3658"/>
      <c r="W5" s="3658"/>
      <c r="X5" s="1354"/>
      <c r="Y5" s="3663"/>
      <c r="Z5" s="3664"/>
      <c r="AA5" s="3656"/>
      <c r="AB5" s="3656"/>
      <c r="AC5" s="3656"/>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58"/>
      <c r="W6" s="3658"/>
      <c r="X6" s="1354"/>
      <c r="Y6" s="3684"/>
      <c r="Z6" s="3685"/>
      <c r="AA6" s="3657"/>
      <c r="AB6" s="3657"/>
      <c r="AC6" s="3657"/>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0" t="s">
        <v>14</v>
      </c>
      <c r="S8" s="701">
        <f t="shared" si="0"/>
        <v>0</v>
      </c>
      <c r="T8" s="700" t="s">
        <v>14</v>
      </c>
      <c r="U8" s="701">
        <f t="shared" si="1"/>
        <v>0</v>
      </c>
      <c r="V8" s="700" t="s">
        <v>14</v>
      </c>
      <c r="W8" s="701">
        <f t="shared" si="2"/>
        <v>0</v>
      </c>
      <c r="X8" s="702"/>
      <c r="Y8" s="3659" t="s">
        <v>1683</v>
      </c>
      <c r="Z8" s="366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6"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19"/>
      <c r="L10" s="2717"/>
      <c r="M10" s="2718"/>
      <c r="N10" s="2718"/>
      <c r="O10" s="2771"/>
      <c r="P10" s="3696"/>
      <c r="Q10" s="1342" t="str">
        <f t="shared" si="6"/>
        <v>土地使用年限（年）</v>
      </c>
      <c r="R10" s="700" t="s">
        <v>14</v>
      </c>
      <c r="S10" s="701">
        <f t="shared" si="0"/>
        <v>130</v>
      </c>
      <c r="T10" s="700" t="s">
        <v>14</v>
      </c>
      <c r="U10" s="701">
        <f t="shared" si="1"/>
        <v>130</v>
      </c>
      <c r="V10" s="700" t="s">
        <v>14</v>
      </c>
      <c r="W10" s="701">
        <f t="shared" si="2"/>
        <v>130</v>
      </c>
      <c r="X10" s="702"/>
      <c r="Y10" s="3623"/>
      <c r="Z10" s="52" t="str">
        <f t="shared" si="7"/>
        <v>土地使用年限（年）</v>
      </c>
      <c r="AA10" s="703">
        <f t="shared" si="3"/>
        <v>0.76923076923076927</v>
      </c>
      <c r="AB10" s="703">
        <f t="shared" si="4"/>
        <v>0.76923076923076927</v>
      </c>
      <c r="AC10" s="703">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6"/>
      <c r="Q11" s="1342" t="str">
        <f t="shared" si="6"/>
        <v>容积率</v>
      </c>
      <c r="R11" s="700" t="s">
        <v>14</v>
      </c>
      <c r="S11" s="701" t="e">
        <f t="shared" si="0"/>
        <v>#N/A</v>
      </c>
      <c r="T11" s="700" t="s">
        <v>14</v>
      </c>
      <c r="U11" s="701" t="e">
        <f t="shared" si="1"/>
        <v>#N/A</v>
      </c>
      <c r="V11" s="700" t="s">
        <v>14</v>
      </c>
      <c r="W11" s="701" t="e">
        <f t="shared" si="2"/>
        <v>#N/A</v>
      </c>
      <c r="X11" s="702"/>
      <c r="Y11" s="362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6"/>
      <c r="Q12" s="1342" t="str">
        <f t="shared" si="6"/>
        <v>配建</v>
      </c>
      <c r="R12" s="700" t="s">
        <v>14</v>
      </c>
      <c r="S12" s="701">
        <f t="shared" si="0"/>
        <v>100</v>
      </c>
      <c r="T12" s="700" t="s">
        <v>14</v>
      </c>
      <c r="U12" s="701">
        <f t="shared" si="1"/>
        <v>100</v>
      </c>
      <c r="V12" s="700" t="s">
        <v>14</v>
      </c>
      <c r="W12" s="701">
        <f t="shared" si="2"/>
        <v>100</v>
      </c>
      <c r="X12" s="702"/>
      <c r="Y12" s="362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6"/>
      <c r="Q13" s="1342">
        <f t="shared" si="6"/>
        <v>111</v>
      </c>
      <c r="R13" s="700" t="s">
        <v>14</v>
      </c>
      <c r="S13" s="701">
        <f t="shared" si="0"/>
        <v>100</v>
      </c>
      <c r="T13" s="700" t="s">
        <v>14</v>
      </c>
      <c r="U13" s="701">
        <f t="shared" si="1"/>
        <v>100</v>
      </c>
      <c r="V13" s="700" t="s">
        <v>14</v>
      </c>
      <c r="W13" s="701">
        <f t="shared" si="2"/>
        <v>100</v>
      </c>
      <c r="X13" s="702"/>
      <c r="Y13" s="362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6"/>
      <c r="Q14" s="1342">
        <f t="shared" si="6"/>
        <v>111</v>
      </c>
      <c r="R14" s="700" t="s">
        <v>14</v>
      </c>
      <c r="S14" s="701">
        <f t="shared" si="0"/>
        <v>100</v>
      </c>
      <c r="T14" s="700" t="s">
        <v>14</v>
      </c>
      <c r="U14" s="701">
        <f t="shared" si="1"/>
        <v>100</v>
      </c>
      <c r="V14" s="700" t="s">
        <v>14</v>
      </c>
      <c r="W14" s="701">
        <f t="shared" si="2"/>
        <v>100</v>
      </c>
      <c r="X14" s="702"/>
      <c r="Y14" s="362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90"/>
      <c r="Q16" s="1351"/>
      <c r="R16" s="704"/>
      <c r="S16" s="705"/>
      <c r="T16" s="704"/>
      <c r="U16" s="705"/>
      <c r="V16" s="704"/>
      <c r="W16" s="705"/>
      <c r="X16" s="1354"/>
      <c r="Y16" s="369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90"/>
      <c r="Q18" s="1351"/>
      <c r="R18" s="704"/>
      <c r="S18" s="705"/>
      <c r="T18" s="704"/>
      <c r="U18" s="705"/>
      <c r="V18" s="704"/>
      <c r="W18" s="705"/>
      <c r="X18" s="1354"/>
      <c r="Y18" s="369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90"/>
      <c r="Q20" s="1351"/>
      <c r="R20" s="704"/>
      <c r="S20" s="705"/>
      <c r="T20" s="704"/>
      <c r="U20" s="705"/>
      <c r="V20" s="704"/>
      <c r="W20" s="705"/>
      <c r="X20" s="1354"/>
      <c r="Y20" s="369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90"/>
      <c r="Q24" s="1351"/>
      <c r="R24" s="704"/>
      <c r="S24" s="705"/>
      <c r="T24" s="704"/>
      <c r="U24" s="705"/>
      <c r="V24" s="704"/>
      <c r="W24" s="705"/>
      <c r="X24" s="1354"/>
      <c r="Y24" s="369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90"/>
      <c r="Q26" s="1351"/>
      <c r="R26" s="704"/>
      <c r="S26" s="705"/>
      <c r="T26" s="704"/>
      <c r="U26" s="705"/>
      <c r="V26" s="704"/>
      <c r="W26" s="705"/>
      <c r="X26" s="1354"/>
      <c r="Y26" s="3690"/>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90"/>
      <c r="Q28" s="1342"/>
      <c r="R28" s="700"/>
      <c r="S28" s="701"/>
      <c r="T28" s="700"/>
      <c r="U28" s="701"/>
      <c r="V28" s="700"/>
      <c r="W28" s="701"/>
      <c r="X28" s="702"/>
      <c r="Y28" s="3690"/>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7"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96" t="str">
        <f>A46</f>
        <v>成交单价</v>
      </c>
      <c r="Q46" s="3696"/>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96" t="str">
        <f>A47</f>
        <v>比较价值（元/平方米）</v>
      </c>
      <c r="Q47" s="3696"/>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8" t="str">
        <f>A48</f>
        <v>估价对象XX用房的比较价值（楼面单价，元/平方米）</v>
      </c>
      <c r="Q48" s="3699"/>
      <c r="R48" s="3740" t="e">
        <f>ROUND(IF(D47="简单平均",AVERAGE(R47:W47),R47*F47+T47*H47+V47*J47),0)</f>
        <v>#DIV/0!</v>
      </c>
      <c r="S48" s="3740"/>
      <c r="T48" s="3740"/>
      <c r="U48" s="3740"/>
      <c r="V48" s="3740"/>
      <c r="W48" s="374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74" t="s">
        <v>1887</v>
      </c>
      <c r="H55" s="3741"/>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19037.439999999999</v>
      </c>
      <c r="F56" s="885" t="e">
        <f t="shared" ref="F56:F64" si="15">ROUND(B56*E56/10000,0)</f>
        <v>#DIV/0!</v>
      </c>
      <c r="G56" s="3673"/>
      <c r="H56" s="369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六级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六级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六级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1690.2200000000012</v>
      </c>
      <c r="F63" s="885" t="e">
        <f t="shared" si="15"/>
        <v>#DIV/0!</v>
      </c>
      <c r="G63" s="1986" t="s">
        <v>1892</v>
      </c>
      <c r="H63" s="886" t="str">
        <f>项目基本情况!B37</f>
        <v>六级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20727.66</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667" t="s">
        <v>1673</v>
      </c>
      <c r="D5" s="3668"/>
      <c r="E5" s="3665" t="s">
        <v>1674</v>
      </c>
      <c r="F5" s="3666"/>
      <c r="G5" s="3667" t="s">
        <v>1675</v>
      </c>
      <c r="H5" s="3668"/>
      <c r="I5" s="3667" t="s">
        <v>1676</v>
      </c>
      <c r="J5" s="3668"/>
      <c r="K5" s="559"/>
      <c r="L5" s="2713"/>
      <c r="M5" s="2714"/>
      <c r="N5" s="2714"/>
      <c r="O5" s="2714"/>
      <c r="P5" s="3680"/>
      <c r="Q5" s="3681"/>
      <c r="R5" s="3663"/>
      <c r="S5" s="3664"/>
      <c r="T5" s="3663"/>
      <c r="U5" s="3664"/>
      <c r="V5" s="3658"/>
      <c r="W5" s="3658"/>
      <c r="X5" s="1354"/>
      <c r="Y5" s="3663"/>
      <c r="Z5" s="3664"/>
      <c r="AA5" s="3656"/>
      <c r="AB5" s="3656"/>
      <c r="AC5" s="3656"/>
    </row>
    <row r="6" spans="1:29" ht="15.75" thickBot="1">
      <c r="A6" s="360"/>
      <c r="B6" s="361"/>
      <c r="C6" s="3742" t="s">
        <v>1919</v>
      </c>
      <c r="D6" s="3743"/>
      <c r="E6" s="3744" t="s">
        <v>1919</v>
      </c>
      <c r="F6" s="3745"/>
      <c r="G6" s="3742" t="s">
        <v>1919</v>
      </c>
      <c r="H6" s="3743"/>
      <c r="I6" s="3742" t="s">
        <v>1919</v>
      </c>
      <c r="J6" s="3743"/>
      <c r="K6" s="559" t="s">
        <v>1678</v>
      </c>
      <c r="L6" s="2713"/>
      <c r="M6" s="2714"/>
      <c r="N6" s="2714"/>
      <c r="O6" s="2714"/>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0" t="s">
        <v>14</v>
      </c>
      <c r="S8" s="701">
        <f t="shared" si="0"/>
        <v>0</v>
      </c>
      <c r="T8" s="700" t="s">
        <v>14</v>
      </c>
      <c r="U8" s="701">
        <f t="shared" si="1"/>
        <v>0</v>
      </c>
      <c r="V8" s="700" t="s">
        <v>14</v>
      </c>
      <c r="W8" s="701">
        <f t="shared" si="2"/>
        <v>0</v>
      </c>
      <c r="X8" s="702"/>
      <c r="Y8" s="3659" t="s">
        <v>1683</v>
      </c>
      <c r="Z8" s="366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6" t="s">
        <v>1686</v>
      </c>
      <c r="Q9" s="1342" t="str">
        <f t="shared" ref="Q9:Q15" si="6">B9</f>
        <v>用途</v>
      </c>
      <c r="R9" s="700" t="s">
        <v>14</v>
      </c>
      <c r="S9" s="701">
        <f t="shared" si="0"/>
        <v>100</v>
      </c>
      <c r="T9" s="700" t="s">
        <v>14</v>
      </c>
      <c r="U9" s="701">
        <f t="shared" si="1"/>
        <v>100</v>
      </c>
      <c r="V9" s="700" t="s">
        <v>14</v>
      </c>
      <c r="W9" s="701">
        <f t="shared" si="2"/>
        <v>100</v>
      </c>
      <c r="X9" s="702"/>
      <c r="Y9" s="362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19"/>
      <c r="L10" s="2717"/>
      <c r="M10" s="2718"/>
      <c r="N10" s="2718"/>
      <c r="O10" s="2771"/>
      <c r="P10" s="3696"/>
      <c r="Q10" s="1342" t="str">
        <f t="shared" si="6"/>
        <v>土地使用年限（年）</v>
      </c>
      <c r="R10" s="700" t="s">
        <v>14</v>
      </c>
      <c r="S10" s="701">
        <f t="shared" si="0"/>
        <v>130</v>
      </c>
      <c r="T10" s="700" t="s">
        <v>14</v>
      </c>
      <c r="U10" s="701">
        <f t="shared" si="1"/>
        <v>130</v>
      </c>
      <c r="V10" s="700" t="s">
        <v>14</v>
      </c>
      <c r="W10" s="701">
        <f t="shared" si="2"/>
        <v>130</v>
      </c>
      <c r="X10" s="702"/>
      <c r="Y10" s="3623"/>
      <c r="Z10" s="52" t="str">
        <f t="shared" si="7"/>
        <v>土地使用年限（年）</v>
      </c>
      <c r="AA10" s="703">
        <f t="shared" si="3"/>
        <v>0.76923076923076927</v>
      </c>
      <c r="AB10" s="703">
        <f t="shared" si="4"/>
        <v>0.76923076923076927</v>
      </c>
      <c r="AC10" s="703">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6"/>
      <c r="Q11" s="1342" t="str">
        <f t="shared" si="6"/>
        <v>容积率</v>
      </c>
      <c r="R11" s="700" t="s">
        <v>14</v>
      </c>
      <c r="S11" s="701" t="e">
        <f t="shared" si="0"/>
        <v>#N/A</v>
      </c>
      <c r="T11" s="700" t="s">
        <v>14</v>
      </c>
      <c r="U11" s="701" t="e">
        <f t="shared" si="1"/>
        <v>#N/A</v>
      </c>
      <c r="V11" s="700" t="s">
        <v>14</v>
      </c>
      <c r="W11" s="701" t="e">
        <f t="shared" si="2"/>
        <v>#N/A</v>
      </c>
      <c r="X11" s="702"/>
      <c r="Y11" s="362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6"/>
      <c r="Q12" s="1342">
        <f t="shared" si="6"/>
        <v>111</v>
      </c>
      <c r="R12" s="700" t="s">
        <v>14</v>
      </c>
      <c r="S12" s="701">
        <f t="shared" si="0"/>
        <v>100</v>
      </c>
      <c r="T12" s="700" t="s">
        <v>14</v>
      </c>
      <c r="U12" s="701">
        <f t="shared" si="1"/>
        <v>100</v>
      </c>
      <c r="V12" s="700" t="s">
        <v>14</v>
      </c>
      <c r="W12" s="701">
        <f t="shared" si="2"/>
        <v>100</v>
      </c>
      <c r="X12" s="702"/>
      <c r="Y12" s="362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6"/>
      <c r="Q13" s="1342">
        <f t="shared" si="6"/>
        <v>111</v>
      </c>
      <c r="R13" s="700" t="s">
        <v>14</v>
      </c>
      <c r="S13" s="701">
        <f t="shared" si="0"/>
        <v>100</v>
      </c>
      <c r="T13" s="700" t="s">
        <v>14</v>
      </c>
      <c r="U13" s="701">
        <f t="shared" si="1"/>
        <v>100</v>
      </c>
      <c r="V13" s="700" t="s">
        <v>14</v>
      </c>
      <c r="W13" s="701">
        <f t="shared" si="2"/>
        <v>100</v>
      </c>
      <c r="X13" s="702"/>
      <c r="Y13" s="362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6"/>
      <c r="Q14" s="1342">
        <f t="shared" si="6"/>
        <v>111</v>
      </c>
      <c r="R14" s="700" t="s">
        <v>14</v>
      </c>
      <c r="S14" s="701">
        <f t="shared" si="0"/>
        <v>100</v>
      </c>
      <c r="T14" s="700" t="s">
        <v>14</v>
      </c>
      <c r="U14" s="701">
        <f t="shared" si="1"/>
        <v>100</v>
      </c>
      <c r="V14" s="700" t="s">
        <v>14</v>
      </c>
      <c r="W14" s="701">
        <f t="shared" si="2"/>
        <v>100</v>
      </c>
      <c r="X14" s="702"/>
      <c r="Y14" s="362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90"/>
      <c r="Q16" s="1351"/>
      <c r="R16" s="704"/>
      <c r="S16" s="705"/>
      <c r="T16" s="704"/>
      <c r="U16" s="705"/>
      <c r="V16" s="704"/>
      <c r="W16" s="705"/>
      <c r="X16" s="1354"/>
      <c r="Y16" s="3690"/>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90"/>
      <c r="Q18" s="1351"/>
      <c r="R18" s="704"/>
      <c r="S18" s="705"/>
      <c r="T18" s="704"/>
      <c r="U18" s="705"/>
      <c r="V18" s="704"/>
      <c r="W18" s="705"/>
      <c r="X18" s="1354"/>
      <c r="Y18" s="369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90"/>
      <c r="Q20" s="1351"/>
      <c r="R20" s="704"/>
      <c r="S20" s="705"/>
      <c r="T20" s="704"/>
      <c r="U20" s="705"/>
      <c r="V20" s="704"/>
      <c r="W20" s="705"/>
      <c r="X20" s="1354"/>
      <c r="Y20" s="3690"/>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90"/>
      <c r="Q22" s="1351"/>
      <c r="R22" s="704"/>
      <c r="S22" s="705"/>
      <c r="T22" s="704"/>
      <c r="U22" s="705"/>
      <c r="V22" s="704"/>
      <c r="W22" s="705"/>
      <c r="X22" s="1354"/>
      <c r="Y22" s="3690"/>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90"/>
      <c r="Q24" s="1342"/>
      <c r="R24" s="700"/>
      <c r="S24" s="701"/>
      <c r="T24" s="700"/>
      <c r="U24" s="701"/>
      <c r="V24" s="700"/>
      <c r="W24" s="701"/>
      <c r="X24" s="702"/>
      <c r="Y24" s="3690"/>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90"/>
      <c r="Q26" s="1342"/>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90"/>
      <c r="Q29" s="1351"/>
      <c r="R29" s="704"/>
      <c r="S29" s="705"/>
      <c r="T29" s="704"/>
      <c r="U29" s="705"/>
      <c r="V29" s="704"/>
      <c r="W29" s="705"/>
      <c r="X29" s="1354"/>
      <c r="Y29" s="369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7"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96" t="str">
        <f>A41</f>
        <v>成交单价</v>
      </c>
      <c r="Q41" s="3696"/>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96" t="str">
        <f>A42</f>
        <v>比较价值（元/平方米）</v>
      </c>
      <c r="Q42" s="3696"/>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8" t="str">
        <f>A43</f>
        <v>估价对象XX用房的比较价值（楼面单价，元/平方米）</v>
      </c>
      <c r="Q43" s="3699"/>
      <c r="R43" s="3740" t="e">
        <f>ROUND(IF(D42="简单平均",AVERAGE(R42:W42),R42*F42+T42*H42+V42*J42),0)</f>
        <v>#DIV/0!</v>
      </c>
      <c r="S43" s="3740"/>
      <c r="T43" s="3740"/>
      <c r="U43" s="3740"/>
      <c r="V43" s="3740"/>
      <c r="W43" s="374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74" t="s">
        <v>1887</v>
      </c>
      <c r="H50" s="3741"/>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19037.439999999999</v>
      </c>
      <c r="F51" s="638" t="e">
        <f t="shared" ref="F51:F60" si="15">ROUND(B51*E51/10000,0)</f>
        <v>#DIV/0!</v>
      </c>
      <c r="G51" s="3673"/>
      <c r="H51" s="369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六级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六级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六级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1690.2200000000012</v>
      </c>
      <c r="F59" s="638" t="e">
        <f t="shared" si="15"/>
        <v>#DIV/0!</v>
      </c>
      <c r="G59" s="1986" t="s">
        <v>1892</v>
      </c>
      <c r="H59" s="886" t="str">
        <f>项目基本情况!B37</f>
        <v>六级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12157.82</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17647</v>
      </c>
      <c r="C2" s="2144" t="s">
        <v>2074</v>
      </c>
      <c r="D2" s="2144" t="s">
        <v>2075</v>
      </c>
      <c r="E2" s="2610">
        <f ca="1">SUMIF(E6:E13,"&lt;&gt;#ref!",E6:E13)</f>
        <v>20727.66</v>
      </c>
      <c r="F2" s="2791"/>
      <c r="G2" s="2791"/>
      <c r="H2" s="2791"/>
      <c r="I2" s="2791"/>
      <c r="J2" s="2791"/>
      <c r="K2" s="2791"/>
      <c r="L2" s="2791"/>
      <c r="M2" s="2791"/>
      <c r="N2" s="2791"/>
      <c r="O2" s="2791"/>
      <c r="P2" s="2791"/>
    </row>
    <row r="3" spans="1:16" ht="15.75">
      <c r="A3" s="2144" t="s">
        <v>2076</v>
      </c>
      <c r="B3" s="2600">
        <f ca="1">ROUND(B2*10000/E2,0)</f>
        <v>8514</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17647</v>
      </c>
      <c r="C6" s="2144" t="s">
        <v>2074</v>
      </c>
      <c r="D6" s="2791"/>
      <c r="E6" s="2610">
        <f ca="1">SUMIF(INDIRECT("'"&amp;A6&amp;"'"&amp;"!C:C"),"建筑面积",INDIRECT("'"&amp;A6&amp;"'"&amp;"!D:D"))</f>
        <v>20727.66</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20727.66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17647</v>
      </c>
      <c r="C2" s="1998" t="s">
        <v>1935</v>
      </c>
      <c r="D2" s="1999" t="s">
        <v>1936</v>
      </c>
      <c r="E2" s="3419"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12518</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8514</v>
      </c>
      <c r="C3" s="1998" t="s">
        <v>1941</v>
      </c>
      <c r="D3" s="1999" t="s">
        <v>1942</v>
      </c>
      <c r="E3" s="3452" t="s">
        <v>2449</v>
      </c>
      <c r="F3" s="2003" t="s">
        <v>3455</v>
      </c>
      <c r="G3" s="751">
        <f>IF(F3="宗地容积率",'数据-汇总表'!I4,IF(F3="估价对象容积率",'数据-汇总表'!I6,'数据-汇总表'!I7))</f>
        <v>1.57</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9867</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8339</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10910</v>
      </c>
      <c r="D5" s="1338">
        <f>ROUND(C6*C17+C20,0)</f>
        <v>10910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7355</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10910</v>
      </c>
      <c r="D6" s="2016"/>
      <c r="E6" s="2017"/>
      <c r="F6" s="2017"/>
      <c r="G6" s="2018"/>
      <c r="H6" s="2018"/>
      <c r="I6" s="2018"/>
      <c r="J6" s="2019"/>
      <c r="K6" s="1383"/>
      <c r="L6" s="2002" t="s">
        <v>1951</v>
      </c>
      <c r="M6" s="863">
        <f>SUMPRODUCT((区片价!B127:B189=I2)*(区片价!C3:G3=E2)*(区片价!C127:G189))</f>
        <v>10910</v>
      </c>
      <c r="N6" s="865">
        <f>SUMPRODUCT((因素修正幅度!B127:B189=I2)*(因素修正幅度!C3:G3=E2)*(因素修正幅度!C127:G189))</f>
        <v>0.13</v>
      </c>
      <c r="O6" s="1118"/>
      <c r="P6" s="1118"/>
      <c r="Q6" s="1118"/>
      <c r="R6" s="1211">
        <v>5</v>
      </c>
      <c r="S6" s="3359">
        <f>ROUND(SUMPRODUCT((B106:B110=R6)*(C105:N105=G2)*(C106:N110)),4)</f>
        <v>0.84799999999999998</v>
      </c>
      <c r="T6" s="3359">
        <f t="shared" si="0"/>
        <v>7068</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六级</v>
      </c>
      <c r="Y7" s="1213" t="s">
        <v>1956</v>
      </c>
      <c r="Z7" s="1214">
        <f>G3</f>
        <v>1.57</v>
      </c>
      <c r="AA7" s="1215"/>
      <c r="AB7" s="1215"/>
      <c r="AC7" s="1216"/>
      <c r="AD7" s="1217"/>
      <c r="AE7" s="1217"/>
      <c r="AF7" s="1217"/>
      <c r="AG7" s="1217"/>
      <c r="AH7" s="1217"/>
      <c r="AI7" s="1217"/>
      <c r="AJ7" s="1218"/>
    </row>
    <row r="8" spans="1:36" ht="25.5">
      <c r="A8" s="3297"/>
      <c r="B8" s="170" t="s">
        <v>1957</v>
      </c>
      <c r="C8" s="2025" t="s">
        <v>3444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8"/>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63" t="s">
        <v>3258</v>
      </c>
      <c r="B20" s="167" t="s">
        <v>1994</v>
      </c>
      <c r="C20" s="3323">
        <f>ROUND(IF(F21="与级别开发程度一致",0,(G21-E21)/C21),0)</f>
        <v>0</v>
      </c>
      <c r="D20" s="3339" t="s">
        <v>1998</v>
      </c>
      <c r="E20" s="3340"/>
      <c r="F20" s="3769" t="s">
        <v>1995</v>
      </c>
      <c r="G20" s="3770"/>
      <c r="H20" s="3324" t="s">
        <v>3388</v>
      </c>
      <c r="I20" s="3324" t="s">
        <v>3389</v>
      </c>
      <c r="J20" s="3325" t="s">
        <v>3390</v>
      </c>
      <c r="K20" s="2046" t="s">
        <v>3391</v>
      </c>
      <c r="L20" s="2046" t="s">
        <v>3392</v>
      </c>
      <c r="M20" s="2046" t="s">
        <v>3446</v>
      </c>
      <c r="N20" s="2046" t="s">
        <v>3456</v>
      </c>
      <c r="O20" s="2047" t="s">
        <v>3457</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3441</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0.9</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0.78620000000000001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22.11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3445</v>
      </c>
      <c r="C25" s="770">
        <f>IF(B25="容积率修正",IF(G3&lt;10,D26,J26),C27)</f>
        <v>1.0972</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f>IF(E26=G26,F26,IF(G3&lt;10,ROUND(F26+(H26-F26)*(G3-E26)/(G26-E26),4),"——"))</f>
        <v>1.0972</v>
      </c>
      <c r="E26" s="751">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1">
        <f>ROUNDUP(G3,1)</f>
        <v>1.6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43" t="s">
        <v>3262</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1.0309999999999999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17647</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59</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9145</v>
      </c>
      <c r="D33" s="2097">
        <f>'数据-汇总表'!F19</f>
        <v>19037.439999999999</v>
      </c>
      <c r="E33" s="772">
        <f>ROUND(C33*D33/10000,0)</f>
        <v>17410</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2286</v>
      </c>
      <c r="D34" s="2102"/>
      <c r="E34" s="772">
        <f>ROUND(IF(B25="楼层修正",SUM(V2:V16)*M40,C34*D34/10000),0)</f>
        <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f>ROUND(D5*C22*C23*C24*C28*F37,0)</f>
        <v>5001</v>
      </c>
      <c r="D37" s="2097"/>
      <c r="E37" s="171">
        <f>ROUND(C37*D37/10000,0)</f>
        <v>0</v>
      </c>
      <c r="F37" s="171">
        <f>SUMIF(修正!A57:A68,G2,修正!B57:B68)</f>
        <v>0.6</v>
      </c>
      <c r="G37" s="171">
        <f>ROUND(IF(E2="工业",C37*$M$42,C37*$M$41),0)</f>
        <v>1250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f>ROUND(D5*C22*C23*C24*C28*F38,0)</f>
        <v>2500</v>
      </c>
      <c r="D38" s="2097"/>
      <c r="E38" s="171">
        <f t="shared" ref="E38:E42" si="4">ROUND(C38*D38/10000,0)</f>
        <v>0</v>
      </c>
      <c r="F38" s="171">
        <f>SUMIF(修正!A57:A68,G2,修正!C57:C68)</f>
        <v>0.3</v>
      </c>
      <c r="G38" s="171">
        <f>ROUND(IF(E2="工业",C38*$M$42,C38*$M$41),0)</f>
        <v>625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8"/>
      <c r="B39" s="2040" t="s">
        <v>3263</v>
      </c>
      <c r="C39" s="175">
        <f>ROUND(D5*C22*C23*C24*C28*F39,0)</f>
        <v>2084</v>
      </c>
      <c r="D39" s="2097"/>
      <c r="E39" s="171">
        <f t="shared" si="4"/>
        <v>0</v>
      </c>
      <c r="F39" s="171">
        <f>SUMIF(修正!A57:A68,G2,修正!D57:D68)</f>
        <v>0.25</v>
      </c>
      <c r="G39" s="171">
        <f>ROUND(IF(E2="工业",C39*$M$42,C39*$M$41),0)</f>
        <v>521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2084</v>
      </c>
      <c r="D40" s="2097"/>
      <c r="E40" s="171">
        <f t="shared" si="4"/>
        <v>0</v>
      </c>
      <c r="F40" s="175">
        <f>SUMIF(修正!A57:A68,G2,修正!E57:E68)</f>
        <v>0.25</v>
      </c>
      <c r="G40" s="171">
        <f>ROUND(IF(E2="工业",C40*$M$42,C40*$M$41),0)</f>
        <v>521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2336</v>
      </c>
      <c r="D41" s="2097"/>
      <c r="E41" s="171">
        <f t="shared" si="4"/>
        <v>0</v>
      </c>
      <c r="F41" s="175">
        <f>SUMIF(修正!A57:A68,G2,修正!F57:F68)</f>
        <v>0.25</v>
      </c>
      <c r="G41" s="171">
        <f>ROUND(IF(E2="工业",C41*$M$42,C41*$M$41),0)</f>
        <v>584</v>
      </c>
      <c r="H41" s="171">
        <f t="shared" si="5"/>
        <v>0</v>
      </c>
      <c r="I41" s="171">
        <f t="shared" si="6"/>
        <v>0</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1402</v>
      </c>
      <c r="D42" s="3453">
        <f>'数据-基础表'!K5</f>
        <v>1690.2200000000012</v>
      </c>
      <c r="E42" s="187">
        <f t="shared" si="4"/>
        <v>237</v>
      </c>
      <c r="F42" s="766">
        <f>SUMIF(修正!A57:A68,G2,修正!G57:G68)</f>
        <v>0.15</v>
      </c>
      <c r="G42" s="187">
        <f>ROUND(IF(E2="工业",C42*$M$42,C42*$M$41),0)</f>
        <v>351</v>
      </c>
      <c r="H42" s="187">
        <f t="shared" si="5"/>
        <v>1690.2200000000012</v>
      </c>
      <c r="I42" s="187">
        <f t="shared" si="6"/>
        <v>59</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0.88149999999999995</v>
      </c>
      <c r="D44" s="171" t="s">
        <v>1999</v>
      </c>
      <c r="E44" s="2152">
        <f>G24</f>
        <v>5.5E-2</v>
      </c>
      <c r="F44" s="171" t="s">
        <v>2008</v>
      </c>
      <c r="G44" s="183">
        <f>项目基本情况!F15</f>
        <v>32.119999999999997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1.0309999999999999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3406</v>
      </c>
      <c r="D50" s="1064">
        <f t="shared" ref="D50:D58" si="7">SUMIF($J$49:$N$49,C50,J50:N50)</f>
        <v>0</v>
      </c>
      <c r="E50" s="743">
        <f>ROUND(SUM(D50:D58),4)</f>
        <v>3.1E-2</v>
      </c>
      <c r="F50" s="1813">
        <f>IF(E2="商业",SUMIF(L1:L12,G2,N1:N12),"——")</f>
        <v>0.13</v>
      </c>
      <c r="G50" s="1062">
        <f t="shared" ref="G50:G58" si="8">H50</f>
        <v>1.95E-2</v>
      </c>
      <c r="H50" s="1065">
        <f t="shared" ref="H50:H58" si="9">IFERROR(ROUNDDOWN($F$50*I50/2,4),"——")</f>
        <v>1.95E-2</v>
      </c>
      <c r="I50" s="3365">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0</v>
      </c>
      <c r="E51" s="744"/>
      <c r="F51" s="1813"/>
      <c r="G51" s="1062">
        <f t="shared" si="8"/>
        <v>1.43E-2</v>
      </c>
      <c r="H51" s="1065">
        <f t="shared" si="9"/>
        <v>1.43E-2</v>
      </c>
      <c r="I51" s="3365">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3405</v>
      </c>
      <c r="D52" s="1064">
        <f t="shared" si="7"/>
        <v>7.7999999999999996E-3</v>
      </c>
      <c r="E52" s="744"/>
      <c r="F52" s="1813"/>
      <c r="G52" s="1062">
        <f t="shared" si="8"/>
        <v>7.7999999999999996E-3</v>
      </c>
      <c r="H52" s="1065">
        <f t="shared" si="9"/>
        <v>7.7999999999999996E-3</v>
      </c>
      <c r="I52" s="3365">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3.2000000000000002E-3</v>
      </c>
      <c r="E53" s="744"/>
      <c r="F53" s="1813"/>
      <c r="G53" s="1062">
        <f t="shared" si="8"/>
        <v>3.2000000000000002E-3</v>
      </c>
      <c r="H53" s="1065">
        <f t="shared" si="9"/>
        <v>3.2000000000000002E-3</v>
      </c>
      <c r="I53" s="3365">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3406</v>
      </c>
      <c r="D54" s="1064">
        <f t="shared" si="7"/>
        <v>0</v>
      </c>
      <c r="E54" s="744"/>
      <c r="F54" s="1813"/>
      <c r="G54" s="1062">
        <f t="shared" si="8"/>
        <v>5.1999999999999998E-3</v>
      </c>
      <c r="H54" s="1065">
        <f t="shared" si="9"/>
        <v>5.1999999999999998E-3</v>
      </c>
      <c r="I54" s="3365">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3.2000000000000002E-3</v>
      </c>
      <c r="E55" s="744"/>
      <c r="F55" s="1813"/>
      <c r="G55" s="1062">
        <f t="shared" si="8"/>
        <v>3.2000000000000002E-3</v>
      </c>
      <c r="H55" s="1065">
        <f t="shared" si="9"/>
        <v>3.2000000000000002E-3</v>
      </c>
      <c r="I55" s="3365">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3.2000000000000002E-3</v>
      </c>
      <c r="E56" s="744"/>
      <c r="F56" s="1813"/>
      <c r="G56" s="1062">
        <f t="shared" si="8"/>
        <v>3.2000000000000002E-3</v>
      </c>
      <c r="H56" s="1065">
        <f t="shared" si="9"/>
        <v>3.2000000000000002E-3</v>
      </c>
      <c r="I56" s="3365">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1.04E-2</v>
      </c>
      <c r="E57" s="744"/>
      <c r="F57" s="1813"/>
      <c r="G57" s="1062">
        <f t="shared" si="8"/>
        <v>5.1999999999999998E-3</v>
      </c>
      <c r="H57" s="1065">
        <f t="shared" si="9"/>
        <v>5.1999999999999998E-3</v>
      </c>
      <c r="I57" s="3365">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3.2000000000000002E-3</v>
      </c>
      <c r="E58" s="745"/>
      <c r="F58" s="1813"/>
      <c r="G58" s="1062">
        <f t="shared" si="8"/>
        <v>3.2000000000000002E-3</v>
      </c>
      <c r="H58" s="1065">
        <f t="shared" si="9"/>
        <v>3.2000000000000002E-3</v>
      </c>
      <c r="I58" s="3366">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3405</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3405</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3405</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3406</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3405</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3405</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3404</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3405</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8"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8"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8"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8"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8"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8"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8"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8" t="str">
        <f t="shared" si="32"/>
        <v>——</v>
      </c>
      <c r="I101" s="3366">
        <v>7.0000000000000007E-2</v>
      </c>
      <c r="J101" s="3343">
        <f t="shared" si="28"/>
        <v>0</v>
      </c>
      <c r="K101" s="3343">
        <f t="shared" si="29"/>
        <v>0</v>
      </c>
      <c r="L101" s="3343">
        <v>0</v>
      </c>
      <c r="M101" s="3343">
        <f t="shared" si="30"/>
        <v>0</v>
      </c>
      <c r="N101" s="3343">
        <f t="shared" si="30"/>
        <v>0</v>
      </c>
    </row>
    <row r="103" spans="1:14">
      <c r="A103" s="3765" t="s">
        <v>3298</v>
      </c>
      <c r="B103" s="3765"/>
      <c r="C103" s="3765"/>
      <c r="D103" s="3765"/>
      <c r="E103" s="3765"/>
      <c r="F103" s="3765"/>
      <c r="G103" s="3765"/>
      <c r="H103" s="3765"/>
      <c r="I103" s="3765"/>
      <c r="J103" s="3765"/>
      <c r="K103" s="3388"/>
      <c r="L103" s="3388"/>
      <c r="M103" s="3388"/>
      <c r="N103" s="3388"/>
    </row>
    <row r="104" spans="1:14">
      <c r="A104" s="3766" t="s">
        <v>3299</v>
      </c>
      <c r="B104" s="3766" t="s">
        <v>3300</v>
      </c>
      <c r="C104" s="3389" t="s">
        <v>3301</v>
      </c>
      <c r="D104" s="3390"/>
      <c r="E104" s="3390"/>
      <c r="F104" s="3390"/>
      <c r="G104" s="3390"/>
      <c r="H104" s="3390"/>
      <c r="I104" s="3390"/>
      <c r="J104" s="3391"/>
      <c r="K104" s="3392"/>
      <c r="L104" s="3392"/>
      <c r="M104" s="3392"/>
      <c r="N104" s="3392"/>
    </row>
    <row r="105" spans="1:14">
      <c r="A105" s="3766"/>
      <c r="B105" s="3766"/>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2"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3"/>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54"/>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55" t="s">
        <v>3315</v>
      </c>
      <c r="B113" s="3755"/>
      <c r="C113" s="3755"/>
      <c r="D113" s="3755"/>
      <c r="E113" s="3755"/>
      <c r="F113" s="3755"/>
      <c r="G113" s="3755"/>
      <c r="H113" s="3755"/>
      <c r="I113" s="3755"/>
      <c r="J113" s="375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1.57</v>
      </c>
      <c r="C116" s="3398" t="s">
        <v>3317</v>
      </c>
      <c r="D116" s="3399">
        <f>SUMPRODUCT((A118:A122=F116)*(B117:M117=H116)*B118:M122)</f>
        <v>0.92700000000000005</v>
      </c>
      <c r="E116" s="1999" t="s">
        <v>3318</v>
      </c>
      <c r="F116" s="3400" t="str">
        <f>E2</f>
        <v>商业</v>
      </c>
      <c r="G116" s="1999" t="s">
        <v>3319</v>
      </c>
      <c r="H116" s="3400" t="str">
        <f>G2</f>
        <v>六级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0.97950000000000004</v>
      </c>
      <c r="C118" s="3386">
        <f>B118</f>
        <v>0.97950000000000004</v>
      </c>
      <c r="D118" s="3386">
        <f>ROUND(0.949-0.014*B116,4)</f>
        <v>0.92700000000000005</v>
      </c>
      <c r="E118" s="3386">
        <f>D118</f>
        <v>0.92700000000000005</v>
      </c>
      <c r="F118" s="3386">
        <f>E118</f>
        <v>0.92700000000000005</v>
      </c>
      <c r="G118" s="3386">
        <f>F118</f>
        <v>0.92700000000000005</v>
      </c>
      <c r="H118" s="3386">
        <f>G118</f>
        <v>0.92700000000000005</v>
      </c>
      <c r="I118" s="3386">
        <f>ROUND(0.8486-0.018*B116,4)</f>
        <v>0.82030000000000003</v>
      </c>
      <c r="J118" s="3386">
        <f t="shared" ref="J118:M122" si="36">I118</f>
        <v>0.82030000000000003</v>
      </c>
      <c r="K118" s="3386">
        <f t="shared" si="36"/>
        <v>0.82030000000000003</v>
      </c>
      <c r="L118" s="3386">
        <f t="shared" si="36"/>
        <v>0.82030000000000003</v>
      </c>
      <c r="M118" s="3409">
        <f t="shared" si="36"/>
        <v>0.82030000000000003</v>
      </c>
      <c r="N118" s="3396"/>
    </row>
    <row r="119" spans="1:14">
      <c r="A119" s="3408" t="s">
        <v>3333</v>
      </c>
      <c r="B119" s="3386">
        <f>ROUND(0.993-0.0112*B116,4)</f>
        <v>0.97540000000000004</v>
      </c>
      <c r="C119" s="3386">
        <f>B119</f>
        <v>0.97540000000000004</v>
      </c>
      <c r="D119" s="3386">
        <f>ROUND(0.9415-0.0142*B116,4)</f>
        <v>0.91920000000000002</v>
      </c>
      <c r="E119" s="3386">
        <f t="shared" ref="E119:H120" si="37">D119</f>
        <v>0.91920000000000002</v>
      </c>
      <c r="F119" s="3386">
        <f t="shared" si="37"/>
        <v>0.91920000000000002</v>
      </c>
      <c r="G119" s="3386">
        <f t="shared" si="37"/>
        <v>0.91920000000000002</v>
      </c>
      <c r="H119" s="3386">
        <f t="shared" si="37"/>
        <v>0.91920000000000002</v>
      </c>
      <c r="I119" s="3386">
        <f>ROUND(0.838-0.0182*B116,4)</f>
        <v>0.80940000000000001</v>
      </c>
      <c r="J119" s="3386">
        <f t="shared" si="36"/>
        <v>0.80940000000000001</v>
      </c>
      <c r="K119" s="3386">
        <f t="shared" si="36"/>
        <v>0.80940000000000001</v>
      </c>
      <c r="L119" s="3386">
        <f t="shared" si="36"/>
        <v>0.80940000000000001</v>
      </c>
      <c r="M119" s="3409">
        <f t="shared" si="36"/>
        <v>0.80940000000000001</v>
      </c>
      <c r="N119" s="3396"/>
    </row>
    <row r="120" spans="1:14">
      <c r="A120" s="3408" t="s">
        <v>3334</v>
      </c>
      <c r="B120" s="3386">
        <f>ROUND(0.9448-0.0115*B116,4)</f>
        <v>0.92669999999999997</v>
      </c>
      <c r="C120" s="3386">
        <f>B120</f>
        <v>0.92669999999999997</v>
      </c>
      <c r="D120" s="3386">
        <f>ROUND(0.937-0.0145*B116,4)</f>
        <v>0.91420000000000001</v>
      </c>
      <c r="E120" s="3386">
        <f t="shared" si="37"/>
        <v>0.91420000000000001</v>
      </c>
      <c r="F120" s="3386">
        <f t="shared" si="37"/>
        <v>0.91420000000000001</v>
      </c>
      <c r="G120" s="3386">
        <f t="shared" si="37"/>
        <v>0.91420000000000001</v>
      </c>
      <c r="H120" s="3386">
        <f t="shared" si="37"/>
        <v>0.91420000000000001</v>
      </c>
      <c r="I120" s="3386">
        <f>ROUND(0.7965-0.0185*B116,4)</f>
        <v>0.76749999999999996</v>
      </c>
      <c r="J120" s="3386">
        <f t="shared" si="36"/>
        <v>0.76749999999999996</v>
      </c>
      <c r="K120" s="3386">
        <f t="shared" si="36"/>
        <v>0.76749999999999996</v>
      </c>
      <c r="L120" s="3386">
        <f t="shared" si="36"/>
        <v>0.76749999999999996</v>
      </c>
      <c r="M120" s="3409">
        <f t="shared" si="36"/>
        <v>0.76749999999999996</v>
      </c>
      <c r="N120" s="3396"/>
    </row>
    <row r="121" spans="1:14" ht="13.5" thickBot="1">
      <c r="A121" s="3410" t="s">
        <v>3335</v>
      </c>
      <c r="B121" s="3411">
        <f>ROUND(0.7836-0.012*B116,4)</f>
        <v>0.76480000000000004</v>
      </c>
      <c r="C121" s="3411">
        <f>B121</f>
        <v>0.76480000000000004</v>
      </c>
      <c r="D121" s="3411">
        <f>ROUND(0.753-0.015*B116,4)</f>
        <v>0.72950000000000004</v>
      </c>
      <c r="E121" s="3411">
        <f>D121</f>
        <v>0.72950000000000004</v>
      </c>
      <c r="F121" s="3411">
        <f>E121</f>
        <v>0.72950000000000004</v>
      </c>
      <c r="G121" s="3411">
        <f>ROUND(0.6612-0.018*B116,4)</f>
        <v>0.63290000000000002</v>
      </c>
      <c r="H121" s="3411">
        <f>G121</f>
        <v>0.63290000000000002</v>
      </c>
      <c r="I121" s="3411">
        <f>ROUND(0.5905-0.019*B116,4)</f>
        <v>0.56069999999999998</v>
      </c>
      <c r="J121" s="3411">
        <f t="shared" si="36"/>
        <v>0.56069999999999998</v>
      </c>
      <c r="K121" s="3411">
        <f t="shared" si="36"/>
        <v>0.56069999999999998</v>
      </c>
      <c r="L121" s="3411">
        <f t="shared" si="36"/>
        <v>0.56069999999999998</v>
      </c>
      <c r="M121" s="3412">
        <f t="shared" si="36"/>
        <v>0.56069999999999998</v>
      </c>
      <c r="N121" s="3396"/>
    </row>
    <row r="122" spans="1:14">
      <c r="A122" s="3413" t="s">
        <v>2616</v>
      </c>
      <c r="B122" s="3386">
        <f>ROUND(0.9404-0.0106*B116,4)</f>
        <v>0.92379999999999995</v>
      </c>
      <c r="C122" s="3386">
        <f>B122</f>
        <v>0.92379999999999995</v>
      </c>
      <c r="D122" s="3386">
        <f>ROUND(0.8955-0.0135*B116,4)</f>
        <v>0.87429999999999997</v>
      </c>
      <c r="E122" s="3386">
        <f t="shared" ref="E122:H122" si="38">D122</f>
        <v>0.87429999999999997</v>
      </c>
      <c r="F122" s="3386">
        <f t="shared" si="38"/>
        <v>0.87429999999999997</v>
      </c>
      <c r="G122" s="3386">
        <f t="shared" si="38"/>
        <v>0.87429999999999997</v>
      </c>
      <c r="H122" s="3386">
        <f t="shared" si="38"/>
        <v>0.87429999999999997</v>
      </c>
      <c r="I122" s="3386">
        <f>ROUND(0.7632-0.0166*B116,4)</f>
        <v>0.73709999999999998</v>
      </c>
      <c r="J122" s="3386">
        <f t="shared" si="36"/>
        <v>0.73709999999999998</v>
      </c>
      <c r="K122" s="3386">
        <f t="shared" si="36"/>
        <v>0.73709999999999998</v>
      </c>
      <c r="L122" s="3386">
        <f t="shared" si="36"/>
        <v>0.73709999999999998</v>
      </c>
      <c r="M122" s="3409">
        <f t="shared" si="36"/>
        <v>0.73709999999999998</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8" t="s">
        <v>2611</v>
      </c>
      <c r="B20" s="3771" t="s">
        <v>2632</v>
      </c>
      <c r="C20" s="3101" t="s">
        <v>2443</v>
      </c>
      <c r="D20" s="3102"/>
      <c r="E20" s="3103">
        <v>1</v>
      </c>
      <c r="F20" s="3104" t="s">
        <v>2444</v>
      </c>
      <c r="G20" s="3104"/>
    </row>
    <row r="21" spans="1:13" ht="19.5" customHeight="1">
      <c r="A21" s="3779"/>
      <c r="B21" s="3772"/>
      <c r="C21" s="3105" t="s">
        <v>2445</v>
      </c>
      <c r="D21" s="3106"/>
      <c r="E21" s="3107">
        <v>1</v>
      </c>
      <c r="F21" s="3104" t="s">
        <v>2446</v>
      </c>
      <c r="G21" s="3104"/>
    </row>
    <row r="22" spans="1:13" ht="19.5" customHeight="1">
      <c r="A22" s="3779"/>
      <c r="B22" s="3772"/>
      <c r="C22" s="3105" t="s">
        <v>2447</v>
      </c>
      <c r="D22" s="3106"/>
      <c r="E22" s="3107">
        <v>0.9</v>
      </c>
      <c r="F22" s="3104" t="s">
        <v>2448</v>
      </c>
      <c r="G22" s="3104"/>
    </row>
    <row r="23" spans="1:13" ht="19.5" customHeight="1">
      <c r="A23" s="3779"/>
      <c r="B23" s="3772"/>
      <c r="C23" s="3105" t="s">
        <v>2449</v>
      </c>
      <c r="D23" s="3106"/>
      <c r="E23" s="3107">
        <v>0.9</v>
      </c>
      <c r="F23" s="3104" t="s">
        <v>2450</v>
      </c>
      <c r="G23" s="3104"/>
    </row>
    <row r="24" spans="1:13" ht="19.5" customHeight="1">
      <c r="A24" s="3779"/>
      <c r="B24" s="3772"/>
      <c r="C24" s="3105" t="s">
        <v>2451</v>
      </c>
      <c r="D24" s="3106"/>
      <c r="E24" s="3107">
        <v>0.8</v>
      </c>
      <c r="F24" s="3104" t="s">
        <v>2452</v>
      </c>
      <c r="G24" s="3104"/>
    </row>
    <row r="25" spans="1:13" ht="19.5" customHeight="1" thickBot="1">
      <c r="A25" s="3780"/>
      <c r="B25" s="3773"/>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4" t="s">
        <v>2635</v>
      </c>
      <c r="B27" s="3771" t="s">
        <v>2616</v>
      </c>
      <c r="C27" s="3101" t="s">
        <v>2456</v>
      </c>
      <c r="D27" s="3102"/>
      <c r="E27" s="3103">
        <v>1</v>
      </c>
      <c r="F27" s="3104" t="s">
        <v>2457</v>
      </c>
      <c r="G27" s="3104"/>
    </row>
    <row r="28" spans="1:13" ht="19.5" customHeight="1">
      <c r="A28" s="3775"/>
      <c r="B28" s="3772"/>
      <c r="C28" s="3105" t="s">
        <v>2458</v>
      </c>
      <c r="D28" s="3106"/>
      <c r="E28" s="3107">
        <v>1</v>
      </c>
      <c r="F28" s="3104" t="s">
        <v>2459</v>
      </c>
      <c r="G28" s="3104"/>
    </row>
    <row r="29" spans="1:13" ht="19.5" customHeight="1">
      <c r="A29" s="3775"/>
      <c r="B29" s="3772"/>
      <c r="C29" s="3105" t="s">
        <v>2460</v>
      </c>
      <c r="D29" s="3106"/>
      <c r="E29" s="3107">
        <v>0.8</v>
      </c>
      <c r="F29" s="3104" t="s">
        <v>2461</v>
      </c>
      <c r="G29" s="3104"/>
    </row>
    <row r="30" spans="1:13" ht="19.5" customHeight="1">
      <c r="A30" s="3775"/>
      <c r="B30" s="3772"/>
      <c r="C30" s="3105" t="s">
        <v>2462</v>
      </c>
      <c r="D30" s="3106"/>
      <c r="E30" s="3107">
        <v>0.8</v>
      </c>
      <c r="F30" s="3104" t="s">
        <v>2463</v>
      </c>
      <c r="G30" s="3104"/>
    </row>
    <row r="31" spans="1:13" ht="19.5" customHeight="1">
      <c r="A31" s="3775"/>
      <c r="B31" s="3772"/>
      <c r="C31" s="3105" t="s">
        <v>2464</v>
      </c>
      <c r="D31" s="3106"/>
      <c r="E31" s="3107">
        <v>0.8</v>
      </c>
      <c r="F31" s="3104" t="s">
        <v>2465</v>
      </c>
      <c r="G31" s="3104"/>
    </row>
    <row r="32" spans="1:13" ht="19.5" customHeight="1">
      <c r="A32" s="3775"/>
      <c r="B32" s="3772"/>
      <c r="C32" s="3105" t="s">
        <v>2466</v>
      </c>
      <c r="D32" s="3106"/>
      <c r="E32" s="3107">
        <v>0.7</v>
      </c>
      <c r="F32" s="3104" t="s">
        <v>2467</v>
      </c>
      <c r="G32" s="3104"/>
    </row>
    <row r="33" spans="1:7" ht="19.5" customHeight="1">
      <c r="A33" s="3775"/>
      <c r="B33" s="3772"/>
      <c r="C33" s="3105" t="s">
        <v>2468</v>
      </c>
      <c r="D33" s="3106"/>
      <c r="E33" s="3107">
        <v>0.8</v>
      </c>
      <c r="F33" s="3104" t="s">
        <v>2469</v>
      </c>
      <c r="G33" s="3104"/>
    </row>
    <row r="34" spans="1:7" ht="19.5" customHeight="1">
      <c r="A34" s="3775"/>
      <c r="B34" s="3772"/>
      <c r="C34" s="3105" t="s">
        <v>2470</v>
      </c>
      <c r="D34" s="3106"/>
      <c r="E34" s="3107">
        <v>0.6</v>
      </c>
      <c r="F34" s="3104" t="s">
        <v>2471</v>
      </c>
      <c r="G34" s="3104"/>
    </row>
    <row r="35" spans="1:7" ht="19.5" customHeight="1">
      <c r="A35" s="3775"/>
      <c r="B35" s="3772"/>
      <c r="C35" s="3105" t="s">
        <v>2472</v>
      </c>
      <c r="D35" s="3106"/>
      <c r="E35" s="3107">
        <v>0.2</v>
      </c>
      <c r="F35" s="3104" t="s">
        <v>2473</v>
      </c>
      <c r="G35" s="3104"/>
    </row>
    <row r="36" spans="1:7" ht="19.5" customHeight="1">
      <c r="A36" s="3775"/>
      <c r="B36" s="3772"/>
      <c r="C36" s="3105" t="s">
        <v>2474</v>
      </c>
      <c r="D36" s="3106"/>
      <c r="E36" s="3107">
        <v>0.2</v>
      </c>
      <c r="F36" s="3104" t="s">
        <v>2475</v>
      </c>
      <c r="G36" s="3104"/>
    </row>
    <row r="37" spans="1:7" ht="19.5" customHeight="1">
      <c r="A37" s="3775"/>
      <c r="B37" s="3777" t="s">
        <v>2636</v>
      </c>
      <c r="C37" s="3105" t="s">
        <v>2476</v>
      </c>
      <c r="D37" s="3106"/>
      <c r="E37" s="3107">
        <v>0.6</v>
      </c>
      <c r="F37" s="3104" t="s">
        <v>2477</v>
      </c>
      <c r="G37" s="3104"/>
    </row>
    <row r="38" spans="1:7" ht="19.5" customHeight="1">
      <c r="A38" s="3775"/>
      <c r="B38" s="3772"/>
      <c r="C38" s="3105" t="s">
        <v>2478</v>
      </c>
      <c r="D38" s="3106"/>
      <c r="E38" s="3107">
        <v>0.6</v>
      </c>
      <c r="F38" s="3104" t="s">
        <v>2479</v>
      </c>
      <c r="G38" s="3104"/>
    </row>
    <row r="39" spans="1:7" ht="19.5" customHeight="1" thickBot="1">
      <c r="A39" s="3776"/>
      <c r="B39" s="3773"/>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8" t="s">
        <v>2614</v>
      </c>
      <c r="B41" s="3771" t="s">
        <v>2638</v>
      </c>
      <c r="C41" s="3101" t="s">
        <v>2483</v>
      </c>
      <c r="D41" s="3102"/>
      <c r="E41" s="3103">
        <v>1</v>
      </c>
      <c r="F41" s="3104" t="s">
        <v>2484</v>
      </c>
      <c r="G41" s="3104"/>
    </row>
    <row r="42" spans="1:7" ht="19.5" customHeight="1">
      <c r="A42" s="3779"/>
      <c r="B42" s="3772"/>
      <c r="C42" s="3105" t="s">
        <v>2485</v>
      </c>
      <c r="D42" s="3106"/>
      <c r="E42" s="3107">
        <v>1</v>
      </c>
      <c r="F42" s="3104" t="s">
        <v>2486</v>
      </c>
      <c r="G42" s="3104"/>
    </row>
    <row r="43" spans="1:7" ht="19.5" customHeight="1">
      <c r="A43" s="3779"/>
      <c r="B43" s="3781"/>
      <c r="C43" s="3105" t="s">
        <v>2487</v>
      </c>
      <c r="D43" s="3106"/>
      <c r="E43" s="3107">
        <v>1.5</v>
      </c>
      <c r="F43" s="3104" t="s">
        <v>2488</v>
      </c>
      <c r="G43" s="3104"/>
    </row>
    <row r="44" spans="1:7" ht="19.5" customHeight="1">
      <c r="A44" s="3779"/>
      <c r="B44" s="3116" t="s">
        <v>2639</v>
      </c>
      <c r="C44" s="3105" t="s">
        <v>2640</v>
      </c>
      <c r="D44" s="3106"/>
      <c r="E44" s="3107">
        <v>2</v>
      </c>
      <c r="F44" s="3104" t="s">
        <v>2489</v>
      </c>
      <c r="G44" s="3104"/>
    </row>
    <row r="45" spans="1:7" ht="19.5" customHeight="1">
      <c r="A45" s="3779"/>
      <c r="B45" s="3777" t="s">
        <v>2641</v>
      </c>
      <c r="C45" s="3105" t="s">
        <v>2490</v>
      </c>
      <c r="D45" s="3106"/>
      <c r="E45" s="3107">
        <v>1</v>
      </c>
      <c r="F45" s="3104" t="s">
        <v>2491</v>
      </c>
      <c r="G45" s="3104"/>
    </row>
    <row r="46" spans="1:7" ht="19.5" customHeight="1">
      <c r="A46" s="3779"/>
      <c r="B46" s="3772"/>
      <c r="C46" s="3105" t="s">
        <v>2492</v>
      </c>
      <c r="D46" s="3106"/>
      <c r="E46" s="3107">
        <v>1</v>
      </c>
      <c r="F46" s="3104" t="s">
        <v>2493</v>
      </c>
      <c r="G46" s="3104"/>
    </row>
    <row r="47" spans="1:7" ht="19.5" customHeight="1">
      <c r="A47" s="3779"/>
      <c r="B47" s="3772"/>
      <c r="C47" s="3105" t="s">
        <v>2494</v>
      </c>
      <c r="D47" s="3106"/>
      <c r="E47" s="3107">
        <v>1</v>
      </c>
      <c r="F47" s="3104" t="s">
        <v>2495</v>
      </c>
      <c r="G47" s="3104"/>
    </row>
    <row r="48" spans="1:7" ht="19.5" customHeight="1">
      <c r="A48" s="3779"/>
      <c r="B48" s="3772"/>
      <c r="C48" s="3105" t="s">
        <v>2496</v>
      </c>
      <c r="D48" s="3106"/>
      <c r="E48" s="3107">
        <v>1</v>
      </c>
      <c r="F48" s="3104" t="s">
        <v>2497</v>
      </c>
      <c r="G48" s="3104"/>
    </row>
    <row r="49" spans="1:7" ht="19.5" customHeight="1">
      <c r="A49" s="3779"/>
      <c r="B49" s="3772"/>
      <c r="C49" s="3105" t="s">
        <v>2498</v>
      </c>
      <c r="D49" s="3106"/>
      <c r="E49" s="3107">
        <v>1</v>
      </c>
      <c r="F49" s="3104" t="s">
        <v>2499</v>
      </c>
      <c r="G49" s="3104"/>
    </row>
    <row r="50" spans="1:7" ht="19.5" customHeight="1">
      <c r="A50" s="3779"/>
      <c r="B50" s="3772"/>
      <c r="C50" s="3105" t="s">
        <v>2500</v>
      </c>
      <c r="D50" s="3106"/>
      <c r="E50" s="3107">
        <v>1</v>
      </c>
      <c r="F50" s="3104" t="s">
        <v>2501</v>
      </c>
      <c r="G50" s="3104"/>
    </row>
    <row r="51" spans="1:7" ht="19.5" customHeight="1" thickBot="1">
      <c r="A51" s="3780"/>
      <c r="B51" s="3773"/>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7" t="s">
        <v>2655</v>
      </c>
      <c r="C73" s="3090" t="s">
        <v>2656</v>
      </c>
      <c r="D73" s="3090" t="s">
        <v>2657</v>
      </c>
      <c r="E73" s="3116">
        <v>0.2</v>
      </c>
      <c r="F73" s="3116">
        <v>25</v>
      </c>
    </row>
    <row r="74" spans="1:7" ht="24">
      <c r="A74" s="3116">
        <v>2</v>
      </c>
      <c r="B74" s="3772"/>
      <c r="C74" s="3090" t="s">
        <v>2658</v>
      </c>
      <c r="D74" s="3090" t="s">
        <v>2659</v>
      </c>
      <c r="E74" s="3116">
        <v>0.2</v>
      </c>
      <c r="F74" s="3116">
        <v>25</v>
      </c>
    </row>
    <row r="75" spans="1:7" ht="24">
      <c r="A75" s="3116">
        <v>3</v>
      </c>
      <c r="B75" s="3772"/>
      <c r="C75" s="3090" t="s">
        <v>2660</v>
      </c>
      <c r="D75" s="3090" t="s">
        <v>2661</v>
      </c>
      <c r="E75" s="3116">
        <v>0.2</v>
      </c>
      <c r="F75" s="3116">
        <v>25</v>
      </c>
    </row>
    <row r="76" spans="1:7" ht="13.5">
      <c r="A76" s="3116">
        <v>4</v>
      </c>
      <c r="B76" s="3772"/>
      <c r="C76" s="3090" t="s">
        <v>2662</v>
      </c>
      <c r="D76" s="3090" t="s">
        <v>2663</v>
      </c>
      <c r="E76" s="3116">
        <v>0.15</v>
      </c>
      <c r="F76" s="3116">
        <v>20</v>
      </c>
    </row>
    <row r="77" spans="1:7" ht="24">
      <c r="A77" s="3116">
        <v>5</v>
      </c>
      <c r="B77" s="3772"/>
      <c r="C77" s="3090" t="s">
        <v>2664</v>
      </c>
      <c r="D77" s="3090" t="s">
        <v>2665</v>
      </c>
      <c r="E77" s="3116">
        <v>0.15</v>
      </c>
      <c r="F77" s="3116">
        <v>20</v>
      </c>
    </row>
    <row r="78" spans="1:7" ht="24">
      <c r="A78" s="3116">
        <v>6</v>
      </c>
      <c r="B78" s="3772"/>
      <c r="C78" s="3090" t="s">
        <v>2666</v>
      </c>
      <c r="D78" s="3090" t="s">
        <v>2667</v>
      </c>
      <c r="E78" s="3116">
        <v>0.15</v>
      </c>
      <c r="F78" s="3116">
        <v>20</v>
      </c>
    </row>
    <row r="79" spans="1:7" ht="24">
      <c r="A79" s="3116">
        <v>7</v>
      </c>
      <c r="B79" s="3772"/>
      <c r="C79" s="3090" t="s">
        <v>2668</v>
      </c>
      <c r="D79" s="3090" t="s">
        <v>2669</v>
      </c>
      <c r="E79" s="3116">
        <v>0.15</v>
      </c>
      <c r="F79" s="3116">
        <v>20</v>
      </c>
    </row>
    <row r="80" spans="1:7" ht="24">
      <c r="A80" s="3116">
        <v>8</v>
      </c>
      <c r="B80" s="3772"/>
      <c r="C80" s="3090" t="s">
        <v>2670</v>
      </c>
      <c r="D80" s="3090" t="s">
        <v>2671</v>
      </c>
      <c r="E80" s="3116">
        <v>0.1</v>
      </c>
      <c r="F80" s="3116">
        <v>15</v>
      </c>
    </row>
    <row r="81" spans="1:6" ht="24">
      <c r="A81" s="3116">
        <v>9</v>
      </c>
      <c r="B81" s="3772"/>
      <c r="C81" s="3090" t="s">
        <v>2672</v>
      </c>
      <c r="D81" s="3090" t="s">
        <v>2673</v>
      </c>
      <c r="E81" s="3116">
        <v>0.1</v>
      </c>
      <c r="F81" s="3116">
        <v>15</v>
      </c>
    </row>
    <row r="82" spans="1:6" ht="24">
      <c r="A82" s="3116">
        <v>10</v>
      </c>
      <c r="B82" s="3772"/>
      <c r="C82" s="3090" t="s">
        <v>2674</v>
      </c>
      <c r="D82" s="3090" t="s">
        <v>2675</v>
      </c>
      <c r="E82" s="3116">
        <v>0.1</v>
      </c>
      <c r="F82" s="3116">
        <v>15</v>
      </c>
    </row>
    <row r="83" spans="1:6" ht="24">
      <c r="A83" s="3116">
        <v>11</v>
      </c>
      <c r="B83" s="3772"/>
      <c r="C83" s="3090" t="s">
        <v>2676</v>
      </c>
      <c r="D83" s="3090" t="s">
        <v>2677</v>
      </c>
      <c r="E83" s="3116">
        <v>0.1</v>
      </c>
      <c r="F83" s="3116">
        <v>15</v>
      </c>
    </row>
    <row r="84" spans="1:6" ht="24">
      <c r="A84" s="3116">
        <v>12</v>
      </c>
      <c r="B84" s="3772"/>
      <c r="C84" s="3090" t="s">
        <v>2678</v>
      </c>
      <c r="D84" s="3090" t="s">
        <v>2679</v>
      </c>
      <c r="E84" s="3116">
        <v>0.1</v>
      </c>
      <c r="F84" s="3116">
        <v>15</v>
      </c>
    </row>
    <row r="85" spans="1:6" ht="13.5">
      <c r="A85" s="3116">
        <v>13</v>
      </c>
      <c r="B85" s="3772"/>
      <c r="C85" s="3090" t="s">
        <v>2680</v>
      </c>
      <c r="D85" s="3090" t="s">
        <v>2681</v>
      </c>
      <c r="E85" s="3116">
        <v>0.1</v>
      </c>
      <c r="F85" s="3116">
        <v>15</v>
      </c>
    </row>
    <row r="86" spans="1:6" ht="13.5">
      <c r="A86" s="3116">
        <v>14</v>
      </c>
      <c r="B86" s="3772"/>
      <c r="C86" s="3090" t="s">
        <v>2682</v>
      </c>
      <c r="D86" s="3090" t="s">
        <v>2683</v>
      </c>
      <c r="E86" s="3116">
        <v>0.1</v>
      </c>
      <c r="F86" s="3116">
        <v>15</v>
      </c>
    </row>
    <row r="87" spans="1:6" ht="13.5">
      <c r="A87" s="3116">
        <v>15</v>
      </c>
      <c r="B87" s="3772"/>
      <c r="C87" s="3090" t="s">
        <v>2684</v>
      </c>
      <c r="D87" s="3090" t="s">
        <v>2685</v>
      </c>
      <c r="E87" s="3116">
        <v>0.1</v>
      </c>
      <c r="F87" s="3116">
        <v>15</v>
      </c>
    </row>
    <row r="88" spans="1:6" ht="24">
      <c r="A88" s="3116">
        <v>16</v>
      </c>
      <c r="B88" s="3772"/>
      <c r="C88" s="3090" t="s">
        <v>2686</v>
      </c>
      <c r="D88" s="3090" t="s">
        <v>2687</v>
      </c>
      <c r="E88" s="3116">
        <v>0.1</v>
      </c>
      <c r="F88" s="3116">
        <v>15</v>
      </c>
    </row>
    <row r="89" spans="1:6" ht="24">
      <c r="A89" s="3116">
        <v>17</v>
      </c>
      <c r="B89" s="3781"/>
      <c r="C89" s="3090" t="s">
        <v>2688</v>
      </c>
      <c r="D89" s="3090" t="s">
        <v>2689</v>
      </c>
      <c r="E89" s="3116">
        <v>0.1</v>
      </c>
      <c r="F89" s="3116">
        <v>15</v>
      </c>
    </row>
    <row r="90" spans="1:6" ht="13.5">
      <c r="A90" s="3116">
        <v>18</v>
      </c>
      <c r="B90" s="3777" t="s">
        <v>2690</v>
      </c>
      <c r="C90" s="3090" t="s">
        <v>2691</v>
      </c>
      <c r="D90" s="3090" t="s">
        <v>2692</v>
      </c>
      <c r="E90" s="3116">
        <v>0.2</v>
      </c>
      <c r="F90" s="3116">
        <v>25</v>
      </c>
    </row>
    <row r="91" spans="1:6" ht="24">
      <c r="A91" s="3116">
        <v>19</v>
      </c>
      <c r="B91" s="3772"/>
      <c r="C91" s="3090" t="s">
        <v>2693</v>
      </c>
      <c r="D91" s="3090" t="s">
        <v>2694</v>
      </c>
      <c r="E91" s="3116">
        <v>0.2</v>
      </c>
      <c r="F91" s="3116">
        <v>25</v>
      </c>
    </row>
    <row r="92" spans="1:6" ht="13.5">
      <c r="A92" s="3116">
        <v>20</v>
      </c>
      <c r="B92" s="3772"/>
      <c r="C92" s="3090" t="s">
        <v>2695</v>
      </c>
      <c r="D92" s="3090" t="s">
        <v>2696</v>
      </c>
      <c r="E92" s="3116">
        <v>0.15</v>
      </c>
      <c r="F92" s="3116">
        <v>20</v>
      </c>
    </row>
    <row r="93" spans="1:6" ht="13.5">
      <c r="A93" s="3116">
        <v>21</v>
      </c>
      <c r="B93" s="3772"/>
      <c r="C93" s="3090" t="s">
        <v>2697</v>
      </c>
      <c r="D93" s="3090" t="s">
        <v>2698</v>
      </c>
      <c r="E93" s="3116">
        <v>0.15</v>
      </c>
      <c r="F93" s="3116">
        <v>20</v>
      </c>
    </row>
    <row r="94" spans="1:6" ht="13.5">
      <c r="A94" s="3116">
        <v>22</v>
      </c>
      <c r="B94" s="3772"/>
      <c r="C94" s="3090" t="s">
        <v>2699</v>
      </c>
      <c r="D94" s="3090" t="s">
        <v>2700</v>
      </c>
      <c r="E94" s="3116">
        <v>0.15</v>
      </c>
      <c r="F94" s="3116">
        <v>20</v>
      </c>
    </row>
    <row r="95" spans="1:6" ht="36">
      <c r="A95" s="3116">
        <v>23</v>
      </c>
      <c r="B95" s="3772"/>
      <c r="C95" s="3090" t="s">
        <v>2701</v>
      </c>
      <c r="D95" s="3090" t="s">
        <v>2702</v>
      </c>
      <c r="E95" s="3116">
        <v>0.15</v>
      </c>
      <c r="F95" s="3116">
        <v>20</v>
      </c>
    </row>
    <row r="96" spans="1:6" ht="13.5">
      <c r="A96" s="3116">
        <v>24</v>
      </c>
      <c r="B96" s="3772"/>
      <c r="C96" s="3090" t="s">
        <v>2703</v>
      </c>
      <c r="D96" s="3090" t="s">
        <v>2704</v>
      </c>
      <c r="E96" s="3116">
        <v>0.1</v>
      </c>
      <c r="F96" s="3116">
        <v>15</v>
      </c>
    </row>
    <row r="97" spans="1:6" ht="13.5">
      <c r="A97" s="3116">
        <v>25</v>
      </c>
      <c r="B97" s="3772"/>
      <c r="C97" s="3090" t="s">
        <v>2705</v>
      </c>
      <c r="D97" s="3090" t="s">
        <v>2706</v>
      </c>
      <c r="E97" s="3116">
        <v>0.1</v>
      </c>
      <c r="F97" s="3116">
        <v>15</v>
      </c>
    </row>
    <row r="98" spans="1:6" ht="24">
      <c r="A98" s="3116">
        <v>26</v>
      </c>
      <c r="B98" s="3772"/>
      <c r="C98" s="3090" t="s">
        <v>2707</v>
      </c>
      <c r="D98" s="3090" t="s">
        <v>2708</v>
      </c>
      <c r="E98" s="3116">
        <v>0.1</v>
      </c>
      <c r="F98" s="3116">
        <v>15</v>
      </c>
    </row>
    <row r="99" spans="1:6" ht="24">
      <c r="A99" s="3116">
        <v>27</v>
      </c>
      <c r="B99" s="3772"/>
      <c r="C99" s="3090" t="s">
        <v>2709</v>
      </c>
      <c r="D99" s="3090" t="s">
        <v>2710</v>
      </c>
      <c r="E99" s="3116">
        <v>0.1</v>
      </c>
      <c r="F99" s="3116">
        <v>15</v>
      </c>
    </row>
    <row r="100" spans="1:6" ht="13.5">
      <c r="A100" s="3116">
        <v>28</v>
      </c>
      <c r="B100" s="3772"/>
      <c r="C100" s="3090" t="s">
        <v>2711</v>
      </c>
      <c r="D100" s="3090" t="s">
        <v>2712</v>
      </c>
      <c r="E100" s="3116">
        <v>0.1</v>
      </c>
      <c r="F100" s="3116">
        <v>15</v>
      </c>
    </row>
    <row r="101" spans="1:6" ht="13.5">
      <c r="A101" s="3116">
        <v>29</v>
      </c>
      <c r="B101" s="3772"/>
      <c r="C101" s="3090" t="s">
        <v>2713</v>
      </c>
      <c r="D101" s="3090" t="s">
        <v>2714</v>
      </c>
      <c r="E101" s="3116">
        <v>0.1</v>
      </c>
      <c r="F101" s="3116">
        <v>15</v>
      </c>
    </row>
    <row r="102" spans="1:6" ht="13.5">
      <c r="A102" s="3116">
        <v>30</v>
      </c>
      <c r="B102" s="3772"/>
      <c r="C102" s="3090" t="s">
        <v>2715</v>
      </c>
      <c r="D102" s="3090" t="s">
        <v>2716</v>
      </c>
      <c r="E102" s="3116">
        <v>0.1</v>
      </c>
      <c r="F102" s="3116">
        <v>15</v>
      </c>
    </row>
    <row r="103" spans="1:6" ht="24">
      <c r="A103" s="3116">
        <v>31</v>
      </c>
      <c r="B103" s="3772"/>
      <c r="C103" s="3090" t="s">
        <v>2717</v>
      </c>
      <c r="D103" s="3090" t="s">
        <v>2718</v>
      </c>
      <c r="E103" s="3116">
        <v>0.1</v>
      </c>
      <c r="F103" s="3116">
        <v>15</v>
      </c>
    </row>
    <row r="104" spans="1:6" ht="24">
      <c r="A104" s="3116">
        <v>32</v>
      </c>
      <c r="B104" s="3772"/>
      <c r="C104" s="3090" t="s">
        <v>2719</v>
      </c>
      <c r="D104" s="3090" t="s">
        <v>2720</v>
      </c>
      <c r="E104" s="3116">
        <v>0.1</v>
      </c>
      <c r="F104" s="3116">
        <v>15</v>
      </c>
    </row>
    <row r="105" spans="1:6" ht="24">
      <c r="A105" s="3116">
        <v>33</v>
      </c>
      <c r="B105" s="3772"/>
      <c r="C105" s="3090" t="s">
        <v>2721</v>
      </c>
      <c r="D105" s="3090" t="s">
        <v>2722</v>
      </c>
      <c r="E105" s="3116">
        <v>0.1</v>
      </c>
      <c r="F105" s="3116">
        <v>15</v>
      </c>
    </row>
    <row r="106" spans="1:6" ht="24">
      <c r="A106" s="3116">
        <v>34</v>
      </c>
      <c r="B106" s="3781"/>
      <c r="C106" s="3090" t="s">
        <v>2723</v>
      </c>
      <c r="D106" s="3090" t="s">
        <v>2724</v>
      </c>
      <c r="E106" s="3116">
        <v>0.1</v>
      </c>
      <c r="F106" s="3116">
        <v>15</v>
      </c>
    </row>
    <row r="107" spans="1:6" ht="24">
      <c r="A107" s="3116">
        <v>35</v>
      </c>
      <c r="B107" s="3777" t="s">
        <v>2725</v>
      </c>
      <c r="C107" s="3116" t="s">
        <v>2726</v>
      </c>
      <c r="D107" s="3090" t="s">
        <v>2727</v>
      </c>
      <c r="E107" s="3116">
        <v>0.15</v>
      </c>
      <c r="F107" s="3116">
        <v>20</v>
      </c>
    </row>
    <row r="108" spans="1:6" ht="13.5">
      <c r="A108" s="3116">
        <v>36</v>
      </c>
      <c r="B108" s="3772"/>
      <c r="C108" s="3116" t="s">
        <v>2728</v>
      </c>
      <c r="D108" s="3090" t="s">
        <v>2729</v>
      </c>
      <c r="E108" s="3116">
        <v>0.15</v>
      </c>
      <c r="F108" s="3116">
        <v>20</v>
      </c>
    </row>
    <row r="109" spans="1:6" ht="13.5">
      <c r="A109" s="3116">
        <v>37</v>
      </c>
      <c r="B109" s="3772"/>
      <c r="C109" s="3116" t="s">
        <v>2730</v>
      </c>
      <c r="D109" s="3090" t="s">
        <v>2731</v>
      </c>
      <c r="E109" s="3116">
        <v>0.15</v>
      </c>
      <c r="F109" s="3116">
        <v>20</v>
      </c>
    </row>
    <row r="110" spans="1:6" ht="13.5">
      <c r="A110" s="3116">
        <v>38</v>
      </c>
      <c r="B110" s="3772"/>
      <c r="C110" s="3116" t="s">
        <v>2732</v>
      </c>
      <c r="D110" s="3090" t="s">
        <v>2733</v>
      </c>
      <c r="E110" s="3116">
        <v>0.1</v>
      </c>
      <c r="F110" s="3116">
        <v>15</v>
      </c>
    </row>
    <row r="111" spans="1:6" ht="24">
      <c r="A111" s="3116">
        <v>39</v>
      </c>
      <c r="B111" s="3772"/>
      <c r="C111" s="3116" t="s">
        <v>2734</v>
      </c>
      <c r="D111" s="3090" t="s">
        <v>2735</v>
      </c>
      <c r="E111" s="3116">
        <v>0.1</v>
      </c>
      <c r="F111" s="3116">
        <v>15</v>
      </c>
    </row>
    <row r="112" spans="1:6" ht="24">
      <c r="A112" s="3116">
        <v>40</v>
      </c>
      <c r="B112" s="3781"/>
      <c r="C112" s="3116" t="s">
        <v>2736</v>
      </c>
      <c r="D112" s="3090" t="s">
        <v>2737</v>
      </c>
      <c r="E112" s="3116">
        <v>0.1</v>
      </c>
      <c r="F112" s="3116">
        <v>15</v>
      </c>
    </row>
    <row r="113" spans="1:6" ht="13.5">
      <c r="A113" s="3116">
        <v>41</v>
      </c>
      <c r="B113" s="3782" t="s">
        <v>2738</v>
      </c>
      <c r="C113" s="3116" t="s">
        <v>2739</v>
      </c>
      <c r="D113" s="3090" t="s">
        <v>2740</v>
      </c>
      <c r="E113" s="3116">
        <v>0.1</v>
      </c>
      <c r="F113" s="3116">
        <v>15</v>
      </c>
    </row>
    <row r="114" spans="1:6" ht="13.5">
      <c r="A114" s="3116">
        <v>42</v>
      </c>
      <c r="B114" s="3782"/>
      <c r="C114" s="3116" t="s">
        <v>2741</v>
      </c>
      <c r="D114" s="3090" t="s">
        <v>2742</v>
      </c>
      <c r="E114" s="3116">
        <v>0.1</v>
      </c>
      <c r="F114" s="3116">
        <v>15</v>
      </c>
    </row>
    <row r="115" spans="1:6" ht="24">
      <c r="A115" s="3116">
        <v>43</v>
      </c>
      <c r="B115" s="3782"/>
      <c r="C115" s="3116" t="s">
        <v>2743</v>
      </c>
      <c r="D115" s="3090" t="s">
        <v>2744</v>
      </c>
      <c r="E115" s="3116">
        <v>0.1</v>
      </c>
      <c r="F115" s="3116">
        <v>15</v>
      </c>
    </row>
    <row r="116" spans="1:6" ht="13.5">
      <c r="A116" s="3116">
        <v>44</v>
      </c>
      <c r="B116" s="3777" t="s">
        <v>2745</v>
      </c>
      <c r="C116" s="3116" t="s">
        <v>2746</v>
      </c>
      <c r="D116" s="3090" t="s">
        <v>2747</v>
      </c>
      <c r="E116" s="3116">
        <v>0.1</v>
      </c>
      <c r="F116" s="3116">
        <v>15</v>
      </c>
    </row>
    <row r="117" spans="1:6" ht="24">
      <c r="A117" s="3116">
        <v>45</v>
      </c>
      <c r="B117" s="3781"/>
      <c r="C117" s="3090" t="s">
        <v>2748</v>
      </c>
      <c r="D117" s="3090" t="s">
        <v>2749</v>
      </c>
      <c r="E117" s="3116">
        <v>0.1</v>
      </c>
      <c r="F117" s="3116">
        <v>15</v>
      </c>
    </row>
    <row r="118" spans="1:6" ht="24">
      <c r="A118" s="3116">
        <v>46</v>
      </c>
      <c r="B118" s="3777" t="s">
        <v>2750</v>
      </c>
      <c r="C118" s="3116" t="s">
        <v>2751</v>
      </c>
      <c r="D118" s="3090" t="s">
        <v>2752</v>
      </c>
      <c r="E118" s="3116">
        <v>0.1</v>
      </c>
      <c r="F118" s="3116">
        <v>15</v>
      </c>
    </row>
    <row r="119" spans="1:6" ht="24">
      <c r="A119" s="3116">
        <v>47</v>
      </c>
      <c r="B119" s="3781"/>
      <c r="C119" s="3116" t="s">
        <v>2753</v>
      </c>
      <c r="D119" s="3090" t="s">
        <v>2754</v>
      </c>
      <c r="E119" s="3116">
        <v>0.1</v>
      </c>
      <c r="F119" s="3116">
        <v>15</v>
      </c>
    </row>
    <row r="120" spans="1:6" ht="13.5">
      <c r="A120" s="3116">
        <v>48</v>
      </c>
      <c r="B120" s="3777" t="s">
        <v>2755</v>
      </c>
      <c r="C120" s="3116" t="s">
        <v>2756</v>
      </c>
      <c r="D120" s="3090" t="s">
        <v>2757</v>
      </c>
      <c r="E120" s="3116">
        <v>0.1</v>
      </c>
      <c r="F120" s="3116">
        <v>15</v>
      </c>
    </row>
    <row r="121" spans="1:6" ht="13.5">
      <c r="A121" s="3116">
        <v>49</v>
      </c>
      <c r="B121" s="3781"/>
      <c r="C121" s="3116" t="s">
        <v>2758</v>
      </c>
      <c r="D121" s="3090" t="s">
        <v>2759</v>
      </c>
      <c r="E121" s="3116">
        <v>0.1</v>
      </c>
      <c r="F121" s="3116">
        <v>15</v>
      </c>
    </row>
    <row r="122" spans="1:6" ht="24">
      <c r="A122" s="3116">
        <v>50</v>
      </c>
      <c r="B122" s="3782" t="s">
        <v>2760</v>
      </c>
      <c r="C122" s="3116" t="s">
        <v>2761</v>
      </c>
      <c r="D122" s="3090" t="s">
        <v>2762</v>
      </c>
      <c r="E122" s="3116">
        <v>0.1</v>
      </c>
      <c r="F122" s="3116">
        <v>15</v>
      </c>
    </row>
    <row r="123" spans="1:6" ht="24">
      <c r="A123" s="3116">
        <v>51</v>
      </c>
      <c r="B123" s="3782"/>
      <c r="C123" s="3116" t="s">
        <v>2763</v>
      </c>
      <c r="D123" s="3090" t="s">
        <v>2764</v>
      </c>
      <c r="E123" s="3116">
        <v>0.1</v>
      </c>
      <c r="F123" s="3116">
        <v>15</v>
      </c>
    </row>
    <row r="124" spans="1:6" ht="24">
      <c r="A124" s="3116">
        <v>52</v>
      </c>
      <c r="B124" s="3782" t="s">
        <v>2765</v>
      </c>
      <c r="C124" s="3116" t="s">
        <v>2766</v>
      </c>
      <c r="D124" s="3090" t="s">
        <v>2767</v>
      </c>
      <c r="E124" s="3116">
        <v>0.1</v>
      </c>
      <c r="F124" s="3116">
        <v>15</v>
      </c>
    </row>
    <row r="125" spans="1:6" ht="24">
      <c r="A125" s="3116">
        <v>53</v>
      </c>
      <c r="B125" s="3782"/>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82" t="s">
        <v>2773</v>
      </c>
      <c r="C127" s="3116" t="s">
        <v>2774</v>
      </c>
      <c r="D127" s="3090" t="s">
        <v>2775</v>
      </c>
      <c r="E127" s="3116">
        <v>0.1</v>
      </c>
      <c r="F127" s="3116">
        <v>15</v>
      </c>
    </row>
    <row r="128" spans="1:6" ht="13.5">
      <c r="A128" s="3116">
        <v>56</v>
      </c>
      <c r="B128" s="3782"/>
      <c r="C128" s="3116" t="s">
        <v>2776</v>
      </c>
      <c r="D128" s="3090" t="s">
        <v>2777</v>
      </c>
      <c r="E128" s="3116">
        <v>0.1</v>
      </c>
      <c r="F128" s="3116">
        <v>15</v>
      </c>
    </row>
    <row r="129" spans="1:6" ht="24">
      <c r="A129" s="3116">
        <v>57</v>
      </c>
      <c r="B129" s="3782"/>
      <c r="C129" s="3116" t="s">
        <v>2778</v>
      </c>
      <c r="D129" s="3090" t="s">
        <v>2779</v>
      </c>
      <c r="E129" s="3116">
        <v>0.1</v>
      </c>
      <c r="F129" s="3116">
        <v>15</v>
      </c>
    </row>
    <row r="130" spans="1:6" ht="24">
      <c r="A130" s="3116">
        <v>58</v>
      </c>
      <c r="B130" s="3782" t="s">
        <v>2780</v>
      </c>
      <c r="C130" s="3116" t="s">
        <v>2781</v>
      </c>
      <c r="D130" s="3090" t="s">
        <v>2782</v>
      </c>
      <c r="E130" s="3116">
        <v>0.1</v>
      </c>
      <c r="F130" s="3116">
        <v>15</v>
      </c>
    </row>
    <row r="131" spans="1:6" ht="13.5">
      <c r="A131" s="3116">
        <v>59</v>
      </c>
      <c r="B131" s="3782"/>
      <c r="C131" s="3116" t="s">
        <v>2783</v>
      </c>
      <c r="D131" s="3090" t="s">
        <v>2784</v>
      </c>
      <c r="E131" s="3116">
        <v>0.1</v>
      </c>
      <c r="F131" s="3116">
        <v>15</v>
      </c>
    </row>
    <row r="132" spans="1:6" ht="13.5">
      <c r="A132" s="3116">
        <v>60</v>
      </c>
      <c r="B132" s="3777" t="s">
        <v>2785</v>
      </c>
      <c r="C132" s="3116" t="s">
        <v>2786</v>
      </c>
      <c r="D132" s="3090" t="s">
        <v>2787</v>
      </c>
      <c r="E132" s="3116">
        <v>0.1</v>
      </c>
      <c r="F132" s="3116">
        <v>15</v>
      </c>
    </row>
    <row r="133" spans="1:6" ht="13.5">
      <c r="A133" s="3116">
        <v>61</v>
      </c>
      <c r="B133" s="3781"/>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82" t="s">
        <v>2793</v>
      </c>
      <c r="C135" s="3116" t="s">
        <v>2794</v>
      </c>
      <c r="D135" s="3090" t="s">
        <v>2795</v>
      </c>
      <c r="E135" s="3116">
        <v>0.1</v>
      </c>
      <c r="F135" s="3116">
        <v>15</v>
      </c>
    </row>
    <row r="136" spans="1:6" ht="13.5">
      <c r="A136" s="3116">
        <v>64</v>
      </c>
      <c r="B136" s="3782"/>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1.1214999999999999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1.0668</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42880</v>
      </c>
      <c r="C2" s="2" t="s">
        <v>106</v>
      </c>
      <c r="D2" s="199"/>
      <c r="E2" s="199"/>
      <c r="F2" s="199"/>
      <c r="G2" s="199"/>
    </row>
    <row r="3" spans="1:7" s="200" customFormat="1" ht="18" customHeight="1" thickBot="1">
      <c r="A3" s="203" t="s">
        <v>58</v>
      </c>
      <c r="B3" s="204">
        <f ca="1">ROUND(B2*10000/'数据-汇总表'!E3,0)</f>
        <v>19157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448</v>
      </c>
      <c r="D10" s="844">
        <f>'数据-汇总表'!E6</f>
        <v>22383.909999999996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448</v>
      </c>
      <c r="D19" s="848">
        <f>'数据-汇总表'!E3</f>
        <v>22383.909999999996</v>
      </c>
      <c r="E19" s="211">
        <f>'数据-取费表'!B31</f>
        <v>200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1493</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31</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3866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3866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12670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11640</v>
      </c>
      <c r="D34" s="217"/>
      <c r="E34" s="220"/>
      <c r="F34" s="257">
        <f>IF('数据-取费表'!B24=0,1,'数据-取费表'!N16)</f>
        <v>1</v>
      </c>
      <c r="G34" s="219" t="s">
        <v>89</v>
      </c>
    </row>
    <row r="35" spans="1:7" ht="13.5" customHeight="1">
      <c r="A35" s="779" t="s">
        <v>351</v>
      </c>
      <c r="B35" s="215" t="s">
        <v>33</v>
      </c>
      <c r="C35" s="220">
        <f>ROUND(C34*F35,0)</f>
        <v>349</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448</v>
      </c>
      <c r="D37" s="217">
        <f>'数据-汇总表'!E3</f>
        <v>22383.909999999996</v>
      </c>
      <c r="E37" s="249">
        <f>'数据-取费表'!B35</f>
        <v>200</v>
      </c>
      <c r="F37" s="259"/>
      <c r="G37" s="261" t="s">
        <v>92</v>
      </c>
    </row>
    <row r="38" spans="1:7" ht="13.5" customHeight="1">
      <c r="A38" s="779" t="s">
        <v>354</v>
      </c>
      <c r="B38" s="215" t="s">
        <v>36</v>
      </c>
      <c r="C38" s="220">
        <f>ROUND(C34*F38,0)</f>
        <v>233</v>
      </c>
      <c r="D38" s="220"/>
      <c r="E38" s="220"/>
      <c r="F38" s="259">
        <f>'数据-取费表'!B36</f>
        <v>0.02</v>
      </c>
      <c r="G38" s="219" t="s">
        <v>90</v>
      </c>
    </row>
    <row r="39" spans="1:7" s="214" customFormat="1" ht="13.5" customHeight="1">
      <c r="A39" s="776" t="s">
        <v>338</v>
      </c>
      <c r="B39" s="210" t="s">
        <v>77</v>
      </c>
      <c r="C39" s="232">
        <f>ROUND(C33*F20,0)</f>
        <v>253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446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437</v>
      </c>
      <c r="D42" s="238"/>
      <c r="E42" s="238"/>
      <c r="F42" s="239"/>
      <c r="G42" s="3647" t="s">
        <v>94</v>
      </c>
    </row>
    <row r="43" spans="1:7" ht="13.5" customHeight="1">
      <c r="A43" s="779" t="s">
        <v>347</v>
      </c>
      <c r="B43" s="215" t="s">
        <v>426</v>
      </c>
      <c r="C43" s="238">
        <f ca="1">ROUND(IF('数据-取费表'!B22&lt;=1,C39*F22*'数据-取费表'!B21/2,C39*(POWER((1+F22),'数据-取费表'!B21/2)-1)),0)</f>
        <v>9</v>
      </c>
      <c r="D43" s="238"/>
      <c r="E43" s="238"/>
      <c r="F43" s="239"/>
      <c r="G43" s="3648"/>
    </row>
    <row r="44" spans="1:7" ht="13.5" customHeight="1">
      <c r="A44" s="779"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6" t="s">
        <v>341</v>
      </c>
      <c r="B45" s="244" t="s">
        <v>85</v>
      </c>
      <c r="C45" s="245">
        <f>C46</f>
        <v>2326</v>
      </c>
      <c r="D45" s="235">
        <f>C47</f>
        <v>3.5999999999999999E-3</v>
      </c>
      <c r="E45" s="236" t="s">
        <v>102</v>
      </c>
      <c r="F45" s="246"/>
      <c r="G45" s="247" t="s">
        <v>434</v>
      </c>
    </row>
    <row r="46" spans="1:7" s="214" customFormat="1" ht="13.5" customHeight="1">
      <c r="A46" s="779" t="s">
        <v>349</v>
      </c>
      <c r="B46" s="248" t="s">
        <v>427</v>
      </c>
      <c r="C46" s="249">
        <f>ROUND((C33+C39)*F27,0)</f>
        <v>2326</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17016</v>
      </c>
      <c r="D49" s="232"/>
      <c r="E49" s="232"/>
      <c r="F49" s="264"/>
      <c r="G49" s="234" t="s">
        <v>435</v>
      </c>
    </row>
    <row r="50" spans="1:7" s="258" customFormat="1" ht="24">
      <c r="A50" s="776" t="s">
        <v>344</v>
      </c>
      <c r="B50" s="210" t="s">
        <v>97</v>
      </c>
      <c r="C50" s="232"/>
      <c r="D50" s="232"/>
      <c r="E50" s="232"/>
      <c r="F50" s="264">
        <f>IF('数据-取费表'!B24=0,'数据-取费表'!N16,1)</f>
        <v>0.81</v>
      </c>
      <c r="G50" s="247" t="s">
        <v>98</v>
      </c>
    </row>
    <row r="51" spans="1:7" ht="16.5" customHeight="1">
      <c r="A51" s="776" t="s">
        <v>345</v>
      </c>
      <c r="B51" s="210" t="s">
        <v>105</v>
      </c>
      <c r="C51" s="232">
        <f ca="1">ROUND(C49*F50,0)</f>
        <v>13783</v>
      </c>
      <c r="D51" s="232"/>
      <c r="E51" s="232"/>
      <c r="F51" s="264"/>
      <c r="G51" s="234" t="s">
        <v>37</v>
      </c>
    </row>
    <row r="52" spans="1:7" s="208" customFormat="1" ht="16.5" thickBot="1">
      <c r="A52" s="265" t="s">
        <v>38</v>
      </c>
      <c r="B52" s="266"/>
      <c r="C52" s="267">
        <f ca="1">C31+C51</f>
        <v>42880</v>
      </c>
      <c r="D52" s="266"/>
      <c r="E52" s="266"/>
      <c r="F52" s="266"/>
      <c r="G52" s="268"/>
    </row>
    <row r="55" spans="1:7" ht="15">
      <c r="B55" s="270" t="s">
        <v>39</v>
      </c>
      <c r="C55" s="271"/>
    </row>
    <row r="56" spans="1:7">
      <c r="B56" s="273" t="s">
        <v>40</v>
      </c>
      <c r="C56" s="274">
        <f ca="1">ROUND(C51/C52,3)</f>
        <v>0.32100000000000001</v>
      </c>
    </row>
    <row r="57" spans="1:7">
      <c r="B57" s="273" t="s">
        <v>41</v>
      </c>
      <c r="C57" s="275">
        <f ca="1">1-C56</f>
        <v>0.67900000000000005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28595</v>
      </c>
      <c r="E5" s="1490"/>
    </row>
    <row r="6" spans="1:5" ht="15.75">
      <c r="A6" s="1490"/>
      <c r="B6" s="3466"/>
      <c r="C6" s="1493" t="s">
        <v>911</v>
      </c>
      <c r="D6" s="849" t="str">
        <f ca="1">NUMBERSTRING(INT(D5*10000),2)&amp;"元整"</f>
        <v>贰亿捌仟伍佰玖拾伍万元整</v>
      </c>
      <c r="E6" s="1490"/>
    </row>
    <row r="7" spans="1:5" ht="15.75">
      <c r="A7" s="1490"/>
      <c r="B7" s="3471"/>
      <c r="C7" s="1494" t="s">
        <v>912</v>
      </c>
      <c r="D7" s="850">
        <f ca="1">结果表!H102</f>
        <v>12775</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28595</v>
      </c>
      <c r="E13" s="1490"/>
    </row>
    <row r="14" spans="1:5" ht="15.75">
      <c r="A14" s="1490"/>
      <c r="B14" s="3466"/>
      <c r="C14" s="1493" t="s">
        <v>911</v>
      </c>
      <c r="D14" s="849" t="str">
        <f ca="1">NUMBERSTRING(INT(D13*10000),2)&amp;"元整"</f>
        <v>贰亿捌仟伍佰玖拾伍万元整</v>
      </c>
      <c r="E14" s="1490"/>
    </row>
    <row r="15" spans="1:5" ht="15">
      <c r="A15" s="1490"/>
      <c r="B15" s="3471"/>
      <c r="C15" s="1494" t="s">
        <v>921</v>
      </c>
      <c r="D15" s="858">
        <f ca="1">结果表!H108</f>
        <v>12775</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4.抵押净值</v>
      </c>
      <c r="C19" s="1498" t="s">
        <v>910</v>
      </c>
      <c r="D19" s="850">
        <f ca="1">结果表!H111</f>
        <v>23074</v>
      </c>
      <c r="E19" s="1490"/>
    </row>
    <row r="20" spans="1:5" ht="15.75">
      <c r="A20" s="1490"/>
      <c r="B20" s="3466"/>
      <c r="C20" s="1493" t="s">
        <v>923</v>
      </c>
      <c r="D20" s="849" t="str">
        <f ca="1">NUMBERSTRING(INT(D19*10000),2)&amp;"元整"</f>
        <v>贰亿叁仟零柒拾肆万元整</v>
      </c>
      <c r="E20" s="1490"/>
    </row>
    <row r="21" spans="1:5" ht="15.75" thickBot="1">
      <c r="A21" s="1490"/>
      <c r="B21" s="3467"/>
      <c r="C21" s="1500" t="s">
        <v>921</v>
      </c>
      <c r="D21" s="859">
        <f ca="1">结果表!H112</f>
        <v>10308</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C10:I19"/>
  <sheetViews>
    <sheetView workbookViewId="0">
      <selection activeCell="E14" sqref="E14:E16"/>
    </sheetView>
  </sheetViews>
  <sheetFormatPr defaultRowHeight="13.5"/>
  <cols>
    <col min="3" max="3" width="14.375" customWidth="1"/>
    <col min="4" max="4" width="12.5" customWidth="1"/>
    <col min="5" max="5" width="11.375" customWidth="1"/>
    <col min="6" max="6" width="14.75" customWidth="1"/>
    <col min="9" max="9" width="19.25" customWidth="1"/>
  </cols>
  <sheetData>
    <row r="10" spans="3:9">
      <c r="E10">
        <f>'数据-基础表'!A3</f>
        <v>12157.82</v>
      </c>
      <c r="F10">
        <f>F14*E10</f>
        <v>14686646.560000001</v>
      </c>
      <c r="I10" s="3456">
        <f>F10</f>
        <v>14686646.560000001</v>
      </c>
    </row>
    <row r="11" spans="3:9">
      <c r="E11">
        <f>'数据-基础表'!B3</f>
        <v>22383.909999999996</v>
      </c>
      <c r="F11">
        <v>22000</v>
      </c>
      <c r="G11">
        <f>F11/E11*10000</f>
        <v>9828.4884097550439</v>
      </c>
      <c r="I11" s="3456">
        <f>I12-F10</f>
        <v>101370977.88</v>
      </c>
    </row>
    <row r="12" spans="3:9">
      <c r="I12" s="3456">
        <v>116057624.44</v>
      </c>
    </row>
    <row r="13" spans="3:9">
      <c r="D13" s="3457" t="s">
        <v>3467</v>
      </c>
      <c r="E13" s="3457" t="s">
        <v>3469</v>
      </c>
      <c r="F13" s="3457" t="s">
        <v>3468</v>
      </c>
    </row>
    <row r="14" spans="3:9">
      <c r="C14" t="s">
        <v>3462</v>
      </c>
      <c r="D14">
        <v>22383.91</v>
      </c>
      <c r="E14">
        <v>2703</v>
      </c>
      <c r="F14">
        <f>ROUND(E14/D14*10000,0)</f>
        <v>1208</v>
      </c>
      <c r="I14">
        <v>27030000</v>
      </c>
    </row>
    <row r="15" spans="3:9">
      <c r="C15" t="s">
        <v>3463</v>
      </c>
      <c r="D15">
        <v>22383.91</v>
      </c>
      <c r="E15">
        <v>586</v>
      </c>
      <c r="F15">
        <f t="shared" ref="F15:F18" si="0">ROUND(E15/D15*10000,0)</f>
        <v>262</v>
      </c>
      <c r="I15" s="3458">
        <f>I12-I14</f>
        <v>89027624.439999998</v>
      </c>
    </row>
    <row r="16" spans="3:9">
      <c r="C16" t="s">
        <v>3464</v>
      </c>
      <c r="D16">
        <v>22383.91</v>
      </c>
      <c r="E16">
        <v>7859</v>
      </c>
      <c r="F16">
        <f t="shared" si="0"/>
        <v>3511</v>
      </c>
      <c r="I16">
        <f>I15/E11</f>
        <v>3977.3044316207497</v>
      </c>
    </row>
    <row r="17" spans="3:6">
      <c r="C17" t="s">
        <v>3465</v>
      </c>
      <c r="D17">
        <v>22383.91</v>
      </c>
      <c r="E17">
        <v>1863</v>
      </c>
      <c r="F17">
        <f t="shared" si="0"/>
        <v>832</v>
      </c>
    </row>
    <row r="18" spans="3:6">
      <c r="C18" t="s">
        <v>3466</v>
      </c>
      <c r="D18">
        <v>22383.91</v>
      </c>
      <c r="E18">
        <v>22000</v>
      </c>
      <c r="F18">
        <f t="shared" si="0"/>
        <v>9828</v>
      </c>
    </row>
    <row r="19" spans="3:6">
      <c r="E19">
        <f>E15+E16</f>
        <v>8445</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5" t="s">
        <v>2843</v>
      </c>
      <c r="B1" s="3785"/>
      <c r="C1" s="3785"/>
      <c r="D1" s="3785"/>
      <c r="E1" s="3785"/>
      <c r="F1" s="3785"/>
      <c r="G1" s="3786"/>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3"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4"/>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3185</v>
      </c>
      <c r="B1" s="3787"/>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ht="14.25">
      <c r="A1" s="3788" t="s">
        <v>3236</v>
      </c>
      <c r="B1" s="3788"/>
      <c r="C1" s="3788"/>
      <c r="D1" s="3788"/>
      <c r="E1" s="3788"/>
      <c r="F1" s="3789"/>
    </row>
    <row r="2" spans="1:6" ht="14.25">
      <c r="A2" s="3289" t="s">
        <v>3237</v>
      </c>
      <c r="B2" s="3290"/>
      <c r="C2" s="3290"/>
      <c r="D2" s="3290"/>
      <c r="E2" s="3290"/>
      <c r="F2" s="3290"/>
    </row>
    <row r="3" spans="1:6" ht="14.2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45429</v>
      </c>
      <c r="B1" s="3208" t="s">
        <v>3374</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90" t="s">
        <v>2831</v>
      </c>
      <c r="S23" s="3791"/>
      <c r="T23" s="3791"/>
      <c r="U23" s="3791"/>
      <c r="V23" s="3791"/>
      <c r="W23" s="3791"/>
      <c r="X23" s="3163"/>
      <c r="Y23" s="3790" t="s">
        <v>2832</v>
      </c>
      <c r="Z23" s="3791"/>
      <c r="AA23" s="3791"/>
      <c r="AB23" s="3791"/>
      <c r="AC23" s="3791"/>
      <c r="AD23" s="3791"/>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3" t="s">
        <v>925</v>
      </c>
      <c r="E3" s="853" t="s">
        <v>931</v>
      </c>
      <c r="F3" s="853" t="s">
        <v>925</v>
      </c>
      <c r="G3" s="853" t="s">
        <v>926</v>
      </c>
      <c r="H3" s="853" t="s">
        <v>925</v>
      </c>
      <c r="I3" s="853" t="s">
        <v>926</v>
      </c>
    </row>
    <row r="4" spans="1:9" ht="15">
      <c r="A4" s="1504" t="str">
        <f>项目基本情况!S2</f>
        <v>北京市房地产</v>
      </c>
      <c r="B4" s="853">
        <f>项目基本情况!C17</f>
        <v>22383.909999999996</v>
      </c>
      <c r="C4" s="853">
        <f>项目基本情况!C18</f>
        <v>12157.82</v>
      </c>
      <c r="D4" s="853">
        <f ca="1">结果表!D118</f>
        <v>18615</v>
      </c>
      <c r="E4" s="853">
        <f ca="1">结果表!E118</f>
        <v>8316</v>
      </c>
      <c r="F4" s="853">
        <f ca="1">结果表!F118</f>
        <v>9980</v>
      </c>
      <c r="G4" s="853">
        <f ca="1">结果表!G118</f>
        <v>4459</v>
      </c>
      <c r="H4" s="853">
        <f ca="1">结果表!H118</f>
        <v>28595</v>
      </c>
      <c r="I4" s="853">
        <f ca="1">结果表!I118</f>
        <v>12775</v>
      </c>
    </row>
    <row r="5" spans="1:9" ht="30" customHeight="1">
      <c r="A5" s="3477" t="s">
        <v>927</v>
      </c>
      <c r="B5" s="3477"/>
      <c r="C5" s="3477"/>
      <c r="D5" s="3477" t="str">
        <f ca="1">结果表!D119</f>
        <v>壹亿捌仟陆佰壹拾伍万元整</v>
      </c>
      <c r="E5" s="3477"/>
      <c r="F5" s="3477" t="str">
        <f ca="1">结果表!F119</f>
        <v>玖仟玖佰捌拾万元整</v>
      </c>
      <c r="G5" s="3477"/>
      <c r="H5" s="3477" t="str">
        <f ca="1">结果表!H119</f>
        <v>贰亿捌仟伍佰玖拾伍万元整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28595</v>
      </c>
      <c r="E8" s="3478"/>
      <c r="F8" s="3478"/>
      <c r="G8" s="3478"/>
      <c r="H8" s="3478"/>
      <c r="I8" s="3478"/>
    </row>
    <row r="9" spans="1:9" ht="15">
      <c r="A9" s="3477" t="s">
        <v>927</v>
      </c>
      <c r="B9" s="3477"/>
      <c r="C9" s="3477"/>
      <c r="D9" s="3477" t="str">
        <f ca="1">结果表!D123</f>
        <v>贰亿捌仟伍佰玖拾伍万元整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抵押净值</v>
      </c>
      <c r="B12" s="3478"/>
      <c r="C12" s="3478"/>
      <c r="D12" s="3478">
        <f ca="1">结果表!D126</f>
        <v>23074</v>
      </c>
      <c r="E12" s="3478"/>
      <c r="F12" s="3478"/>
      <c r="G12" s="3478"/>
      <c r="H12" s="3478"/>
      <c r="I12" s="3478"/>
    </row>
    <row r="13" spans="1:9" ht="15.75" thickBot="1">
      <c r="A13" s="3482" t="s">
        <v>927</v>
      </c>
      <c r="B13" s="3482"/>
      <c r="C13" s="3482"/>
      <c r="D13" s="3482" t="str">
        <f ca="1">结果表!D127</f>
        <v>贰亿叁仟零柒拾肆万元整</v>
      </c>
      <c r="E13" s="3482"/>
      <c r="F13" s="3482"/>
      <c r="G13" s="3482"/>
      <c r="H13" s="3482"/>
      <c r="I13" s="3482"/>
    </row>
    <row r="14" spans="1:9" ht="15" thickTop="1">
      <c r="A14" s="3483" t="s">
        <v>932</v>
      </c>
      <c r="B14" s="3483"/>
      <c r="C14" s="3483"/>
      <c r="D14" s="3483"/>
      <c r="E14" s="3483"/>
      <c r="F14" s="3483"/>
      <c r="G14" s="3483"/>
      <c r="H14" s="3483"/>
      <c r="I14" s="348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949</v>
      </c>
      <c r="B1" s="3484"/>
      <c r="C1" s="3484"/>
      <c r="D1" s="3484"/>
    </row>
    <row r="2" spans="1:4" ht="18">
      <c r="A2" s="3485" t="s">
        <v>933</v>
      </c>
      <c r="B2" s="3485"/>
      <c r="C2" s="3485"/>
      <c r="D2" s="348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5" t="s">
        <v>939</v>
      </c>
      <c r="B6" s="3485"/>
      <c r="C6" s="3485"/>
      <c r="D6" s="348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2024-05-21T09:33:50Z</dcterms:modified>
</cp:coreProperties>
</file>